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tables/table3.xml" ContentType="application/vnd.openxmlformats-officedocument.spreadsheetml.table+xml"/>
  <Override PartName="/xl/tables/table4.xml" ContentType="application/vnd.openxmlformats-officedocument.spreadsheetml.table+xml"/>
  <Override PartName="/xl/comments3.xml" ContentType="application/vnd.openxmlformats-officedocument.spreadsheetml.comments+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omments4.xml" ContentType="application/vnd.openxmlformats-officedocument.spreadsheetml.comments+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omments5.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drawings/drawing4.xml" ContentType="application/vnd.openxmlformats-officedocument.drawing+xml"/>
  <Override PartName="/xl/comments6.xml" ContentType="application/vnd.openxmlformats-officedocument.spreadsheetml.comments+xml"/>
  <Override PartName="/xl/tables/table26.xml" ContentType="application/vnd.openxmlformats-officedocument.spreadsheetml.table+xml"/>
  <Override PartName="/xl/comments7.xml" ContentType="application/vnd.openxmlformats-officedocument.spreadsheetml.comments+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0" yWindow="0" windowWidth="20610" windowHeight="6930" tabRatio="732" activeTab="2"/>
  </bookViews>
  <sheets>
    <sheet name="LogBackBets" sheetId="13" r:id="rId1"/>
    <sheet name="LogLayBets" sheetId="15" state="hidden" r:id="rId2"/>
    <sheet name="Balance" sheetId="3" r:id="rId3"/>
    <sheet name="DepWith" sheetId="5" r:id="rId4"/>
    <sheet name="BooksAndSports" sheetId="2" r:id="rId5"/>
    <sheet name="Graphs" sheetId="6" r:id="rId6"/>
    <sheet name="MonthStats" sheetId="8" r:id="rId7"/>
    <sheet name="ReadMe" sheetId="11" r:id="rId8"/>
    <sheet name="Data" sheetId="14" state="hidden" r:id="rId9"/>
    <sheet name="TurnOver" sheetId="17" state="hidden" r:id="rId10"/>
  </sheets>
  <definedNames>
    <definedName name="ListAdjustmentType">OFFSET(BooksAndSports!$M$2,0,0,COUNTA(BooksAndSports!$M:$M),1)</definedName>
    <definedName name="ListBookies">OFFSET(BooksAndSports!$H$2,0,0,COUNTA(BooksAndSports!$H:$H),1)</definedName>
    <definedName name="ListDepWithType">OFFSET(BooksAndSports!$K$2,0,0,COUNTA(BooksAndSports!$K:$K),1)</definedName>
    <definedName name="ListSports">OFFSET(BooksAndSports!$D$2,0,0,COUNTA(BooksAndSports!$D:$D),1)</definedName>
  </definedNames>
  <calcPr calcId="145621"/>
</workbook>
</file>

<file path=xl/calcChain.xml><?xml version="1.0" encoding="utf-8"?>
<calcChain xmlns="http://schemas.openxmlformats.org/spreadsheetml/2006/main">
  <c r="W1644" i="13" l="1"/>
  <c r="X1644" i="13"/>
  <c r="Y1644" i="13"/>
  <c r="Z1644" i="13"/>
  <c r="AA1644" i="13"/>
  <c r="AB1644" i="13"/>
  <c r="AC1644" i="13"/>
  <c r="AD1644" i="13"/>
  <c r="AE1644" i="13"/>
  <c r="AF1644" i="13"/>
  <c r="AG1644" i="13"/>
  <c r="AH1644" i="13"/>
  <c r="W1643" i="13"/>
  <c r="X1643" i="13"/>
  <c r="Y1643" i="13"/>
  <c r="Z1643" i="13"/>
  <c r="AA1643" i="13"/>
  <c r="AB1643" i="13"/>
  <c r="AC1643" i="13"/>
  <c r="AD1643" i="13"/>
  <c r="AE1643" i="13"/>
  <c r="AF1643" i="13"/>
  <c r="AG1643" i="13"/>
  <c r="AH1643" i="13"/>
  <c r="W1642" i="13"/>
  <c r="X1642" i="13"/>
  <c r="Y1642" i="13"/>
  <c r="Z1642" i="13"/>
  <c r="AA1642" i="13"/>
  <c r="AB1642" i="13"/>
  <c r="AC1642" i="13"/>
  <c r="AD1642" i="13"/>
  <c r="AE1642" i="13"/>
  <c r="AF1642" i="13"/>
  <c r="AG1642" i="13"/>
  <c r="AH1642" i="13"/>
  <c r="W1641" i="13"/>
  <c r="X1641" i="13"/>
  <c r="Y1641" i="13"/>
  <c r="Z1641" i="13"/>
  <c r="AA1641" i="13"/>
  <c r="AB1641" i="13"/>
  <c r="AC1641" i="13"/>
  <c r="AD1641" i="13"/>
  <c r="AE1641" i="13"/>
  <c r="AF1641" i="13"/>
  <c r="AG1641" i="13"/>
  <c r="AH1641" i="13"/>
  <c r="W1640" i="13"/>
  <c r="X1640" i="13"/>
  <c r="Y1640" i="13"/>
  <c r="Z1640" i="13"/>
  <c r="AA1640" i="13"/>
  <c r="AB1640" i="13"/>
  <c r="AC1640" i="13"/>
  <c r="AD1640" i="13"/>
  <c r="AE1640" i="13"/>
  <c r="AF1640" i="13"/>
  <c r="AG1640" i="13"/>
  <c r="AH1640" i="13"/>
  <c r="W1639" i="13"/>
  <c r="X1639" i="13"/>
  <c r="Y1639" i="13"/>
  <c r="Z1639" i="13"/>
  <c r="AA1639" i="13"/>
  <c r="AB1639" i="13"/>
  <c r="AC1639" i="13"/>
  <c r="AD1639" i="13"/>
  <c r="AE1639" i="13"/>
  <c r="AF1639" i="13"/>
  <c r="AG1639" i="13"/>
  <c r="AH1639" i="13"/>
  <c r="W1638" i="13"/>
  <c r="X1638" i="13"/>
  <c r="Y1638" i="13"/>
  <c r="Z1638" i="13"/>
  <c r="AA1638" i="13"/>
  <c r="AB1638" i="13"/>
  <c r="AC1638" i="13"/>
  <c r="AD1638" i="13"/>
  <c r="AE1638" i="13"/>
  <c r="AF1638" i="13"/>
  <c r="AG1638" i="13"/>
  <c r="AH1638" i="13"/>
  <c r="W1637" i="13"/>
  <c r="X1637" i="13"/>
  <c r="Y1637" i="13"/>
  <c r="Z1637" i="13"/>
  <c r="AA1637" i="13"/>
  <c r="AB1637" i="13"/>
  <c r="AC1637" i="13"/>
  <c r="AD1637" i="13"/>
  <c r="AE1637" i="13"/>
  <c r="AF1637" i="13"/>
  <c r="AG1637" i="13"/>
  <c r="AH1637" i="13"/>
  <c r="W1636" i="13"/>
  <c r="X1636" i="13"/>
  <c r="Y1636" i="13"/>
  <c r="Z1636" i="13"/>
  <c r="AA1636" i="13"/>
  <c r="AB1636" i="13"/>
  <c r="AC1636" i="13"/>
  <c r="AD1636" i="13"/>
  <c r="AE1636" i="13"/>
  <c r="AF1636" i="13"/>
  <c r="AG1636" i="13"/>
  <c r="AH1636" i="13"/>
  <c r="W1635" i="13"/>
  <c r="X1635" i="13"/>
  <c r="Y1635" i="13"/>
  <c r="Z1635" i="13"/>
  <c r="AA1635" i="13"/>
  <c r="AB1635" i="13"/>
  <c r="AC1635" i="13"/>
  <c r="AD1635" i="13"/>
  <c r="AE1635" i="13"/>
  <c r="AF1635" i="13"/>
  <c r="AG1635" i="13"/>
  <c r="AH1635" i="13"/>
  <c r="W1634" i="13"/>
  <c r="X1634" i="13"/>
  <c r="Y1634" i="13"/>
  <c r="Z1634" i="13"/>
  <c r="AA1634" i="13"/>
  <c r="AB1634" i="13"/>
  <c r="AC1634" i="13"/>
  <c r="AD1634" i="13"/>
  <c r="AE1634" i="13"/>
  <c r="AF1634" i="13"/>
  <c r="AG1634" i="13"/>
  <c r="AH1634" i="13"/>
  <c r="W1633" i="13"/>
  <c r="X1633" i="13"/>
  <c r="Y1633" i="13"/>
  <c r="Z1633" i="13"/>
  <c r="AA1633" i="13"/>
  <c r="AB1633" i="13"/>
  <c r="AC1633" i="13"/>
  <c r="AD1633" i="13"/>
  <c r="AE1633" i="13"/>
  <c r="AF1633" i="13"/>
  <c r="AG1633" i="13"/>
  <c r="AH1633" i="13"/>
  <c r="W1632" i="13"/>
  <c r="X1632" i="13"/>
  <c r="Y1632" i="13"/>
  <c r="Z1632" i="13"/>
  <c r="AA1632" i="13"/>
  <c r="AB1632" i="13"/>
  <c r="AC1632" i="13"/>
  <c r="AD1632" i="13"/>
  <c r="AE1632" i="13"/>
  <c r="AF1632" i="13"/>
  <c r="AG1632" i="13"/>
  <c r="AH1632" i="13"/>
  <c r="W1631" i="13"/>
  <c r="X1631" i="13"/>
  <c r="Y1631" i="13"/>
  <c r="Z1631" i="13"/>
  <c r="AA1631" i="13"/>
  <c r="AB1631" i="13"/>
  <c r="AC1631" i="13"/>
  <c r="AD1631" i="13"/>
  <c r="AE1631" i="13"/>
  <c r="AF1631" i="13"/>
  <c r="AG1631" i="13"/>
  <c r="AH1631" i="13"/>
  <c r="W1630" i="13"/>
  <c r="X1630" i="13"/>
  <c r="Y1630" i="13"/>
  <c r="Z1630" i="13"/>
  <c r="AA1630" i="13"/>
  <c r="AB1630" i="13"/>
  <c r="AC1630" i="13"/>
  <c r="AD1630" i="13"/>
  <c r="AE1630" i="13"/>
  <c r="AF1630" i="13"/>
  <c r="AG1630" i="13"/>
  <c r="AH1630" i="13"/>
  <c r="W1629" i="13"/>
  <c r="X1629" i="13"/>
  <c r="Y1629" i="13"/>
  <c r="Z1629" i="13"/>
  <c r="AA1629" i="13"/>
  <c r="AB1629" i="13"/>
  <c r="AC1629" i="13"/>
  <c r="AD1629" i="13"/>
  <c r="AE1629" i="13"/>
  <c r="AF1629" i="13"/>
  <c r="AG1629" i="13"/>
  <c r="AH1629" i="13"/>
  <c r="W1628" i="13"/>
  <c r="X1628" i="13"/>
  <c r="Y1628" i="13"/>
  <c r="Z1628" i="13"/>
  <c r="AA1628" i="13"/>
  <c r="AB1628" i="13"/>
  <c r="AC1628" i="13"/>
  <c r="AD1628" i="13"/>
  <c r="AE1628" i="13"/>
  <c r="AF1628" i="13"/>
  <c r="AG1628" i="13"/>
  <c r="AH1628" i="13"/>
  <c r="W1627" i="13"/>
  <c r="X1627" i="13"/>
  <c r="Y1627" i="13"/>
  <c r="Z1627" i="13"/>
  <c r="AA1627" i="13"/>
  <c r="AB1627" i="13"/>
  <c r="AC1627" i="13"/>
  <c r="AD1627" i="13"/>
  <c r="AE1627" i="13"/>
  <c r="AF1627" i="13"/>
  <c r="AG1627" i="13"/>
  <c r="AH1627" i="13"/>
  <c r="W1626" i="13"/>
  <c r="X1626" i="13"/>
  <c r="Y1626" i="13"/>
  <c r="Z1626" i="13"/>
  <c r="AA1626" i="13"/>
  <c r="AB1626" i="13"/>
  <c r="AC1626" i="13"/>
  <c r="AD1626" i="13"/>
  <c r="AE1626" i="13"/>
  <c r="AF1626" i="13"/>
  <c r="AG1626" i="13"/>
  <c r="AH1626" i="13"/>
  <c r="W1625" i="13"/>
  <c r="X1625" i="13"/>
  <c r="Y1625" i="13"/>
  <c r="Z1625" i="13"/>
  <c r="AA1625" i="13"/>
  <c r="AB1625" i="13"/>
  <c r="AC1625" i="13"/>
  <c r="AD1625" i="13"/>
  <c r="AE1625" i="13"/>
  <c r="AF1625" i="13"/>
  <c r="AG1625" i="13"/>
  <c r="AH1625" i="13"/>
  <c r="W1624" i="13"/>
  <c r="X1624" i="13"/>
  <c r="Y1624" i="13"/>
  <c r="Z1624" i="13"/>
  <c r="AA1624" i="13"/>
  <c r="AB1624" i="13"/>
  <c r="AC1624" i="13"/>
  <c r="AD1624" i="13"/>
  <c r="AE1624" i="13"/>
  <c r="AF1624" i="13"/>
  <c r="AG1624" i="13"/>
  <c r="AH1624" i="13"/>
  <c r="W1623" i="13"/>
  <c r="X1623" i="13"/>
  <c r="Y1623" i="13"/>
  <c r="Z1623" i="13"/>
  <c r="AA1623" i="13"/>
  <c r="AB1623" i="13"/>
  <c r="AC1623" i="13"/>
  <c r="AD1623" i="13"/>
  <c r="AE1623" i="13"/>
  <c r="AF1623" i="13"/>
  <c r="AG1623" i="13"/>
  <c r="AH1623" i="13"/>
  <c r="W1622" i="13"/>
  <c r="X1622" i="13"/>
  <c r="Y1622" i="13"/>
  <c r="Z1622" i="13"/>
  <c r="AA1622" i="13"/>
  <c r="AB1622" i="13"/>
  <c r="AC1622" i="13"/>
  <c r="AD1622" i="13"/>
  <c r="AE1622" i="13"/>
  <c r="AF1622" i="13"/>
  <c r="AG1622" i="13"/>
  <c r="AH1622" i="13"/>
  <c r="W1621" i="13"/>
  <c r="X1621" i="13"/>
  <c r="Y1621" i="13"/>
  <c r="Z1621" i="13"/>
  <c r="AA1621" i="13"/>
  <c r="AB1621" i="13"/>
  <c r="AC1621" i="13"/>
  <c r="AD1621" i="13"/>
  <c r="AE1621" i="13"/>
  <c r="AF1621" i="13"/>
  <c r="AG1621" i="13"/>
  <c r="AH1621" i="13"/>
  <c r="W1620" i="13"/>
  <c r="X1620" i="13"/>
  <c r="Y1620" i="13"/>
  <c r="Z1620" i="13"/>
  <c r="AA1620" i="13"/>
  <c r="AB1620" i="13"/>
  <c r="AC1620" i="13"/>
  <c r="AD1620" i="13"/>
  <c r="AE1620" i="13"/>
  <c r="AF1620" i="13"/>
  <c r="AG1620" i="13"/>
  <c r="AH1620" i="13"/>
  <c r="W1619" i="13"/>
  <c r="X1619" i="13"/>
  <c r="Y1619" i="13"/>
  <c r="Z1619" i="13"/>
  <c r="AA1619" i="13"/>
  <c r="AB1619" i="13"/>
  <c r="AC1619" i="13"/>
  <c r="AD1619" i="13"/>
  <c r="AE1619" i="13"/>
  <c r="AF1619" i="13"/>
  <c r="AG1619" i="13"/>
  <c r="AH1619" i="13"/>
  <c r="W1618" i="13"/>
  <c r="X1618" i="13"/>
  <c r="Y1618" i="13"/>
  <c r="Z1618" i="13"/>
  <c r="AA1618" i="13"/>
  <c r="AB1618" i="13"/>
  <c r="AC1618" i="13"/>
  <c r="AD1618" i="13"/>
  <c r="AE1618" i="13"/>
  <c r="AF1618" i="13"/>
  <c r="AG1618" i="13"/>
  <c r="AH1618" i="13"/>
  <c r="W1617" i="13"/>
  <c r="X1617" i="13"/>
  <c r="Y1617" i="13"/>
  <c r="Z1617" i="13"/>
  <c r="AA1617" i="13"/>
  <c r="AB1617" i="13"/>
  <c r="AC1617" i="13"/>
  <c r="AD1617" i="13"/>
  <c r="AE1617" i="13"/>
  <c r="AF1617" i="13"/>
  <c r="AG1617" i="13"/>
  <c r="AH1617" i="13"/>
  <c r="W1616" i="13"/>
  <c r="X1616" i="13"/>
  <c r="Y1616" i="13"/>
  <c r="Z1616" i="13"/>
  <c r="AA1616" i="13"/>
  <c r="AB1616" i="13"/>
  <c r="AC1616" i="13"/>
  <c r="AD1616" i="13"/>
  <c r="AE1616" i="13"/>
  <c r="AF1616" i="13"/>
  <c r="AG1616" i="13"/>
  <c r="AH1616" i="13"/>
  <c r="W1615" i="13" l="1"/>
  <c r="X1615" i="13"/>
  <c r="Y1615" i="13"/>
  <c r="Z1615" i="13"/>
  <c r="AA1615" i="13"/>
  <c r="AB1615" i="13"/>
  <c r="AC1615" i="13"/>
  <c r="AD1615" i="13"/>
  <c r="AE1615" i="13"/>
  <c r="AF1615" i="13"/>
  <c r="AG1615" i="13"/>
  <c r="AH1615" i="13"/>
  <c r="W1614" i="13"/>
  <c r="X1614" i="13"/>
  <c r="Y1614" i="13"/>
  <c r="Z1614" i="13"/>
  <c r="AA1614" i="13"/>
  <c r="AB1614" i="13"/>
  <c r="AC1614" i="13"/>
  <c r="AD1614" i="13"/>
  <c r="AE1614" i="13"/>
  <c r="AF1614" i="13"/>
  <c r="AG1614" i="13"/>
  <c r="AH1614" i="13"/>
  <c r="W1613" i="13"/>
  <c r="X1613" i="13"/>
  <c r="Y1613" i="13"/>
  <c r="Z1613" i="13"/>
  <c r="AA1613" i="13"/>
  <c r="AB1613" i="13"/>
  <c r="AC1613" i="13"/>
  <c r="AD1613" i="13"/>
  <c r="AE1613" i="13"/>
  <c r="AF1613" i="13"/>
  <c r="AG1613" i="13"/>
  <c r="AH1613" i="13"/>
  <c r="W1612" i="13"/>
  <c r="Z1612" i="13"/>
  <c r="X1612" i="13" s="1"/>
  <c r="AC1612" i="13" s="1"/>
  <c r="AA1612" i="13"/>
  <c r="AB1612" i="13"/>
  <c r="AD1612" i="13"/>
  <c r="AE1612" i="13"/>
  <c r="AF1612" i="13"/>
  <c r="Y1612" i="13" s="1"/>
  <c r="AG1612" i="13"/>
  <c r="AH1612" i="13"/>
  <c r="W1611" i="13"/>
  <c r="Z1611" i="13"/>
  <c r="X1611" i="13" s="1"/>
  <c r="AC1611" i="13" s="1"/>
  <c r="AA1611" i="13"/>
  <c r="AB1611" i="13"/>
  <c r="AD1611" i="13"/>
  <c r="AE1611" i="13"/>
  <c r="AF1611" i="13"/>
  <c r="Y1611" i="13" s="1"/>
  <c r="AG1611" i="13"/>
  <c r="AH1611" i="13"/>
  <c r="W1610" i="13"/>
  <c r="Z1610" i="13"/>
  <c r="X1610" i="13" s="1"/>
  <c r="AC1610" i="13" s="1"/>
  <c r="AA1610" i="13"/>
  <c r="AB1610" i="13"/>
  <c r="AD1610" i="13"/>
  <c r="AE1610" i="13"/>
  <c r="AF1610" i="13"/>
  <c r="Y1610" i="13" s="1"/>
  <c r="AG1610" i="13"/>
  <c r="AH1610" i="13"/>
  <c r="W1609" i="13"/>
  <c r="Z1609" i="13"/>
  <c r="X1609" i="13" s="1"/>
  <c r="AC1609" i="13" s="1"/>
  <c r="AA1609" i="13"/>
  <c r="AB1609" i="13"/>
  <c r="AD1609" i="13"/>
  <c r="AE1609" i="13"/>
  <c r="AF1609" i="13"/>
  <c r="Y1609" i="13" s="1"/>
  <c r="AG1609" i="13"/>
  <c r="AH1609" i="13"/>
  <c r="W1608" i="13"/>
  <c r="Z1608" i="13"/>
  <c r="X1608" i="13" s="1"/>
  <c r="AC1608" i="13" s="1"/>
  <c r="AA1608" i="13"/>
  <c r="AB1608" i="13"/>
  <c r="AD1608" i="13"/>
  <c r="AE1608" i="13"/>
  <c r="AF1608" i="13"/>
  <c r="Y1608" i="13" s="1"/>
  <c r="AG1608" i="13"/>
  <c r="AH1608" i="13"/>
  <c r="W1607" i="13"/>
  <c r="Z1607" i="13"/>
  <c r="X1607" i="13" s="1"/>
  <c r="AC1607" i="13" s="1"/>
  <c r="AA1607" i="13"/>
  <c r="AB1607" i="13"/>
  <c r="AD1607" i="13"/>
  <c r="AE1607" i="13"/>
  <c r="AF1607" i="13"/>
  <c r="Y1607" i="13" s="1"/>
  <c r="AG1607" i="13"/>
  <c r="AH1607" i="13"/>
  <c r="W1606" i="13"/>
  <c r="Z1606" i="13"/>
  <c r="X1606" i="13" s="1"/>
  <c r="AC1606" i="13" s="1"/>
  <c r="AA1606" i="13"/>
  <c r="AB1606" i="13"/>
  <c r="AD1606" i="13"/>
  <c r="AE1606" i="13"/>
  <c r="AF1606" i="13"/>
  <c r="Y1606" i="13" s="1"/>
  <c r="AG1606" i="13"/>
  <c r="AH1606" i="13"/>
  <c r="W1605" i="13"/>
  <c r="Z1605" i="13"/>
  <c r="X1605" i="13" s="1"/>
  <c r="AC1605" i="13" s="1"/>
  <c r="AA1605" i="13"/>
  <c r="AB1605" i="13"/>
  <c r="AD1605" i="13"/>
  <c r="AE1605" i="13"/>
  <c r="AF1605" i="13"/>
  <c r="Y1605" i="13" s="1"/>
  <c r="AG1605" i="13"/>
  <c r="AH1605" i="13"/>
  <c r="W1604" i="13"/>
  <c r="Z1604" i="13"/>
  <c r="X1604" i="13" s="1"/>
  <c r="AC1604" i="13" s="1"/>
  <c r="AA1604" i="13"/>
  <c r="AB1604" i="13"/>
  <c r="AD1604" i="13"/>
  <c r="AE1604" i="13"/>
  <c r="AF1604" i="13"/>
  <c r="Y1604" i="13" s="1"/>
  <c r="AG1604" i="13"/>
  <c r="AH1604" i="13"/>
  <c r="W1603" i="13"/>
  <c r="Z1603" i="13"/>
  <c r="X1603" i="13" s="1"/>
  <c r="AC1603" i="13" s="1"/>
  <c r="AA1603" i="13"/>
  <c r="AB1603" i="13"/>
  <c r="AD1603" i="13"/>
  <c r="AE1603" i="13"/>
  <c r="AF1603" i="13"/>
  <c r="Y1603" i="13" s="1"/>
  <c r="AG1603" i="13"/>
  <c r="AH1603" i="13"/>
  <c r="W1602" i="13"/>
  <c r="Z1602" i="13"/>
  <c r="X1602" i="13" s="1"/>
  <c r="AC1602" i="13" s="1"/>
  <c r="AA1602" i="13"/>
  <c r="AB1602" i="13"/>
  <c r="AD1602" i="13"/>
  <c r="AE1602" i="13"/>
  <c r="AF1602" i="13"/>
  <c r="Y1602" i="13" s="1"/>
  <c r="AG1602" i="13"/>
  <c r="AH1602" i="13"/>
  <c r="W1601" i="13"/>
  <c r="AE1601" i="13" s="1"/>
  <c r="Z1601" i="13"/>
  <c r="AA1601" i="13"/>
  <c r="AB1601" i="13"/>
  <c r="AD1601" i="13"/>
  <c r="AF1601" i="13"/>
  <c r="AG1601" i="13"/>
  <c r="AH1601" i="13"/>
  <c r="W1600" i="13"/>
  <c r="Z1600" i="13"/>
  <c r="X1600" i="13" s="1"/>
  <c r="AC1600" i="13" s="1"/>
  <c r="AA1600" i="13"/>
  <c r="AB1600" i="13"/>
  <c r="AD1600" i="13"/>
  <c r="AE1600" i="13"/>
  <c r="AF1600" i="13"/>
  <c r="Y1600" i="13" s="1"/>
  <c r="AG1600" i="13"/>
  <c r="AH1600" i="13"/>
  <c r="X1601" i="13" l="1"/>
  <c r="AC1601" i="13" s="1"/>
  <c r="Y1601" i="13"/>
  <c r="W1599" i="13"/>
  <c r="Z1599" i="13"/>
  <c r="X1599" i="13" s="1"/>
  <c r="AC1599" i="13" s="1"/>
  <c r="AA1599" i="13"/>
  <c r="AB1599" i="13"/>
  <c r="AD1599" i="13"/>
  <c r="AE1599" i="13"/>
  <c r="AF1599" i="13"/>
  <c r="Y1599" i="13" s="1"/>
  <c r="AG1599" i="13"/>
  <c r="AH1599" i="13"/>
  <c r="W1598" i="13"/>
  <c r="Z1598" i="13"/>
  <c r="AA1598" i="13"/>
  <c r="AB1598" i="13"/>
  <c r="AD1598" i="13"/>
  <c r="AE1598" i="13"/>
  <c r="AF1598" i="13"/>
  <c r="AG1598" i="13"/>
  <c r="AH1598" i="13"/>
  <c r="W1597" i="13"/>
  <c r="Z1597" i="13"/>
  <c r="X1597" i="13" s="1"/>
  <c r="AC1597" i="13" s="1"/>
  <c r="AA1597" i="13"/>
  <c r="AB1597" i="13"/>
  <c r="AD1597" i="13"/>
  <c r="AE1597" i="13"/>
  <c r="AF1597" i="13"/>
  <c r="AG1597" i="13"/>
  <c r="AH1597" i="13"/>
  <c r="W1596" i="13"/>
  <c r="AE1596" i="13" s="1"/>
  <c r="Z1596" i="13"/>
  <c r="AA1596" i="13"/>
  <c r="AB1596" i="13"/>
  <c r="AD1596" i="13"/>
  <c r="AF1596" i="13"/>
  <c r="AG1596" i="13"/>
  <c r="AH1596" i="13"/>
  <c r="W1595" i="13"/>
  <c r="Z1595" i="13"/>
  <c r="X1595" i="13" s="1"/>
  <c r="AC1595" i="13" s="1"/>
  <c r="AA1595" i="13"/>
  <c r="AB1595" i="13"/>
  <c r="AD1595" i="13"/>
  <c r="AE1595" i="13"/>
  <c r="AG1595" i="13"/>
  <c r="AH1595" i="13"/>
  <c r="W1594" i="13"/>
  <c r="Z1594" i="13"/>
  <c r="X1594" i="13" s="1"/>
  <c r="AC1594" i="13" s="1"/>
  <c r="AA1594" i="13"/>
  <c r="AB1594" i="13"/>
  <c r="AD1594" i="13"/>
  <c r="AE1594" i="13"/>
  <c r="AF1594" i="13"/>
  <c r="Y1594" i="13" s="1"/>
  <c r="AG1594" i="13"/>
  <c r="AH1594" i="13"/>
  <c r="W1593" i="13"/>
  <c r="AE1593" i="13" s="1"/>
  <c r="Z1593" i="13"/>
  <c r="AA1593" i="13"/>
  <c r="AB1593" i="13"/>
  <c r="AD1593" i="13"/>
  <c r="AF1593" i="13"/>
  <c r="AG1593" i="13"/>
  <c r="AH1593" i="13"/>
  <c r="W1592" i="13"/>
  <c r="AE1592" i="13" s="1"/>
  <c r="Z1592" i="13"/>
  <c r="AA1592" i="13"/>
  <c r="AB1592" i="13"/>
  <c r="AD1592" i="13"/>
  <c r="AF1592" i="13"/>
  <c r="AG1592" i="13"/>
  <c r="AH1592" i="13"/>
  <c r="W1591" i="13"/>
  <c r="AE1591" i="13" s="1"/>
  <c r="Z1591" i="13"/>
  <c r="AA1591" i="13"/>
  <c r="AB1591" i="13"/>
  <c r="AD1591" i="13"/>
  <c r="AF1591" i="13"/>
  <c r="AG1591" i="13"/>
  <c r="AH1591" i="13"/>
  <c r="W1590" i="13"/>
  <c r="Z1590" i="13"/>
  <c r="X1590" i="13" s="1"/>
  <c r="AC1590" i="13" s="1"/>
  <c r="AA1590" i="13"/>
  <c r="AB1590" i="13"/>
  <c r="AD1590" i="13"/>
  <c r="AE1590" i="13"/>
  <c r="AF1590" i="13"/>
  <c r="Y1590" i="13" s="1"/>
  <c r="AG1590" i="13"/>
  <c r="AH1590" i="13"/>
  <c r="W1589" i="13"/>
  <c r="Z1589" i="13"/>
  <c r="X1589" i="13" s="1"/>
  <c r="AC1589" i="13" s="1"/>
  <c r="AA1589" i="13"/>
  <c r="AB1589" i="13"/>
  <c r="AD1589" i="13"/>
  <c r="AE1589" i="13"/>
  <c r="AG1589" i="13"/>
  <c r="AH1589" i="13"/>
  <c r="W1588" i="13"/>
  <c r="AE1588" i="13" s="1"/>
  <c r="Z1588" i="13"/>
  <c r="AA1588" i="13"/>
  <c r="AB1588" i="13"/>
  <c r="AD1588" i="13"/>
  <c r="AF1588" i="13"/>
  <c r="AG1588" i="13"/>
  <c r="AH1588" i="13"/>
  <c r="W1587" i="13"/>
  <c r="Z1587" i="13"/>
  <c r="X1587" i="13" s="1"/>
  <c r="AC1587" i="13" s="1"/>
  <c r="AA1587" i="13"/>
  <c r="AB1587" i="13"/>
  <c r="AD1587" i="13"/>
  <c r="AE1587" i="13"/>
  <c r="AG1587" i="13"/>
  <c r="AH1587" i="13"/>
  <c r="W1586" i="13"/>
  <c r="AE1586" i="13" s="1"/>
  <c r="Z1586" i="13"/>
  <c r="AA1586" i="13"/>
  <c r="AB1586" i="13"/>
  <c r="AD1586" i="13"/>
  <c r="AF1586" i="13"/>
  <c r="AG1586" i="13"/>
  <c r="AH1586" i="13"/>
  <c r="W1585" i="13"/>
  <c r="Z1585" i="13"/>
  <c r="X1585" i="13" s="1"/>
  <c r="AC1585" i="13" s="1"/>
  <c r="AA1585" i="13"/>
  <c r="AB1585" i="13"/>
  <c r="AD1585" i="13"/>
  <c r="AE1585" i="13"/>
  <c r="AG1585" i="13"/>
  <c r="AH1585" i="13"/>
  <c r="W1584" i="13"/>
  <c r="AE1584" i="13" s="1"/>
  <c r="Z1584" i="13"/>
  <c r="AA1584" i="13"/>
  <c r="AB1584" i="13"/>
  <c r="AD1584" i="13"/>
  <c r="AG1584" i="13"/>
  <c r="AH1584" i="13"/>
  <c r="X1592" i="13" l="1"/>
  <c r="AC1592" i="13" s="1"/>
  <c r="AF1595" i="13"/>
  <c r="Y1595" i="13" s="1"/>
  <c r="X1598" i="13"/>
  <c r="AC1598" i="13" s="1"/>
  <c r="X1584" i="13"/>
  <c r="AC1584" i="13" s="1"/>
  <c r="AF1585" i="13"/>
  <c r="Y1585" i="13" s="1"/>
  <c r="X1586" i="13"/>
  <c r="AC1586" i="13" s="1"/>
  <c r="AF1587" i="13"/>
  <c r="X1588" i="13"/>
  <c r="AC1588" i="13" s="1"/>
  <c r="AF1589" i="13"/>
  <c r="Y1589" i="13" s="1"/>
  <c r="X1591" i="13"/>
  <c r="AC1591" i="13" s="1"/>
  <c r="X1593" i="13"/>
  <c r="AC1593" i="13" s="1"/>
  <c r="X1596" i="13"/>
  <c r="AC1596" i="13" s="1"/>
  <c r="Y1588" i="13"/>
  <c r="Y1591" i="13"/>
  <c r="Y1593" i="13"/>
  <c r="Y1598" i="13"/>
  <c r="Y1587" i="13"/>
  <c r="Y1586" i="13"/>
  <c r="Y1592" i="13"/>
  <c r="Y1597" i="13"/>
  <c r="Y1596" i="13"/>
  <c r="AF1584" i="13"/>
  <c r="Y1584" i="13" s="1"/>
  <c r="W1583" i="13"/>
  <c r="Z1583" i="13"/>
  <c r="AA1583" i="13"/>
  <c r="AB1583" i="13"/>
  <c r="AD1583" i="13"/>
  <c r="AE1583" i="13"/>
  <c r="AF1583" i="13"/>
  <c r="AG1583" i="13"/>
  <c r="AH1583" i="13"/>
  <c r="W1582" i="13"/>
  <c r="Z1582" i="13"/>
  <c r="X1582" i="13" s="1"/>
  <c r="AC1582" i="13" s="1"/>
  <c r="AA1582" i="13"/>
  <c r="AB1582" i="13"/>
  <c r="AD1582" i="13"/>
  <c r="AE1582" i="13"/>
  <c r="AF1582" i="13"/>
  <c r="AG1582" i="13"/>
  <c r="AH1582" i="13"/>
  <c r="W1581" i="13"/>
  <c r="AE1581" i="13" s="1"/>
  <c r="Z1581" i="13"/>
  <c r="AA1581" i="13"/>
  <c r="AB1581" i="13"/>
  <c r="AD1581" i="13"/>
  <c r="AF1581" i="13"/>
  <c r="AG1581" i="13"/>
  <c r="AH1581" i="13"/>
  <c r="W1580" i="13"/>
  <c r="Z1580" i="13"/>
  <c r="X1580" i="13" s="1"/>
  <c r="AC1580" i="13" s="1"/>
  <c r="AA1580" i="13"/>
  <c r="AB1580" i="13"/>
  <c r="AD1580" i="13"/>
  <c r="AE1580" i="13"/>
  <c r="AF1580" i="13"/>
  <c r="Y1580" i="13" s="1"/>
  <c r="AG1580" i="13"/>
  <c r="AH1580" i="13"/>
  <c r="W1579" i="13"/>
  <c r="AE1579" i="13" s="1"/>
  <c r="Z1579" i="13"/>
  <c r="AA1579" i="13"/>
  <c r="AB1579" i="13"/>
  <c r="AD1579" i="13"/>
  <c r="AF1579" i="13"/>
  <c r="AG1579" i="13"/>
  <c r="AH1579" i="13"/>
  <c r="W1578" i="13"/>
  <c r="AE1578" i="13" s="1"/>
  <c r="Z1578" i="13"/>
  <c r="AA1578" i="13"/>
  <c r="AB1578" i="13"/>
  <c r="AD1578" i="13"/>
  <c r="AF1578" i="13"/>
  <c r="AG1578" i="13"/>
  <c r="AH1578" i="13"/>
  <c r="W1577" i="13"/>
  <c r="AE1577" i="13" s="1"/>
  <c r="Z1577" i="13"/>
  <c r="AA1577" i="13"/>
  <c r="AB1577" i="13"/>
  <c r="AD1577" i="13"/>
  <c r="AF1577" i="13"/>
  <c r="AG1577" i="13"/>
  <c r="AH1577" i="13"/>
  <c r="W1576" i="13"/>
  <c r="AE1576" i="13" s="1"/>
  <c r="Z1576" i="13"/>
  <c r="AA1576" i="13"/>
  <c r="AB1576" i="13"/>
  <c r="AD1576" i="13"/>
  <c r="AG1576" i="13"/>
  <c r="AH1576" i="13"/>
  <c r="W1575" i="13"/>
  <c r="AE1575" i="13" s="1"/>
  <c r="Z1575" i="13"/>
  <c r="AA1575" i="13"/>
  <c r="AB1575" i="13"/>
  <c r="AD1575" i="13"/>
  <c r="AF1575" i="13"/>
  <c r="AG1575" i="13"/>
  <c r="AH1575" i="13"/>
  <c r="W1574" i="13"/>
  <c r="AE1574" i="13" s="1"/>
  <c r="Z1574" i="13"/>
  <c r="AA1574" i="13"/>
  <c r="AB1574" i="13"/>
  <c r="AD1574" i="13"/>
  <c r="AF1574" i="13"/>
  <c r="AG1574" i="13"/>
  <c r="AH1574" i="13"/>
  <c r="W1573" i="13"/>
  <c r="AE1573" i="13" s="1"/>
  <c r="Z1573" i="13"/>
  <c r="AA1573" i="13"/>
  <c r="AB1573" i="13"/>
  <c r="AD1573" i="13"/>
  <c r="AF1573" i="13"/>
  <c r="AG1573" i="13"/>
  <c r="AH1573" i="13"/>
  <c r="W1572" i="13"/>
  <c r="Z1572" i="13"/>
  <c r="AA1572" i="13"/>
  <c r="AB1572" i="13"/>
  <c r="AD1572" i="13"/>
  <c r="AE1572" i="13"/>
  <c r="AF1572" i="13"/>
  <c r="AG1572" i="13"/>
  <c r="AH1572" i="13"/>
  <c r="W1571" i="13"/>
  <c r="AE1571" i="13" s="1"/>
  <c r="Z1571" i="13"/>
  <c r="AA1571" i="13"/>
  <c r="AB1571" i="13"/>
  <c r="AD1571" i="13"/>
  <c r="AF1571" i="13"/>
  <c r="AG1571" i="13"/>
  <c r="AH1571" i="13"/>
  <c r="W1570" i="13"/>
  <c r="AE1570" i="13" s="1"/>
  <c r="Z1570" i="13"/>
  <c r="AA1570" i="13"/>
  <c r="AB1570" i="13"/>
  <c r="AD1570" i="13"/>
  <c r="AF1570" i="13"/>
  <c r="AG1570" i="13"/>
  <c r="AH1570" i="13"/>
  <c r="W1569" i="13"/>
  <c r="AE1569" i="13" s="1"/>
  <c r="Z1569" i="13"/>
  <c r="AA1569" i="13"/>
  <c r="AB1569" i="13"/>
  <c r="AD1569" i="13"/>
  <c r="AF1569" i="13"/>
  <c r="AG1569" i="13"/>
  <c r="AH1569" i="13"/>
  <c r="W1568" i="13"/>
  <c r="AE1568" i="13" s="1"/>
  <c r="Z1568" i="13"/>
  <c r="AA1568" i="13"/>
  <c r="AB1568" i="13"/>
  <c r="AD1568" i="13"/>
  <c r="AF1568" i="13"/>
  <c r="AG1568" i="13"/>
  <c r="AH1568" i="13"/>
  <c r="W1567" i="13"/>
  <c r="AE1567" i="13" s="1"/>
  <c r="Z1567" i="13"/>
  <c r="AA1567" i="13"/>
  <c r="AB1567" i="13"/>
  <c r="AD1567" i="13"/>
  <c r="AF1567" i="13"/>
  <c r="AG1567" i="13"/>
  <c r="AH1567" i="13"/>
  <c r="W1566" i="13"/>
  <c r="AE1566" i="13" s="1"/>
  <c r="Z1566" i="13"/>
  <c r="AA1566" i="13"/>
  <c r="AB1566" i="13"/>
  <c r="AD1566" i="13"/>
  <c r="AF1566" i="13"/>
  <c r="AG1566" i="13"/>
  <c r="AH1566" i="13"/>
  <c r="W1565" i="13"/>
  <c r="AE1565" i="13" s="1"/>
  <c r="Z1565" i="13"/>
  <c r="AA1565" i="13"/>
  <c r="AB1565" i="13"/>
  <c r="AD1565" i="13"/>
  <c r="AF1565" i="13"/>
  <c r="AG1565" i="13"/>
  <c r="AH1565" i="13"/>
  <c r="W1564" i="13"/>
  <c r="Z1564" i="13"/>
  <c r="AA1564" i="13"/>
  <c r="AB1564" i="13"/>
  <c r="AD1564" i="13"/>
  <c r="AE1564" i="13"/>
  <c r="AG1564" i="13"/>
  <c r="AH1564" i="13"/>
  <c r="W1563" i="13"/>
  <c r="AE1563" i="13" s="1"/>
  <c r="Z1563" i="13"/>
  <c r="AA1563" i="13"/>
  <c r="AB1563" i="13"/>
  <c r="AD1563" i="13"/>
  <c r="AF1563" i="13"/>
  <c r="AG1563" i="13"/>
  <c r="AH1563" i="13"/>
  <c r="W1562" i="13"/>
  <c r="Z1562" i="13"/>
  <c r="X1562" i="13" s="1"/>
  <c r="AC1562" i="13" s="1"/>
  <c r="AA1562" i="13"/>
  <c r="AB1562" i="13"/>
  <c r="AD1562" i="13"/>
  <c r="AE1562" i="13"/>
  <c r="AF1562" i="13"/>
  <c r="AG1562" i="13"/>
  <c r="AH1562" i="13"/>
  <c r="W1561" i="13"/>
  <c r="AE1561" i="13" s="1"/>
  <c r="Z1561" i="13"/>
  <c r="AA1561" i="13"/>
  <c r="AB1561" i="13"/>
  <c r="AD1561" i="13"/>
  <c r="AF1561" i="13"/>
  <c r="AG1561" i="13"/>
  <c r="AH1561" i="13"/>
  <c r="W1560" i="13"/>
  <c r="AE1560" i="13" s="1"/>
  <c r="Z1560" i="13"/>
  <c r="AA1560" i="13"/>
  <c r="AB1560" i="13"/>
  <c r="AD1560" i="13"/>
  <c r="AF1560" i="13"/>
  <c r="AG1560" i="13"/>
  <c r="AH1560" i="13"/>
  <c r="W1559" i="13"/>
  <c r="AE1559" i="13" s="1"/>
  <c r="Z1559" i="13"/>
  <c r="AA1559" i="13"/>
  <c r="AB1559" i="13"/>
  <c r="AD1559" i="13"/>
  <c r="AF1559" i="13"/>
  <c r="AG1559" i="13"/>
  <c r="AH1559" i="13"/>
  <c r="W1558" i="13"/>
  <c r="AE1558" i="13" s="1"/>
  <c r="Z1558" i="13"/>
  <c r="AA1558" i="13"/>
  <c r="AB1558" i="13"/>
  <c r="AD1558" i="13"/>
  <c r="AF1558" i="13"/>
  <c r="AG1558" i="13"/>
  <c r="AH1558" i="13"/>
  <c r="W1557" i="13"/>
  <c r="AE1557" i="13" s="1"/>
  <c r="Z1557" i="13"/>
  <c r="AA1557" i="13"/>
  <c r="AB1557" i="13"/>
  <c r="AD1557" i="13"/>
  <c r="AF1557" i="13"/>
  <c r="AG1557" i="13"/>
  <c r="AH1557" i="13"/>
  <c r="W1556" i="13"/>
  <c r="AE1556" i="13" s="1"/>
  <c r="Z1556" i="13"/>
  <c r="AA1556" i="13"/>
  <c r="AB1556" i="13"/>
  <c r="AD1556" i="13"/>
  <c r="AF1556" i="13"/>
  <c r="AG1556" i="13"/>
  <c r="AH1556" i="13"/>
  <c r="W1555" i="13"/>
  <c r="AE1555" i="13" s="1"/>
  <c r="Z1555" i="13"/>
  <c r="AA1555" i="13"/>
  <c r="AB1555" i="13"/>
  <c r="AD1555" i="13"/>
  <c r="AF1555" i="13"/>
  <c r="AG1555" i="13"/>
  <c r="AH1555" i="13"/>
  <c r="W1554" i="13"/>
  <c r="AE1554" i="13" s="1"/>
  <c r="Z1554" i="13"/>
  <c r="AA1554" i="13"/>
  <c r="AB1554" i="13"/>
  <c r="AD1554" i="13"/>
  <c r="AF1554" i="13"/>
  <c r="AG1554" i="13"/>
  <c r="AH1554" i="13"/>
  <c r="W1553" i="13"/>
  <c r="AE1553" i="13" s="1"/>
  <c r="Z1553" i="13"/>
  <c r="AA1553" i="13"/>
  <c r="AB1553" i="13"/>
  <c r="AD1553" i="13"/>
  <c r="AF1553" i="13"/>
  <c r="AG1553" i="13"/>
  <c r="AH1553" i="13"/>
  <c r="W1552" i="13"/>
  <c r="AE1552" i="13" s="1"/>
  <c r="Z1552" i="13"/>
  <c r="AA1552" i="13"/>
  <c r="AB1552" i="13"/>
  <c r="AD1552" i="13"/>
  <c r="AG1552" i="13"/>
  <c r="AH1552" i="13"/>
  <c r="W1551" i="13"/>
  <c r="AE1551" i="13" s="1"/>
  <c r="Z1551" i="13"/>
  <c r="AA1551" i="13"/>
  <c r="AB1551" i="13"/>
  <c r="AD1551" i="13"/>
  <c r="AF1551" i="13"/>
  <c r="AG1551" i="13"/>
  <c r="AH1551" i="13"/>
  <c r="W1550" i="13"/>
  <c r="AE1550" i="13" s="1"/>
  <c r="Z1550" i="13"/>
  <c r="AA1550" i="13"/>
  <c r="AB1550" i="13"/>
  <c r="AD1550" i="13"/>
  <c r="AF1550" i="13"/>
  <c r="AG1550" i="13"/>
  <c r="AH1550" i="13"/>
  <c r="W1549" i="13"/>
  <c r="AE1549" i="13" s="1"/>
  <c r="Z1549" i="13"/>
  <c r="AA1549" i="13"/>
  <c r="AB1549" i="13"/>
  <c r="AD1549" i="13"/>
  <c r="AF1549" i="13"/>
  <c r="AG1549" i="13"/>
  <c r="AH1549" i="13"/>
  <c r="W1548" i="13"/>
  <c r="AE1548" i="13" s="1"/>
  <c r="Z1548" i="13"/>
  <c r="AA1548" i="13"/>
  <c r="AB1548" i="13"/>
  <c r="AD1548" i="13"/>
  <c r="AF1548" i="13"/>
  <c r="AG1548" i="13"/>
  <c r="AH1548" i="13"/>
  <c r="W1547" i="13"/>
  <c r="Z1547" i="13"/>
  <c r="X1547" i="13" s="1"/>
  <c r="AC1547" i="13" s="1"/>
  <c r="AA1547" i="13"/>
  <c r="AB1547" i="13"/>
  <c r="AD1547" i="13"/>
  <c r="AE1547" i="13"/>
  <c r="AG1547" i="13"/>
  <c r="AH1547" i="13"/>
  <c r="W1546" i="13"/>
  <c r="AE1546" i="13" s="1"/>
  <c r="Z1546" i="13"/>
  <c r="AA1546" i="13"/>
  <c r="AB1546" i="13"/>
  <c r="AD1546" i="13"/>
  <c r="AF1546" i="13"/>
  <c r="AG1546" i="13"/>
  <c r="AH1546" i="13"/>
  <c r="W1545" i="13"/>
  <c r="AE1545" i="13" s="1"/>
  <c r="Z1545" i="13"/>
  <c r="AA1545" i="13"/>
  <c r="AB1545" i="13"/>
  <c r="AD1545" i="13"/>
  <c r="AG1545" i="13"/>
  <c r="AH1545" i="13"/>
  <c r="W1544" i="13"/>
  <c r="AE1544" i="13" s="1"/>
  <c r="Z1544" i="13"/>
  <c r="AA1544" i="13"/>
  <c r="AB1544" i="13"/>
  <c r="AD1544" i="13"/>
  <c r="AF1544" i="13"/>
  <c r="AG1544" i="13"/>
  <c r="AH1544" i="13"/>
  <c r="W1543" i="13"/>
  <c r="AE1543" i="13" s="1"/>
  <c r="Z1543" i="13"/>
  <c r="AA1543" i="13"/>
  <c r="AB1543" i="13"/>
  <c r="AD1543" i="13"/>
  <c r="AF1543" i="13"/>
  <c r="AG1543" i="13"/>
  <c r="AH1543" i="13"/>
  <c r="W1542" i="13"/>
  <c r="AE1542" i="13" s="1"/>
  <c r="Z1542" i="13"/>
  <c r="AA1542" i="13"/>
  <c r="AB1542" i="13"/>
  <c r="AD1542" i="13"/>
  <c r="AF1542" i="13"/>
  <c r="AG1542" i="13"/>
  <c r="AH1542" i="13"/>
  <c r="W1541" i="13"/>
  <c r="AE1541" i="13" s="1"/>
  <c r="Z1541" i="13"/>
  <c r="AA1541" i="13"/>
  <c r="AB1541" i="13"/>
  <c r="AD1541" i="13"/>
  <c r="AG1541" i="13"/>
  <c r="AH1541" i="13"/>
  <c r="W1540" i="13"/>
  <c r="AE1540" i="13" s="1"/>
  <c r="Z1540" i="13"/>
  <c r="AA1540" i="13"/>
  <c r="AB1540" i="13"/>
  <c r="AD1540" i="13"/>
  <c r="AF1540" i="13"/>
  <c r="AG1540" i="13"/>
  <c r="AH1540" i="13"/>
  <c r="W1539" i="13"/>
  <c r="AE1539" i="13" s="1"/>
  <c r="Z1539" i="13"/>
  <c r="AA1539" i="13"/>
  <c r="AB1539" i="13"/>
  <c r="AD1539" i="13"/>
  <c r="AG1539" i="13"/>
  <c r="AH1539" i="13"/>
  <c r="W1538" i="13"/>
  <c r="AE1538" i="13" s="1"/>
  <c r="Z1538" i="13"/>
  <c r="AA1538" i="13"/>
  <c r="AB1538" i="13"/>
  <c r="AD1538" i="13"/>
  <c r="AF1538" i="13"/>
  <c r="AG1538" i="13"/>
  <c r="AH1538" i="13"/>
  <c r="W1537" i="13"/>
  <c r="AE1537" i="13" s="1"/>
  <c r="Z1537" i="13"/>
  <c r="AA1537" i="13"/>
  <c r="AB1537" i="13"/>
  <c r="AD1537" i="13"/>
  <c r="AF1537" i="13"/>
  <c r="AG1537" i="13"/>
  <c r="AH1537" i="13"/>
  <c r="W1536" i="13"/>
  <c r="AE1536" i="13" s="1"/>
  <c r="Z1536" i="13"/>
  <c r="AA1536" i="13"/>
  <c r="AB1536" i="13"/>
  <c r="AD1536" i="13"/>
  <c r="AF1536" i="13"/>
  <c r="AG1536" i="13"/>
  <c r="AH1536" i="13"/>
  <c r="W1535" i="13"/>
  <c r="AE1535" i="13" s="1"/>
  <c r="Z1535" i="13"/>
  <c r="AA1535" i="13"/>
  <c r="AB1535" i="13"/>
  <c r="AD1535" i="13"/>
  <c r="AF1535" i="13"/>
  <c r="AG1535" i="13"/>
  <c r="AH1535" i="13"/>
  <c r="W1534" i="13"/>
  <c r="AE1534" i="13" s="1"/>
  <c r="Z1534" i="13"/>
  <c r="AA1534" i="13"/>
  <c r="AB1534" i="13"/>
  <c r="AD1534" i="13"/>
  <c r="AF1534" i="13"/>
  <c r="AG1534" i="13"/>
  <c r="AH1534" i="13"/>
  <c r="W1533" i="13"/>
  <c r="Z1533" i="13"/>
  <c r="AA1533" i="13"/>
  <c r="AB1533" i="13"/>
  <c r="AD1533" i="13"/>
  <c r="AE1533" i="13"/>
  <c r="AF1533" i="13"/>
  <c r="AG1533" i="13"/>
  <c r="AH1533" i="13"/>
  <c r="W1532" i="13"/>
  <c r="AE1532" i="13" s="1"/>
  <c r="Z1532" i="13"/>
  <c r="AA1532" i="13"/>
  <c r="AB1532" i="13"/>
  <c r="AD1532" i="13"/>
  <c r="AG1532" i="13"/>
  <c r="AH1532" i="13"/>
  <c r="W1531" i="13"/>
  <c r="AE1531" i="13" s="1"/>
  <c r="Z1531" i="13"/>
  <c r="AA1531" i="13"/>
  <c r="AB1531" i="13"/>
  <c r="AD1531" i="13"/>
  <c r="AF1531" i="13"/>
  <c r="AG1531" i="13"/>
  <c r="AH1531" i="13"/>
  <c r="W1530" i="13"/>
  <c r="AE1530" i="13" s="1"/>
  <c r="Z1530" i="13"/>
  <c r="AA1530" i="13"/>
  <c r="AB1530" i="13"/>
  <c r="AD1530" i="13"/>
  <c r="AF1530" i="13"/>
  <c r="AG1530" i="13"/>
  <c r="AH1530" i="13"/>
  <c r="W1529" i="13"/>
  <c r="Z1529" i="13"/>
  <c r="X1529" i="13" s="1"/>
  <c r="AC1529" i="13" s="1"/>
  <c r="AA1529" i="13"/>
  <c r="AB1529" i="13"/>
  <c r="AD1529" i="13"/>
  <c r="AE1529" i="13"/>
  <c r="AF1529" i="13"/>
  <c r="AG1529" i="13"/>
  <c r="AH1529" i="13"/>
  <c r="W1528" i="13"/>
  <c r="AE1528" i="13" s="1"/>
  <c r="Z1528" i="13"/>
  <c r="AA1528" i="13"/>
  <c r="AB1528" i="13"/>
  <c r="AD1528" i="13"/>
  <c r="AF1528" i="13"/>
  <c r="AG1528" i="13"/>
  <c r="AH1528" i="13"/>
  <c r="W1527" i="13"/>
  <c r="AE1527" i="13" s="1"/>
  <c r="Z1527" i="13"/>
  <c r="AA1527" i="13"/>
  <c r="AB1527" i="13"/>
  <c r="AD1527" i="13"/>
  <c r="AF1527" i="13"/>
  <c r="AG1527" i="13"/>
  <c r="AH1527" i="13"/>
  <c r="W1526" i="13"/>
  <c r="AE1526" i="13" s="1"/>
  <c r="Z1526" i="13"/>
  <c r="AA1526" i="13"/>
  <c r="AB1526" i="13"/>
  <c r="AD1526" i="13"/>
  <c r="AF1526" i="13"/>
  <c r="AG1526" i="13"/>
  <c r="AH1526" i="13"/>
  <c r="W1525" i="13"/>
  <c r="AE1525" i="13" s="1"/>
  <c r="Z1525" i="13"/>
  <c r="AA1525" i="13"/>
  <c r="AB1525" i="13"/>
  <c r="AD1525" i="13"/>
  <c r="AF1525" i="13"/>
  <c r="AG1525" i="13"/>
  <c r="AH1525" i="13"/>
  <c r="W1524" i="13"/>
  <c r="AE1524" i="13" s="1"/>
  <c r="Z1524" i="13"/>
  <c r="AA1524" i="13"/>
  <c r="AB1524" i="13"/>
  <c r="AD1524" i="13"/>
  <c r="AG1524" i="13"/>
  <c r="AH1524" i="13"/>
  <c r="W1523" i="13"/>
  <c r="AE1523" i="13" s="1"/>
  <c r="Z1523" i="13"/>
  <c r="AA1523" i="13"/>
  <c r="AB1523" i="13"/>
  <c r="AD1523" i="13"/>
  <c r="AF1523" i="13"/>
  <c r="AG1523" i="13"/>
  <c r="AH1523" i="13"/>
  <c r="W1522" i="13"/>
  <c r="AE1522" i="13" s="1"/>
  <c r="Z1522" i="13"/>
  <c r="AA1522" i="13"/>
  <c r="AB1522" i="13"/>
  <c r="AD1522" i="13"/>
  <c r="AF1522" i="13"/>
  <c r="AG1522" i="13"/>
  <c r="AH1522" i="13"/>
  <c r="W1521" i="13"/>
  <c r="AE1521" i="13" s="1"/>
  <c r="Z1521" i="13"/>
  <c r="AA1521" i="13"/>
  <c r="AB1521" i="13"/>
  <c r="AD1521" i="13"/>
  <c r="AF1521" i="13"/>
  <c r="AG1521" i="13"/>
  <c r="AH1521" i="13"/>
  <c r="W1520" i="13"/>
  <c r="AE1520" i="13" s="1"/>
  <c r="Z1520" i="13"/>
  <c r="AA1520" i="13"/>
  <c r="AB1520" i="13"/>
  <c r="AD1520" i="13"/>
  <c r="AF1520" i="13"/>
  <c r="AG1520" i="13"/>
  <c r="AH1520" i="13"/>
  <c r="W1519" i="13"/>
  <c r="AE1519" i="13" s="1"/>
  <c r="Z1519" i="13"/>
  <c r="AA1519" i="13"/>
  <c r="AB1519" i="13"/>
  <c r="AD1519" i="13"/>
  <c r="AF1519" i="13"/>
  <c r="AG1519" i="13"/>
  <c r="AH1519" i="13"/>
  <c r="W1518" i="13"/>
  <c r="AE1518" i="13" s="1"/>
  <c r="Z1518" i="13"/>
  <c r="AA1518" i="13"/>
  <c r="AB1518" i="13"/>
  <c r="AD1518" i="13"/>
  <c r="AF1518" i="13"/>
  <c r="AG1518" i="13"/>
  <c r="AH1518" i="13"/>
  <c r="W1517" i="13"/>
  <c r="AE1517" i="13" s="1"/>
  <c r="Z1517" i="13"/>
  <c r="AA1517" i="13"/>
  <c r="AB1517" i="13"/>
  <c r="AD1517" i="13"/>
  <c r="AF1517" i="13"/>
  <c r="AG1517" i="13"/>
  <c r="AH1517" i="13"/>
  <c r="W1516" i="13"/>
  <c r="AE1516" i="13" s="1"/>
  <c r="Z1516" i="13"/>
  <c r="AA1516" i="13"/>
  <c r="AB1516" i="13"/>
  <c r="AD1516" i="13"/>
  <c r="AG1516" i="13"/>
  <c r="AH1516" i="13"/>
  <c r="W1515" i="13"/>
  <c r="AE1515" i="13" s="1"/>
  <c r="Z1515" i="13"/>
  <c r="AA1515" i="13"/>
  <c r="AB1515" i="13"/>
  <c r="AD1515" i="13"/>
  <c r="AF1515" i="13"/>
  <c r="AG1515" i="13"/>
  <c r="AH1515" i="13"/>
  <c r="W1514" i="13"/>
  <c r="AE1514" i="13" s="1"/>
  <c r="Z1514" i="13"/>
  <c r="AA1514" i="13"/>
  <c r="AB1514" i="13"/>
  <c r="AD1514" i="13"/>
  <c r="AF1514" i="13"/>
  <c r="AG1514" i="13"/>
  <c r="AH1514" i="13"/>
  <c r="W1513" i="13"/>
  <c r="AE1513" i="13" s="1"/>
  <c r="Z1513" i="13"/>
  <c r="AA1513" i="13"/>
  <c r="AB1513" i="13"/>
  <c r="AD1513" i="13"/>
  <c r="AF1513" i="13"/>
  <c r="AG1513" i="13"/>
  <c r="AH1513" i="13"/>
  <c r="W1512" i="13"/>
  <c r="AE1512" i="13" s="1"/>
  <c r="Z1512" i="13"/>
  <c r="AA1512" i="13"/>
  <c r="AB1512" i="13"/>
  <c r="AD1512" i="13"/>
  <c r="AF1512" i="13"/>
  <c r="AG1512" i="13"/>
  <c r="AH1512" i="13"/>
  <c r="W1511" i="13"/>
  <c r="AE1511" i="13" s="1"/>
  <c r="Z1511" i="13"/>
  <c r="AA1511" i="13"/>
  <c r="AB1511" i="13"/>
  <c r="AD1511" i="13"/>
  <c r="AF1511" i="13"/>
  <c r="AG1511" i="13"/>
  <c r="AH1511" i="13"/>
  <c r="W1510" i="13"/>
  <c r="AE1510" i="13" s="1"/>
  <c r="Z1510" i="13"/>
  <c r="AA1510" i="13"/>
  <c r="AB1510" i="13"/>
  <c r="AD1510" i="13"/>
  <c r="AF1510" i="13"/>
  <c r="AG1510" i="13"/>
  <c r="AH1510" i="13"/>
  <c r="W1509" i="13"/>
  <c r="AE1509" i="13" s="1"/>
  <c r="Z1509" i="13"/>
  <c r="AA1509" i="13"/>
  <c r="AB1509" i="13"/>
  <c r="AD1509" i="13"/>
  <c r="AF1509" i="13"/>
  <c r="AG1509" i="13"/>
  <c r="AH1509" i="13"/>
  <c r="W1508" i="13"/>
  <c r="AE1508" i="13" s="1"/>
  <c r="Z1508" i="13"/>
  <c r="AA1508" i="13"/>
  <c r="AB1508" i="13"/>
  <c r="AD1508" i="13"/>
  <c r="AF1508" i="13"/>
  <c r="AG1508" i="13"/>
  <c r="AH1508" i="13"/>
  <c r="W1507" i="13"/>
  <c r="AE1507" i="13" s="1"/>
  <c r="Z1507" i="13"/>
  <c r="AA1507" i="13"/>
  <c r="AB1507" i="13"/>
  <c r="AD1507" i="13"/>
  <c r="AG1507" i="13"/>
  <c r="AH1507" i="13"/>
  <c r="W1506" i="13"/>
  <c r="AE1506" i="13" s="1"/>
  <c r="Z1506" i="13"/>
  <c r="AA1506" i="13"/>
  <c r="AB1506" i="13"/>
  <c r="AD1506" i="13"/>
  <c r="AF1506" i="13"/>
  <c r="AG1506" i="13"/>
  <c r="AH1506" i="13"/>
  <c r="W1505" i="13"/>
  <c r="AE1505" i="13" s="1"/>
  <c r="Z1505" i="13"/>
  <c r="AA1505" i="13"/>
  <c r="AB1505" i="13"/>
  <c r="AD1505" i="13"/>
  <c r="AG1505" i="13"/>
  <c r="AH1505" i="13"/>
  <c r="W1504" i="13"/>
  <c r="AE1504" i="13" s="1"/>
  <c r="Z1504" i="13"/>
  <c r="AA1504" i="13"/>
  <c r="AB1504" i="13"/>
  <c r="AD1504" i="13"/>
  <c r="AF1504" i="13"/>
  <c r="AG1504" i="13"/>
  <c r="AH1504" i="13"/>
  <c r="W1503" i="13"/>
  <c r="AE1503" i="13" s="1"/>
  <c r="Z1503" i="13"/>
  <c r="AA1503" i="13"/>
  <c r="AB1503" i="13"/>
  <c r="AD1503" i="13"/>
  <c r="AF1503" i="13"/>
  <c r="AG1503" i="13"/>
  <c r="AH1503" i="13"/>
  <c r="W1502" i="13"/>
  <c r="AE1502" i="13" s="1"/>
  <c r="Z1502" i="13"/>
  <c r="AA1502" i="13"/>
  <c r="AB1502" i="13"/>
  <c r="AD1502" i="13"/>
  <c r="AF1502" i="13"/>
  <c r="AG1502" i="13"/>
  <c r="AH1502" i="13"/>
  <c r="X1564" i="13" l="1"/>
  <c r="AC1564" i="13" s="1"/>
  <c r="X1533" i="13"/>
  <c r="AC1533" i="13" s="1"/>
  <c r="X1572" i="13"/>
  <c r="AC1572" i="13" s="1"/>
  <c r="X1579" i="13"/>
  <c r="AC1579" i="13" s="1"/>
  <c r="X1527" i="13"/>
  <c r="AC1527" i="13" s="1"/>
  <c r="AF1547" i="13"/>
  <c r="X1567" i="13"/>
  <c r="AC1567" i="13" s="1"/>
  <c r="X1581" i="13"/>
  <c r="AC1581" i="13" s="1"/>
  <c r="X1583" i="13"/>
  <c r="AC1583" i="13" s="1"/>
  <c r="Y1529" i="13"/>
  <c r="Y1567" i="13"/>
  <c r="Y1581" i="13"/>
  <c r="Y1583" i="13"/>
  <c r="Y1527" i="13"/>
  <c r="Y1533" i="13"/>
  <c r="Y1547" i="13"/>
  <c r="Y1572" i="13"/>
  <c r="Y1579" i="13"/>
  <c r="Y1582" i="13"/>
  <c r="X1522" i="13"/>
  <c r="AC1522" i="13" s="1"/>
  <c r="X1537" i="13"/>
  <c r="AC1537" i="13" s="1"/>
  <c r="X1539" i="13"/>
  <c r="AC1539" i="13" s="1"/>
  <c r="X1541" i="13"/>
  <c r="AC1541" i="13" s="1"/>
  <c r="X1548" i="13"/>
  <c r="AC1548" i="13" s="1"/>
  <c r="X1571" i="13"/>
  <c r="AC1571" i="13" s="1"/>
  <c r="X1578" i="13"/>
  <c r="AC1578" i="13" s="1"/>
  <c r="X1509" i="13"/>
  <c r="AC1509" i="13" s="1"/>
  <c r="X1554" i="13"/>
  <c r="AC1554" i="13" s="1"/>
  <c r="Y1502" i="13"/>
  <c r="X1513" i="13"/>
  <c r="AC1513" i="13" s="1"/>
  <c r="X1518" i="13"/>
  <c r="AC1518" i="13" s="1"/>
  <c r="X1530" i="13"/>
  <c r="AC1530" i="13" s="1"/>
  <c r="X1532" i="13"/>
  <c r="AC1532" i="13" s="1"/>
  <c r="X1558" i="13"/>
  <c r="AC1558" i="13" s="1"/>
  <c r="X1569" i="13"/>
  <c r="AC1569" i="13" s="1"/>
  <c r="X1503" i="13"/>
  <c r="AC1503" i="13" s="1"/>
  <c r="X1505" i="13"/>
  <c r="AC1505" i="13" s="1"/>
  <c r="X1507" i="13"/>
  <c r="AC1507" i="13" s="1"/>
  <c r="X1511" i="13"/>
  <c r="AC1511" i="13" s="1"/>
  <c r="X1515" i="13"/>
  <c r="AC1515" i="13" s="1"/>
  <c r="X1520" i="13"/>
  <c r="AC1520" i="13" s="1"/>
  <c r="X1526" i="13"/>
  <c r="AC1526" i="13" s="1"/>
  <c r="X1535" i="13"/>
  <c r="AC1535" i="13" s="1"/>
  <c r="X1543" i="13"/>
  <c r="AC1543" i="13" s="1"/>
  <c r="X1545" i="13"/>
  <c r="AC1545" i="13" s="1"/>
  <c r="X1550" i="13"/>
  <c r="AC1550" i="13" s="1"/>
  <c r="X1552" i="13"/>
  <c r="AC1552" i="13" s="1"/>
  <c r="X1556" i="13"/>
  <c r="AC1556" i="13" s="1"/>
  <c r="X1560" i="13"/>
  <c r="AC1560" i="13" s="1"/>
  <c r="X1566" i="13"/>
  <c r="AC1566" i="13" s="1"/>
  <c r="X1574" i="13"/>
  <c r="AC1574" i="13" s="1"/>
  <c r="X1576" i="13"/>
  <c r="AC1576" i="13" s="1"/>
  <c r="Y1504" i="13"/>
  <c r="Y1506" i="13"/>
  <c r="Y1508" i="13"/>
  <c r="Y1510" i="13"/>
  <c r="Y1512" i="13"/>
  <c r="Y1514" i="13"/>
  <c r="X1516" i="13"/>
  <c r="AC1516" i="13" s="1"/>
  <c r="AF1516" i="13"/>
  <c r="Y1516" i="13" s="1"/>
  <c r="Y1517" i="13"/>
  <c r="Y1521" i="13"/>
  <c r="Y1528" i="13"/>
  <c r="X1502" i="13"/>
  <c r="AC1502" i="13" s="1"/>
  <c r="Y1503" i="13"/>
  <c r="X1504" i="13"/>
  <c r="AC1504" i="13" s="1"/>
  <c r="AF1505" i="13"/>
  <c r="Y1505" i="13" s="1"/>
  <c r="X1506" i="13"/>
  <c r="AC1506" i="13" s="1"/>
  <c r="AF1507" i="13"/>
  <c r="Y1507" i="13" s="1"/>
  <c r="X1508" i="13"/>
  <c r="AC1508" i="13" s="1"/>
  <c r="Y1509" i="13"/>
  <c r="X1510" i="13"/>
  <c r="AC1510" i="13" s="1"/>
  <c r="Y1511" i="13"/>
  <c r="X1512" i="13"/>
  <c r="AC1512" i="13" s="1"/>
  <c r="Y1513" i="13"/>
  <c r="X1514" i="13"/>
  <c r="AC1514" i="13" s="1"/>
  <c r="Y1515" i="13"/>
  <c r="Y1519" i="13"/>
  <c r="Y1523" i="13"/>
  <c r="X1524" i="13"/>
  <c r="AC1524" i="13" s="1"/>
  <c r="AF1524" i="13"/>
  <c r="Y1524" i="13" s="1"/>
  <c r="Y1525" i="13"/>
  <c r="Y1531" i="13"/>
  <c r="Y1534" i="13"/>
  <c r="Y1536" i="13"/>
  <c r="Y1538" i="13"/>
  <c r="Y1540" i="13"/>
  <c r="Y1542" i="13"/>
  <c r="Y1544" i="13"/>
  <c r="Y1546" i="13"/>
  <c r="Y1549" i="13"/>
  <c r="Y1551" i="13"/>
  <c r="Y1553" i="13"/>
  <c r="Y1555" i="13"/>
  <c r="Y1557" i="13"/>
  <c r="Y1559" i="13"/>
  <c r="Y1561" i="13"/>
  <c r="Y1563" i="13"/>
  <c r="Y1565" i="13"/>
  <c r="Y1568" i="13"/>
  <c r="Y1570" i="13"/>
  <c r="Y1573" i="13"/>
  <c r="Y1575" i="13"/>
  <c r="Y1577" i="13"/>
  <c r="X1517" i="13"/>
  <c r="AC1517" i="13" s="1"/>
  <c r="Y1518" i="13"/>
  <c r="X1519" i="13"/>
  <c r="AC1519" i="13" s="1"/>
  <c r="Y1520" i="13"/>
  <c r="X1521" i="13"/>
  <c r="AC1521" i="13" s="1"/>
  <c r="Y1522" i="13"/>
  <c r="X1523" i="13"/>
  <c r="AC1523" i="13" s="1"/>
  <c r="X1525" i="13"/>
  <c r="AC1525" i="13" s="1"/>
  <c r="Y1526" i="13"/>
  <c r="X1528" i="13"/>
  <c r="AC1528" i="13" s="1"/>
  <c r="Y1530" i="13"/>
  <c r="X1531" i="13"/>
  <c r="AC1531" i="13" s="1"/>
  <c r="AF1532" i="13"/>
  <c r="Y1532" i="13" s="1"/>
  <c r="X1534" i="13"/>
  <c r="AC1534" i="13" s="1"/>
  <c r="Y1535" i="13"/>
  <c r="X1536" i="13"/>
  <c r="AC1536" i="13" s="1"/>
  <c r="Y1537" i="13"/>
  <c r="X1538" i="13"/>
  <c r="AC1538" i="13" s="1"/>
  <c r="AF1539" i="13"/>
  <c r="Y1539" i="13" s="1"/>
  <c r="X1540" i="13"/>
  <c r="AC1540" i="13" s="1"/>
  <c r="AF1541" i="13"/>
  <c r="Y1541" i="13" s="1"/>
  <c r="X1542" i="13"/>
  <c r="AC1542" i="13" s="1"/>
  <c r="Y1543" i="13"/>
  <c r="X1544" i="13"/>
  <c r="AC1544" i="13" s="1"/>
  <c r="AF1545" i="13"/>
  <c r="Y1545" i="13" s="1"/>
  <c r="X1546" i="13"/>
  <c r="AC1546" i="13" s="1"/>
  <c r="Y1548" i="13"/>
  <c r="X1549" i="13"/>
  <c r="AC1549" i="13" s="1"/>
  <c r="Y1550" i="13"/>
  <c r="X1551" i="13"/>
  <c r="AC1551" i="13" s="1"/>
  <c r="AF1552" i="13"/>
  <c r="Y1552" i="13" s="1"/>
  <c r="X1553" i="13"/>
  <c r="AC1553" i="13" s="1"/>
  <c r="Y1554" i="13"/>
  <c r="X1555" i="13"/>
  <c r="AC1555" i="13" s="1"/>
  <c r="Y1556" i="13"/>
  <c r="X1557" i="13"/>
  <c r="AC1557" i="13" s="1"/>
  <c r="Y1558" i="13"/>
  <c r="X1559" i="13"/>
  <c r="AC1559" i="13" s="1"/>
  <c r="Y1560" i="13"/>
  <c r="X1561" i="13"/>
  <c r="AC1561" i="13" s="1"/>
  <c r="Y1562" i="13"/>
  <c r="X1563" i="13"/>
  <c r="AC1563" i="13" s="1"/>
  <c r="AF1564" i="13"/>
  <c r="Y1564" i="13" s="1"/>
  <c r="X1565" i="13"/>
  <c r="AC1565" i="13" s="1"/>
  <c r="Y1566" i="13"/>
  <c r="X1568" i="13"/>
  <c r="AC1568" i="13" s="1"/>
  <c r="Y1569" i="13"/>
  <c r="X1570" i="13"/>
  <c r="AC1570" i="13" s="1"/>
  <c r="Y1571" i="13"/>
  <c r="X1573" i="13"/>
  <c r="AC1573" i="13" s="1"/>
  <c r="Y1574" i="13"/>
  <c r="X1575" i="13"/>
  <c r="AC1575" i="13" s="1"/>
  <c r="AF1576" i="13"/>
  <c r="Y1576" i="13" s="1"/>
  <c r="X1577" i="13"/>
  <c r="AC1577" i="13" s="1"/>
  <c r="Y1578" i="13"/>
  <c r="W1501" i="13"/>
  <c r="AE1501" i="13" s="1"/>
  <c r="Z1501" i="13"/>
  <c r="AA1501" i="13"/>
  <c r="AB1501" i="13"/>
  <c r="AD1501" i="13"/>
  <c r="AF1501" i="13"/>
  <c r="AG1501" i="13"/>
  <c r="AH1501" i="13"/>
  <c r="W1500" i="13"/>
  <c r="AE1500" i="13" s="1"/>
  <c r="Z1500" i="13"/>
  <c r="AA1500" i="13"/>
  <c r="AB1500" i="13"/>
  <c r="AD1500" i="13"/>
  <c r="AG1500" i="13"/>
  <c r="AH1500" i="13"/>
  <c r="W1499" i="13"/>
  <c r="AE1499" i="13" s="1"/>
  <c r="Z1499" i="13"/>
  <c r="AA1499" i="13"/>
  <c r="AB1499" i="13"/>
  <c r="AD1499" i="13"/>
  <c r="AF1499" i="13"/>
  <c r="AG1499" i="13"/>
  <c r="AH1499" i="13"/>
  <c r="W1498" i="13"/>
  <c r="AE1498" i="13" s="1"/>
  <c r="Z1498" i="13"/>
  <c r="AA1498" i="13"/>
  <c r="AB1498" i="13"/>
  <c r="AD1498" i="13"/>
  <c r="AF1498" i="13"/>
  <c r="AG1498" i="13"/>
  <c r="AH1498" i="13"/>
  <c r="W1497" i="13"/>
  <c r="AE1497" i="13" s="1"/>
  <c r="Z1497" i="13"/>
  <c r="AA1497" i="13"/>
  <c r="AB1497" i="13"/>
  <c r="AD1497" i="13"/>
  <c r="AF1497" i="13"/>
  <c r="AG1497" i="13"/>
  <c r="AH1497" i="13"/>
  <c r="W1496" i="13"/>
  <c r="AE1496" i="13" s="1"/>
  <c r="Z1496" i="13"/>
  <c r="AA1496" i="13"/>
  <c r="AB1496" i="13"/>
  <c r="AD1496" i="13"/>
  <c r="AG1496" i="13"/>
  <c r="AH1496" i="13"/>
  <c r="W1495" i="13"/>
  <c r="AE1495" i="13" s="1"/>
  <c r="Z1495" i="13"/>
  <c r="AA1495" i="13"/>
  <c r="AB1495" i="13"/>
  <c r="AD1495" i="13"/>
  <c r="AF1495" i="13"/>
  <c r="AG1495" i="13"/>
  <c r="AH1495" i="13"/>
  <c r="W1494" i="13"/>
  <c r="AE1494" i="13" s="1"/>
  <c r="Z1494" i="13"/>
  <c r="AA1494" i="13"/>
  <c r="AB1494" i="13"/>
  <c r="AD1494" i="13"/>
  <c r="AG1494" i="13"/>
  <c r="AH1494" i="13"/>
  <c r="W1493" i="13"/>
  <c r="AE1493" i="13" s="1"/>
  <c r="Z1493" i="13"/>
  <c r="AA1493" i="13"/>
  <c r="AB1493" i="13"/>
  <c r="AD1493" i="13"/>
  <c r="AF1493" i="13"/>
  <c r="AG1493" i="13"/>
  <c r="AH1493" i="13"/>
  <c r="W1492" i="13"/>
  <c r="AE1492" i="13" s="1"/>
  <c r="Z1492" i="13"/>
  <c r="AA1492" i="13"/>
  <c r="AB1492" i="13"/>
  <c r="AD1492" i="13"/>
  <c r="AF1492" i="13"/>
  <c r="AG1492" i="13"/>
  <c r="AH1492" i="13"/>
  <c r="W1491" i="13"/>
  <c r="AE1491" i="13" s="1"/>
  <c r="Z1491" i="13"/>
  <c r="AA1491" i="13"/>
  <c r="AB1491" i="13"/>
  <c r="AD1491" i="13"/>
  <c r="AF1491" i="13"/>
  <c r="AG1491" i="13"/>
  <c r="AH1491" i="13"/>
  <c r="W1490" i="13"/>
  <c r="AE1490" i="13" s="1"/>
  <c r="Z1490" i="13"/>
  <c r="AA1490" i="13"/>
  <c r="AB1490" i="13"/>
  <c r="AD1490" i="13"/>
  <c r="AF1490" i="13"/>
  <c r="AG1490" i="13"/>
  <c r="AH1490" i="13"/>
  <c r="W1489" i="13"/>
  <c r="AE1489" i="13" s="1"/>
  <c r="Z1489" i="13"/>
  <c r="AA1489" i="13"/>
  <c r="AB1489" i="13"/>
  <c r="AD1489" i="13"/>
  <c r="AF1489" i="13"/>
  <c r="AG1489" i="13"/>
  <c r="AH1489" i="13"/>
  <c r="W1488" i="13"/>
  <c r="AE1488" i="13" s="1"/>
  <c r="Z1488" i="13"/>
  <c r="AA1488" i="13"/>
  <c r="AB1488" i="13"/>
  <c r="AD1488" i="13"/>
  <c r="AG1488" i="13"/>
  <c r="AH1488" i="13"/>
  <c r="W1487" i="13"/>
  <c r="AE1487" i="13" s="1"/>
  <c r="Z1487" i="13"/>
  <c r="AA1487" i="13"/>
  <c r="AB1487" i="13"/>
  <c r="AD1487" i="13"/>
  <c r="AF1487" i="13"/>
  <c r="AG1487" i="13"/>
  <c r="AH1487" i="13"/>
  <c r="W1486" i="13"/>
  <c r="AE1486" i="13" s="1"/>
  <c r="Z1486" i="13"/>
  <c r="AA1486" i="13"/>
  <c r="AB1486" i="13"/>
  <c r="AD1486" i="13"/>
  <c r="AG1486" i="13"/>
  <c r="AH1486" i="13"/>
  <c r="W1485" i="13"/>
  <c r="AE1485" i="13" s="1"/>
  <c r="Z1485" i="13"/>
  <c r="AA1485" i="13"/>
  <c r="AB1485" i="13"/>
  <c r="AD1485" i="13"/>
  <c r="AF1485" i="13"/>
  <c r="AG1485" i="13"/>
  <c r="AH1485" i="13"/>
  <c r="W1484" i="13"/>
  <c r="AE1484" i="13" s="1"/>
  <c r="Z1484" i="13"/>
  <c r="AA1484" i="13"/>
  <c r="AB1484" i="13"/>
  <c r="AD1484" i="13"/>
  <c r="AF1484" i="13"/>
  <c r="AG1484" i="13"/>
  <c r="AH1484" i="13"/>
  <c r="W1483" i="13"/>
  <c r="AE1483" i="13" s="1"/>
  <c r="Z1483" i="13"/>
  <c r="AA1483" i="13"/>
  <c r="AB1483" i="13"/>
  <c r="AD1483" i="13"/>
  <c r="AF1483" i="13"/>
  <c r="AG1483" i="13"/>
  <c r="AH1483" i="13"/>
  <c r="W1482" i="13"/>
  <c r="AE1482" i="13" s="1"/>
  <c r="Z1482" i="13"/>
  <c r="AA1482" i="13"/>
  <c r="AB1482" i="13"/>
  <c r="AD1482" i="13"/>
  <c r="AG1482" i="13"/>
  <c r="AH1482" i="13"/>
  <c r="W1481" i="13"/>
  <c r="AE1481" i="13" s="1"/>
  <c r="Z1481" i="13"/>
  <c r="AA1481" i="13"/>
  <c r="AB1481" i="13"/>
  <c r="AD1481" i="13"/>
  <c r="AF1481" i="13"/>
  <c r="AG1481" i="13"/>
  <c r="AH1481" i="13"/>
  <c r="W1480" i="13"/>
  <c r="AE1480" i="13" s="1"/>
  <c r="Z1480" i="13"/>
  <c r="AA1480" i="13"/>
  <c r="AB1480" i="13"/>
  <c r="AD1480" i="13"/>
  <c r="AF1480" i="13"/>
  <c r="AG1480" i="13"/>
  <c r="AH1480" i="13"/>
  <c r="AH1479" i="13"/>
  <c r="AG1479" i="13"/>
  <c r="AF1479" i="13"/>
  <c r="AD1479" i="13"/>
  <c r="AB1479" i="13"/>
  <c r="AA1479" i="13"/>
  <c r="Z1479" i="13"/>
  <c r="W1479" i="13"/>
  <c r="W1478" i="13"/>
  <c r="AE1478" i="13" s="1"/>
  <c r="Z1478" i="13"/>
  <c r="AA1478" i="13"/>
  <c r="AB1478" i="13"/>
  <c r="AD1478" i="13"/>
  <c r="AF1478" i="13"/>
  <c r="AG1478" i="13"/>
  <c r="AH1478" i="13"/>
  <c r="W1477" i="13"/>
  <c r="AE1477" i="13" s="1"/>
  <c r="Z1477" i="13"/>
  <c r="AA1477" i="13"/>
  <c r="AB1477" i="13"/>
  <c r="AD1477" i="13"/>
  <c r="AG1477" i="13"/>
  <c r="AH1477" i="13"/>
  <c r="W1476" i="13"/>
  <c r="AE1476" i="13" s="1"/>
  <c r="Z1476" i="13"/>
  <c r="AA1476" i="13"/>
  <c r="AB1476" i="13"/>
  <c r="AD1476" i="13"/>
  <c r="AF1476" i="13"/>
  <c r="AG1476" i="13"/>
  <c r="AH1476" i="13"/>
  <c r="W1475" i="13"/>
  <c r="AE1475" i="13" s="1"/>
  <c r="Z1475" i="13"/>
  <c r="AA1475" i="13"/>
  <c r="AB1475" i="13"/>
  <c r="AD1475" i="13"/>
  <c r="AG1475" i="13"/>
  <c r="AH1475" i="13"/>
  <c r="W1474" i="13"/>
  <c r="AE1474" i="13" s="1"/>
  <c r="Z1474" i="13"/>
  <c r="AA1474" i="13"/>
  <c r="AB1474" i="13"/>
  <c r="AD1474" i="13"/>
  <c r="AF1474" i="13"/>
  <c r="AG1474" i="13"/>
  <c r="AH1474" i="13"/>
  <c r="W1473" i="13"/>
  <c r="AE1473" i="13" s="1"/>
  <c r="Z1473" i="13"/>
  <c r="AA1473" i="13"/>
  <c r="AB1473" i="13"/>
  <c r="AD1473" i="13"/>
  <c r="AG1473" i="13"/>
  <c r="AH1473" i="13"/>
  <c r="W1472" i="13"/>
  <c r="AE1472" i="13" s="1"/>
  <c r="Z1472" i="13"/>
  <c r="AA1472" i="13"/>
  <c r="AB1472" i="13"/>
  <c r="AD1472" i="13"/>
  <c r="AF1472" i="13"/>
  <c r="AG1472" i="13"/>
  <c r="AH1472" i="13"/>
  <c r="W1471" i="13"/>
  <c r="AE1471" i="13" s="1"/>
  <c r="Z1471" i="13"/>
  <c r="AA1471" i="13"/>
  <c r="AB1471" i="13"/>
  <c r="AD1471" i="13"/>
  <c r="AG1471" i="13"/>
  <c r="AH1471" i="13"/>
  <c r="W1470" i="13"/>
  <c r="AE1470" i="13" s="1"/>
  <c r="Z1470" i="13"/>
  <c r="AA1470" i="13"/>
  <c r="AB1470" i="13"/>
  <c r="AD1470" i="13"/>
  <c r="AF1470" i="13"/>
  <c r="AG1470" i="13"/>
  <c r="AH1470" i="13"/>
  <c r="W1469" i="13"/>
  <c r="AE1469" i="13" s="1"/>
  <c r="Z1469" i="13"/>
  <c r="AA1469" i="13"/>
  <c r="AB1469" i="13"/>
  <c r="AD1469" i="13"/>
  <c r="AG1469" i="13"/>
  <c r="AH1469" i="13"/>
  <c r="W1468" i="13"/>
  <c r="AE1468" i="13" s="1"/>
  <c r="Z1468" i="13"/>
  <c r="AA1468" i="13"/>
  <c r="AB1468" i="13"/>
  <c r="AD1468" i="13"/>
  <c r="AF1468" i="13"/>
  <c r="AG1468" i="13"/>
  <c r="AH1468" i="13"/>
  <c r="W1467" i="13"/>
  <c r="AE1467" i="13" s="1"/>
  <c r="Z1467" i="13"/>
  <c r="AA1467" i="13"/>
  <c r="AB1467" i="13"/>
  <c r="AD1467" i="13"/>
  <c r="AG1467" i="13"/>
  <c r="AH1467" i="13"/>
  <c r="W1466" i="13"/>
  <c r="AE1466" i="13" s="1"/>
  <c r="Z1466" i="13"/>
  <c r="AA1466" i="13"/>
  <c r="AB1466" i="13"/>
  <c r="AD1466" i="13"/>
  <c r="AF1466" i="13"/>
  <c r="AG1466" i="13"/>
  <c r="AH1466" i="13"/>
  <c r="W1465" i="13"/>
  <c r="AE1465" i="13" s="1"/>
  <c r="Z1465" i="13"/>
  <c r="AA1465" i="13"/>
  <c r="AB1465" i="13"/>
  <c r="AD1465" i="13"/>
  <c r="AF1465" i="13"/>
  <c r="AG1465" i="13"/>
  <c r="AH1465" i="13"/>
  <c r="W1464" i="13"/>
  <c r="AE1464" i="13" s="1"/>
  <c r="Z1464" i="13"/>
  <c r="AA1464" i="13"/>
  <c r="AB1464" i="13"/>
  <c r="AD1464" i="13"/>
  <c r="AF1464" i="13"/>
  <c r="AG1464" i="13"/>
  <c r="AH1464" i="13"/>
  <c r="W1463" i="13"/>
  <c r="AE1463" i="13" s="1"/>
  <c r="Z1463" i="13"/>
  <c r="AA1463" i="13"/>
  <c r="AB1463" i="13"/>
  <c r="AD1463" i="13"/>
  <c r="AF1463" i="13"/>
  <c r="AG1463" i="13"/>
  <c r="AH1463" i="13"/>
  <c r="W1462" i="13"/>
  <c r="AE1462" i="13" s="1"/>
  <c r="Z1462" i="13"/>
  <c r="AA1462" i="13"/>
  <c r="AB1462" i="13"/>
  <c r="AD1462" i="13"/>
  <c r="AF1462" i="13"/>
  <c r="AG1462" i="13"/>
  <c r="AH1462" i="13"/>
  <c r="W1461" i="13"/>
  <c r="AE1461" i="13" s="1"/>
  <c r="Z1461" i="13"/>
  <c r="AA1461" i="13"/>
  <c r="AB1461" i="13"/>
  <c r="AD1461" i="13"/>
  <c r="AF1461" i="13"/>
  <c r="AG1461" i="13"/>
  <c r="AH1461" i="13"/>
  <c r="W1460" i="13"/>
  <c r="AE1460" i="13" s="1"/>
  <c r="Z1460" i="13"/>
  <c r="AA1460" i="13"/>
  <c r="AB1460" i="13"/>
  <c r="AD1460" i="13"/>
  <c r="AF1460" i="13"/>
  <c r="AG1460" i="13"/>
  <c r="AH1460" i="13"/>
  <c r="W1459" i="13"/>
  <c r="AE1459" i="13" s="1"/>
  <c r="Z1459" i="13"/>
  <c r="AA1459" i="13"/>
  <c r="AB1459" i="13"/>
  <c r="AD1459" i="13"/>
  <c r="AF1459" i="13"/>
  <c r="AG1459" i="13"/>
  <c r="AH1459" i="13"/>
  <c r="W1458" i="13"/>
  <c r="AE1458" i="13" s="1"/>
  <c r="Z1458" i="13"/>
  <c r="AA1458" i="13"/>
  <c r="AB1458" i="13"/>
  <c r="AD1458" i="13"/>
  <c r="AF1458" i="13"/>
  <c r="AG1458" i="13"/>
  <c r="AH1458" i="13"/>
  <c r="W1457" i="13"/>
  <c r="AE1457" i="13" s="1"/>
  <c r="Z1457" i="13"/>
  <c r="AA1457" i="13"/>
  <c r="AB1457" i="13"/>
  <c r="AD1457" i="13"/>
  <c r="AG1457" i="13"/>
  <c r="AH1457" i="13"/>
  <c r="W1456" i="13"/>
  <c r="AE1456" i="13" s="1"/>
  <c r="Z1456" i="13"/>
  <c r="AA1456" i="13"/>
  <c r="AB1456" i="13"/>
  <c r="AD1456" i="13"/>
  <c r="AF1456" i="13"/>
  <c r="AG1456" i="13"/>
  <c r="AH1456" i="13"/>
  <c r="X1457" i="13" l="1"/>
  <c r="AC1457" i="13" s="1"/>
  <c r="X1465" i="13"/>
  <c r="AC1465" i="13" s="1"/>
  <c r="X1467" i="13"/>
  <c r="AC1467" i="13" s="1"/>
  <c r="X1492" i="13"/>
  <c r="AC1492" i="13" s="1"/>
  <c r="X1494" i="13"/>
  <c r="AC1494" i="13" s="1"/>
  <c r="X1496" i="13"/>
  <c r="AC1496" i="13" s="1"/>
  <c r="X1461" i="13"/>
  <c r="AC1461" i="13" s="1"/>
  <c r="Y1458" i="13"/>
  <c r="X1469" i="13"/>
  <c r="AC1469" i="13" s="1"/>
  <c r="X1471" i="13"/>
  <c r="AC1471" i="13" s="1"/>
  <c r="X1473" i="13"/>
  <c r="AC1473" i="13" s="1"/>
  <c r="X1475" i="13"/>
  <c r="AC1475" i="13" s="1"/>
  <c r="X1477" i="13"/>
  <c r="AC1477" i="13" s="1"/>
  <c r="X1484" i="13"/>
  <c r="AC1484" i="13" s="1"/>
  <c r="X1486" i="13"/>
  <c r="AC1486" i="13" s="1"/>
  <c r="X1488" i="13"/>
  <c r="AC1488" i="13" s="1"/>
  <c r="X1459" i="13"/>
  <c r="AC1459" i="13" s="1"/>
  <c r="Y1460" i="13"/>
  <c r="X1463" i="13"/>
  <c r="AC1463" i="13" s="1"/>
  <c r="Y1479" i="13"/>
  <c r="X1480" i="13"/>
  <c r="AC1480" i="13" s="1"/>
  <c r="X1482" i="13"/>
  <c r="AC1482" i="13" s="1"/>
  <c r="X1490" i="13"/>
  <c r="AC1490" i="13" s="1"/>
  <c r="X1498" i="13"/>
  <c r="AC1498" i="13" s="1"/>
  <c r="X1500" i="13"/>
  <c r="AC1500" i="13" s="1"/>
  <c r="Y1456" i="13"/>
  <c r="Y1462" i="13"/>
  <c r="Y1464" i="13"/>
  <c r="Y1466" i="13"/>
  <c r="Y1468" i="13"/>
  <c r="Y1470" i="13"/>
  <c r="Y1472" i="13"/>
  <c r="Y1474" i="13"/>
  <c r="Y1476" i="13"/>
  <c r="Y1478" i="13"/>
  <c r="Y1481" i="13"/>
  <c r="Y1483" i="13"/>
  <c r="Y1485" i="13"/>
  <c r="Y1487" i="13"/>
  <c r="Y1489" i="13"/>
  <c r="Y1491" i="13"/>
  <c r="Y1493" i="13"/>
  <c r="Y1495" i="13"/>
  <c r="Y1497" i="13"/>
  <c r="Y1499" i="13"/>
  <c r="Y1501" i="13"/>
  <c r="X1456" i="13"/>
  <c r="AC1456" i="13" s="1"/>
  <c r="AF1457" i="13"/>
  <c r="Y1457" i="13" s="1"/>
  <c r="X1458" i="13"/>
  <c r="AC1458" i="13" s="1"/>
  <c r="Y1459" i="13"/>
  <c r="X1460" i="13"/>
  <c r="AC1460" i="13" s="1"/>
  <c r="Y1461" i="13"/>
  <c r="X1462" i="13"/>
  <c r="AC1462" i="13" s="1"/>
  <c r="Y1463" i="13"/>
  <c r="X1464" i="13"/>
  <c r="AC1464" i="13" s="1"/>
  <c r="Y1465" i="13"/>
  <c r="X1466" i="13"/>
  <c r="AC1466" i="13" s="1"/>
  <c r="AF1467" i="13"/>
  <c r="Y1467" i="13" s="1"/>
  <c r="X1468" i="13"/>
  <c r="AC1468" i="13" s="1"/>
  <c r="AF1469" i="13"/>
  <c r="Y1469" i="13" s="1"/>
  <c r="X1470" i="13"/>
  <c r="AC1470" i="13" s="1"/>
  <c r="AF1471" i="13"/>
  <c r="Y1471" i="13" s="1"/>
  <c r="X1472" i="13"/>
  <c r="AC1472" i="13" s="1"/>
  <c r="AF1473" i="13"/>
  <c r="Y1473" i="13" s="1"/>
  <c r="X1474" i="13"/>
  <c r="AC1474" i="13" s="1"/>
  <c r="AF1475" i="13"/>
  <c r="Y1475" i="13" s="1"/>
  <c r="X1476" i="13"/>
  <c r="AC1476" i="13" s="1"/>
  <c r="AF1477" i="13"/>
  <c r="Y1477" i="13" s="1"/>
  <c r="X1478" i="13"/>
  <c r="AC1478" i="13" s="1"/>
  <c r="X1479" i="13"/>
  <c r="AC1479" i="13" s="1"/>
  <c r="Y1480" i="13"/>
  <c r="X1481" i="13"/>
  <c r="AC1481" i="13" s="1"/>
  <c r="AF1482" i="13"/>
  <c r="Y1482" i="13" s="1"/>
  <c r="X1483" i="13"/>
  <c r="AC1483" i="13" s="1"/>
  <c r="Y1484" i="13"/>
  <c r="X1485" i="13"/>
  <c r="AC1485" i="13" s="1"/>
  <c r="AF1486" i="13"/>
  <c r="Y1486" i="13" s="1"/>
  <c r="X1487" i="13"/>
  <c r="AC1487" i="13" s="1"/>
  <c r="AF1488" i="13"/>
  <c r="Y1488" i="13" s="1"/>
  <c r="X1489" i="13"/>
  <c r="AC1489" i="13" s="1"/>
  <c r="Y1490" i="13"/>
  <c r="X1491" i="13"/>
  <c r="AC1491" i="13" s="1"/>
  <c r="Y1492" i="13"/>
  <c r="X1493" i="13"/>
  <c r="AC1493" i="13" s="1"/>
  <c r="AF1494" i="13"/>
  <c r="Y1494" i="13" s="1"/>
  <c r="X1495" i="13"/>
  <c r="AC1495" i="13" s="1"/>
  <c r="AF1496" i="13"/>
  <c r="Y1496" i="13" s="1"/>
  <c r="X1497" i="13"/>
  <c r="AC1497" i="13" s="1"/>
  <c r="Y1498" i="13"/>
  <c r="X1499" i="13"/>
  <c r="AC1499" i="13" s="1"/>
  <c r="AF1500" i="13"/>
  <c r="Y1500" i="13" s="1"/>
  <c r="X1501" i="13"/>
  <c r="AC1501" i="13" s="1"/>
  <c r="AE1479" i="13"/>
  <c r="W1455" i="13"/>
  <c r="AE1455" i="13" s="1"/>
  <c r="Z1455" i="13"/>
  <c r="AA1455" i="13"/>
  <c r="AB1455" i="13"/>
  <c r="AD1455" i="13"/>
  <c r="AG1455" i="13"/>
  <c r="AH1455" i="13"/>
  <c r="W1454" i="13"/>
  <c r="AE1454" i="13" s="1"/>
  <c r="Z1454" i="13"/>
  <c r="AA1454" i="13"/>
  <c r="AB1454" i="13"/>
  <c r="AD1454" i="13"/>
  <c r="AF1454" i="13"/>
  <c r="AG1454" i="13"/>
  <c r="AH1454" i="13"/>
  <c r="W1453" i="13"/>
  <c r="AE1453" i="13" s="1"/>
  <c r="Z1453" i="13"/>
  <c r="AA1453" i="13"/>
  <c r="AB1453" i="13"/>
  <c r="AD1453" i="13"/>
  <c r="AG1453" i="13"/>
  <c r="AH1453" i="13"/>
  <c r="W1452" i="13"/>
  <c r="AE1452" i="13" s="1"/>
  <c r="Z1452" i="13"/>
  <c r="AA1452" i="13"/>
  <c r="AB1452" i="13"/>
  <c r="AD1452" i="13"/>
  <c r="AF1452" i="13"/>
  <c r="AG1452" i="13"/>
  <c r="AH1452" i="13"/>
  <c r="W1451" i="13"/>
  <c r="AE1451" i="13" s="1"/>
  <c r="Z1451" i="13"/>
  <c r="AA1451" i="13"/>
  <c r="AB1451" i="13"/>
  <c r="AD1451" i="13"/>
  <c r="AG1451" i="13"/>
  <c r="AH1451" i="13"/>
  <c r="W1450" i="13"/>
  <c r="AE1450" i="13" s="1"/>
  <c r="Z1450" i="13"/>
  <c r="AA1450" i="13"/>
  <c r="AB1450" i="13"/>
  <c r="AD1450" i="13"/>
  <c r="AF1450" i="13"/>
  <c r="AG1450" i="13"/>
  <c r="AH1450" i="13"/>
  <c r="W1449" i="13"/>
  <c r="AE1449" i="13" s="1"/>
  <c r="Z1449" i="13"/>
  <c r="AA1449" i="13"/>
  <c r="AB1449" i="13"/>
  <c r="AD1449" i="13"/>
  <c r="AF1449" i="13"/>
  <c r="AG1449" i="13"/>
  <c r="AH1449" i="13"/>
  <c r="W1448" i="13"/>
  <c r="AE1448" i="13" s="1"/>
  <c r="Z1448" i="13"/>
  <c r="AA1448" i="13"/>
  <c r="AB1448" i="13"/>
  <c r="AD1448" i="13"/>
  <c r="AF1448" i="13"/>
  <c r="AG1448" i="13"/>
  <c r="AH1448" i="13"/>
  <c r="W1447" i="13"/>
  <c r="AE1447" i="13" s="1"/>
  <c r="Z1447" i="13"/>
  <c r="AA1447" i="13"/>
  <c r="AB1447" i="13"/>
  <c r="AD1447" i="13"/>
  <c r="AG1447" i="13"/>
  <c r="AH1447" i="13"/>
  <c r="W1446" i="13"/>
  <c r="AE1446" i="13" s="1"/>
  <c r="Z1446" i="13"/>
  <c r="AA1446" i="13"/>
  <c r="AB1446" i="13"/>
  <c r="AD1446" i="13"/>
  <c r="AF1446" i="13"/>
  <c r="AG1446" i="13"/>
  <c r="AH1446" i="13"/>
  <c r="W1445" i="13"/>
  <c r="AE1445" i="13" s="1"/>
  <c r="Z1445" i="13"/>
  <c r="AA1445" i="13"/>
  <c r="AB1445" i="13"/>
  <c r="AD1445" i="13"/>
  <c r="AG1445" i="13"/>
  <c r="AH1445" i="13"/>
  <c r="W1444" i="13"/>
  <c r="AE1444" i="13" s="1"/>
  <c r="Z1444" i="13"/>
  <c r="AA1444" i="13"/>
  <c r="AB1444" i="13"/>
  <c r="AD1444" i="13"/>
  <c r="AF1444" i="13"/>
  <c r="AG1444" i="13"/>
  <c r="AH1444" i="13"/>
  <c r="W1443" i="13"/>
  <c r="AE1443" i="13" s="1"/>
  <c r="Z1443" i="13"/>
  <c r="AA1443" i="13"/>
  <c r="AB1443" i="13"/>
  <c r="AD1443" i="13"/>
  <c r="AF1443" i="13"/>
  <c r="AG1443" i="13"/>
  <c r="AH1443" i="13"/>
  <c r="W1442" i="13"/>
  <c r="AE1442" i="13" s="1"/>
  <c r="Z1442" i="13"/>
  <c r="AA1442" i="13"/>
  <c r="AB1442" i="13"/>
  <c r="AD1442" i="13"/>
  <c r="AF1442" i="13"/>
  <c r="AG1442" i="13"/>
  <c r="AH1442" i="13"/>
  <c r="W1441" i="13"/>
  <c r="AE1441" i="13" s="1"/>
  <c r="Z1441" i="13"/>
  <c r="AA1441" i="13"/>
  <c r="AB1441" i="13"/>
  <c r="AD1441" i="13"/>
  <c r="AG1441" i="13"/>
  <c r="AH1441" i="13"/>
  <c r="X1449" i="13" l="1"/>
  <c r="AC1449" i="13" s="1"/>
  <c r="X1451" i="13"/>
  <c r="AC1451" i="13" s="1"/>
  <c r="X1453" i="13"/>
  <c r="AC1453" i="13" s="1"/>
  <c r="X1455" i="13"/>
  <c r="AC1455" i="13" s="1"/>
  <c r="X1441" i="13"/>
  <c r="AC1441" i="13" s="1"/>
  <c r="Y1442" i="13"/>
  <c r="X1443" i="13"/>
  <c r="AC1443" i="13" s="1"/>
  <c r="X1445" i="13"/>
  <c r="AC1445" i="13" s="1"/>
  <c r="X1447" i="13"/>
  <c r="AC1447" i="13" s="1"/>
  <c r="AF1441" i="13"/>
  <c r="Y1441" i="13" s="1"/>
  <c r="X1442" i="13"/>
  <c r="AC1442" i="13" s="1"/>
  <c r="Y1443" i="13"/>
  <c r="X1444" i="13"/>
  <c r="AC1444" i="13" s="1"/>
  <c r="AF1445" i="13"/>
  <c r="Y1445" i="13" s="1"/>
  <c r="X1446" i="13"/>
  <c r="AC1446" i="13" s="1"/>
  <c r="AF1447" i="13"/>
  <c r="Y1447" i="13" s="1"/>
  <c r="X1448" i="13"/>
  <c r="AC1448" i="13" s="1"/>
  <c r="Y1449" i="13"/>
  <c r="X1450" i="13"/>
  <c r="AC1450" i="13" s="1"/>
  <c r="AF1451" i="13"/>
  <c r="Y1451" i="13" s="1"/>
  <c r="X1452" i="13"/>
  <c r="AC1452" i="13" s="1"/>
  <c r="AF1453" i="13"/>
  <c r="Y1453" i="13" s="1"/>
  <c r="X1454" i="13"/>
  <c r="AC1454" i="13" s="1"/>
  <c r="AF1455" i="13"/>
  <c r="Y1455" i="13" s="1"/>
  <c r="Y1444" i="13"/>
  <c r="Y1446" i="13"/>
  <c r="Y1448" i="13"/>
  <c r="Y1450" i="13"/>
  <c r="Y1452" i="13"/>
  <c r="Y1454" i="13"/>
  <c r="W1440" i="13"/>
  <c r="AE1440" i="13" s="1"/>
  <c r="Z1440" i="13"/>
  <c r="AA1440" i="13"/>
  <c r="AB1440" i="13"/>
  <c r="AD1440" i="13"/>
  <c r="AF1440" i="13"/>
  <c r="AG1440" i="13"/>
  <c r="AH1440" i="13"/>
  <c r="W1439" i="13"/>
  <c r="AE1439" i="13" s="1"/>
  <c r="Z1439" i="13"/>
  <c r="AA1439" i="13"/>
  <c r="AB1439" i="13"/>
  <c r="AD1439" i="13"/>
  <c r="AF1439" i="13"/>
  <c r="AG1439" i="13"/>
  <c r="AH1439" i="13"/>
  <c r="W1438" i="13"/>
  <c r="AE1438" i="13" s="1"/>
  <c r="Z1438" i="13"/>
  <c r="AA1438" i="13"/>
  <c r="AB1438" i="13"/>
  <c r="AD1438" i="13"/>
  <c r="AF1438" i="13"/>
  <c r="AG1438" i="13"/>
  <c r="AH1438" i="13"/>
  <c r="W1437" i="13"/>
  <c r="AE1437" i="13" s="1"/>
  <c r="Z1437" i="13"/>
  <c r="AA1437" i="13"/>
  <c r="AB1437" i="13"/>
  <c r="AD1437" i="13"/>
  <c r="AF1437" i="13"/>
  <c r="AG1437" i="13"/>
  <c r="AH1437" i="13"/>
  <c r="W1436" i="13"/>
  <c r="AE1436" i="13" s="1"/>
  <c r="Z1436" i="13"/>
  <c r="AA1436" i="13"/>
  <c r="AB1436" i="13"/>
  <c r="AD1436" i="13"/>
  <c r="AF1436" i="13"/>
  <c r="AG1436" i="13"/>
  <c r="AH1436" i="13"/>
  <c r="W1435" i="13"/>
  <c r="AE1435" i="13" s="1"/>
  <c r="Z1435" i="13"/>
  <c r="AA1435" i="13"/>
  <c r="AB1435" i="13"/>
  <c r="AD1435" i="13"/>
  <c r="AG1435" i="13"/>
  <c r="AH1435" i="13"/>
  <c r="W1434" i="13"/>
  <c r="AE1434" i="13" s="1"/>
  <c r="Z1434" i="13"/>
  <c r="AA1434" i="13"/>
  <c r="AB1434" i="13"/>
  <c r="AD1434" i="13"/>
  <c r="AF1434" i="13"/>
  <c r="AG1434" i="13"/>
  <c r="AH1434" i="13"/>
  <c r="W1433" i="13"/>
  <c r="Z1433" i="13"/>
  <c r="AA1433" i="13"/>
  <c r="AB1433" i="13"/>
  <c r="AD1433" i="13"/>
  <c r="AE1433" i="13"/>
  <c r="AG1433" i="13"/>
  <c r="AH1433" i="13"/>
  <c r="W1432" i="13"/>
  <c r="AE1432" i="13" s="1"/>
  <c r="Z1432" i="13"/>
  <c r="AA1432" i="13"/>
  <c r="AB1432" i="13"/>
  <c r="AD1432" i="13"/>
  <c r="AF1432" i="13"/>
  <c r="AG1432" i="13"/>
  <c r="AH1432" i="13"/>
  <c r="W1431" i="13"/>
  <c r="Z1431" i="13"/>
  <c r="X1431" i="13" s="1"/>
  <c r="AC1431" i="13" s="1"/>
  <c r="AA1431" i="13"/>
  <c r="AB1431" i="13"/>
  <c r="AD1431" i="13"/>
  <c r="AE1431" i="13"/>
  <c r="AF1431" i="13"/>
  <c r="AG1431" i="13"/>
  <c r="AH1431" i="13"/>
  <c r="W1430" i="13"/>
  <c r="AE1430" i="13" s="1"/>
  <c r="Z1430" i="13"/>
  <c r="AA1430" i="13"/>
  <c r="AB1430" i="13"/>
  <c r="AD1430" i="13"/>
  <c r="AF1430" i="13"/>
  <c r="AG1430" i="13"/>
  <c r="AH1430" i="13"/>
  <c r="W1429" i="13"/>
  <c r="AE1429" i="13" s="1"/>
  <c r="Z1429" i="13"/>
  <c r="AA1429" i="13"/>
  <c r="AB1429" i="13"/>
  <c r="AD1429" i="13"/>
  <c r="AG1429" i="13"/>
  <c r="AH1429" i="13"/>
  <c r="W1428" i="13"/>
  <c r="AE1428" i="13" s="1"/>
  <c r="Z1428" i="13"/>
  <c r="AA1428" i="13"/>
  <c r="AB1428" i="13"/>
  <c r="AD1428" i="13"/>
  <c r="AF1428" i="13"/>
  <c r="AG1428" i="13"/>
  <c r="AH1428" i="13"/>
  <c r="W1427" i="13"/>
  <c r="AE1427" i="13" s="1"/>
  <c r="Z1427" i="13"/>
  <c r="AA1427" i="13"/>
  <c r="AB1427" i="13"/>
  <c r="AD1427" i="13"/>
  <c r="AG1427" i="13"/>
  <c r="AH1427" i="13"/>
  <c r="W1426" i="13"/>
  <c r="AE1426" i="13" s="1"/>
  <c r="Z1426" i="13"/>
  <c r="AA1426" i="13"/>
  <c r="AB1426" i="13"/>
  <c r="AD1426" i="13"/>
  <c r="AF1426" i="13"/>
  <c r="AG1426" i="13"/>
  <c r="AH1426" i="13"/>
  <c r="W1425" i="13"/>
  <c r="AE1425" i="13" s="1"/>
  <c r="Z1425" i="13"/>
  <c r="AA1425" i="13"/>
  <c r="AB1425" i="13"/>
  <c r="AD1425" i="13"/>
  <c r="AG1425" i="13"/>
  <c r="AH1425" i="13"/>
  <c r="W1424" i="13"/>
  <c r="AE1424" i="13" s="1"/>
  <c r="Z1424" i="13"/>
  <c r="AA1424" i="13"/>
  <c r="AB1424" i="13"/>
  <c r="AD1424" i="13"/>
  <c r="AF1424" i="13"/>
  <c r="AG1424" i="13"/>
  <c r="AH1424" i="13"/>
  <c r="W1423" i="13"/>
  <c r="AE1423" i="13" s="1"/>
  <c r="Z1423" i="13"/>
  <c r="AA1423" i="13"/>
  <c r="AB1423" i="13"/>
  <c r="AD1423" i="13"/>
  <c r="AF1423" i="13"/>
  <c r="AG1423" i="13"/>
  <c r="AH1423" i="13"/>
  <c r="W1422" i="13"/>
  <c r="AE1422" i="13" s="1"/>
  <c r="Z1422" i="13"/>
  <c r="AA1422" i="13"/>
  <c r="AB1422" i="13"/>
  <c r="AD1422" i="13"/>
  <c r="AF1422" i="13"/>
  <c r="AG1422" i="13"/>
  <c r="AH1422" i="13"/>
  <c r="W1421" i="13"/>
  <c r="AE1421" i="13" s="1"/>
  <c r="Z1421" i="13"/>
  <c r="AA1421" i="13"/>
  <c r="AB1421" i="13"/>
  <c r="AD1421" i="13"/>
  <c r="AF1421" i="13"/>
  <c r="AG1421" i="13"/>
  <c r="AH1421" i="13"/>
  <c r="W1420" i="13"/>
  <c r="AE1420" i="13" s="1"/>
  <c r="Z1420" i="13"/>
  <c r="AA1420" i="13"/>
  <c r="AB1420" i="13"/>
  <c r="AD1420" i="13"/>
  <c r="AF1420" i="13"/>
  <c r="AG1420" i="13"/>
  <c r="AH1420" i="13"/>
  <c r="W1419" i="13"/>
  <c r="AE1419" i="13" s="1"/>
  <c r="Z1419" i="13"/>
  <c r="AA1419" i="13"/>
  <c r="AB1419" i="13"/>
  <c r="AD1419" i="13"/>
  <c r="AF1419" i="13"/>
  <c r="AG1419" i="13"/>
  <c r="AH1419" i="13"/>
  <c r="W1418" i="13"/>
  <c r="AE1418" i="13" s="1"/>
  <c r="Z1418" i="13"/>
  <c r="AA1418" i="13"/>
  <c r="AB1418" i="13"/>
  <c r="AD1418" i="13"/>
  <c r="AF1418" i="13"/>
  <c r="AG1418" i="13"/>
  <c r="AH1418" i="13"/>
  <c r="W1417" i="13"/>
  <c r="AE1417" i="13" s="1"/>
  <c r="Z1417" i="13"/>
  <c r="AA1417" i="13"/>
  <c r="AB1417" i="13"/>
  <c r="AD1417" i="13"/>
  <c r="AG1417" i="13"/>
  <c r="AH1417" i="13"/>
  <c r="W1416" i="13"/>
  <c r="AE1416" i="13" s="1"/>
  <c r="Z1416" i="13"/>
  <c r="AA1416" i="13"/>
  <c r="AB1416" i="13"/>
  <c r="AD1416" i="13"/>
  <c r="AF1416" i="13"/>
  <c r="AG1416" i="13"/>
  <c r="AH1416" i="13"/>
  <c r="W1415" i="13"/>
  <c r="AE1415" i="13" s="1"/>
  <c r="Z1415" i="13"/>
  <c r="AA1415" i="13"/>
  <c r="AB1415" i="13"/>
  <c r="AD1415" i="13"/>
  <c r="AF1415" i="13"/>
  <c r="AG1415" i="13"/>
  <c r="AH1415" i="13"/>
  <c r="W1414" i="13"/>
  <c r="AE1414" i="13" s="1"/>
  <c r="Z1414" i="13"/>
  <c r="AA1414" i="13"/>
  <c r="AB1414" i="13"/>
  <c r="AD1414" i="13"/>
  <c r="AF1414" i="13"/>
  <c r="AG1414" i="13"/>
  <c r="AH1414" i="13"/>
  <c r="W1413" i="13"/>
  <c r="AE1413" i="13" s="1"/>
  <c r="Z1413" i="13"/>
  <c r="AA1413" i="13"/>
  <c r="AB1413" i="13"/>
  <c r="AD1413" i="13"/>
  <c r="AF1413" i="13"/>
  <c r="AG1413" i="13"/>
  <c r="AH1413" i="13"/>
  <c r="W1412" i="13"/>
  <c r="AE1412" i="13" s="1"/>
  <c r="Z1412" i="13"/>
  <c r="AA1412" i="13"/>
  <c r="AB1412" i="13"/>
  <c r="AD1412" i="13"/>
  <c r="AF1412" i="13"/>
  <c r="AG1412" i="13"/>
  <c r="AH1412" i="13"/>
  <c r="W1411" i="13"/>
  <c r="AE1411" i="13" s="1"/>
  <c r="Z1411" i="13"/>
  <c r="AA1411" i="13"/>
  <c r="AB1411" i="13"/>
  <c r="AD1411" i="13"/>
  <c r="AF1411" i="13"/>
  <c r="AG1411" i="13"/>
  <c r="AH1411" i="13"/>
  <c r="W1410" i="13"/>
  <c r="AE1410" i="13" s="1"/>
  <c r="Z1410" i="13"/>
  <c r="AA1410" i="13"/>
  <c r="AB1410" i="13"/>
  <c r="AD1410" i="13"/>
  <c r="AF1410" i="13"/>
  <c r="AG1410" i="13"/>
  <c r="AH1410" i="13"/>
  <c r="W1409" i="13"/>
  <c r="AE1409" i="13" s="1"/>
  <c r="Z1409" i="13"/>
  <c r="AA1409" i="13"/>
  <c r="AB1409" i="13"/>
  <c r="AD1409" i="13"/>
  <c r="AF1409" i="13"/>
  <c r="AG1409" i="13"/>
  <c r="AH1409" i="13"/>
  <c r="W1408" i="13"/>
  <c r="AE1408" i="13" s="1"/>
  <c r="Z1408" i="13"/>
  <c r="AA1408" i="13"/>
  <c r="AB1408" i="13"/>
  <c r="AD1408" i="13"/>
  <c r="AF1408" i="13"/>
  <c r="AG1408" i="13"/>
  <c r="AH1408" i="13"/>
  <c r="W1407" i="13"/>
  <c r="AE1407" i="13" s="1"/>
  <c r="Z1407" i="13"/>
  <c r="AA1407" i="13"/>
  <c r="AB1407" i="13"/>
  <c r="AD1407" i="13"/>
  <c r="AF1407" i="13"/>
  <c r="AG1407" i="13"/>
  <c r="AH1407" i="13"/>
  <c r="W1406" i="13"/>
  <c r="AE1406" i="13" s="1"/>
  <c r="Z1406" i="13"/>
  <c r="AA1406" i="13"/>
  <c r="AB1406" i="13"/>
  <c r="AD1406" i="13"/>
  <c r="AF1406" i="13"/>
  <c r="AG1406" i="13"/>
  <c r="AH1406" i="13"/>
  <c r="W1405" i="13"/>
  <c r="AE1405" i="13" s="1"/>
  <c r="Z1405" i="13"/>
  <c r="AA1405" i="13"/>
  <c r="AB1405" i="13"/>
  <c r="AD1405" i="13"/>
  <c r="AF1405" i="13"/>
  <c r="AG1405" i="13"/>
  <c r="AH1405" i="13"/>
  <c r="W1404" i="13"/>
  <c r="AE1404" i="13" s="1"/>
  <c r="Z1404" i="13"/>
  <c r="AA1404" i="13"/>
  <c r="AB1404" i="13"/>
  <c r="AD1404" i="13"/>
  <c r="AF1404" i="13"/>
  <c r="AG1404" i="13"/>
  <c r="AH1404" i="13"/>
  <c r="W1403" i="13"/>
  <c r="AE1403" i="13" s="1"/>
  <c r="Z1403" i="13"/>
  <c r="AA1403" i="13"/>
  <c r="AB1403" i="13"/>
  <c r="AD1403" i="13"/>
  <c r="AG1403" i="13"/>
  <c r="AH1403" i="13"/>
  <c r="W1402" i="13"/>
  <c r="AE1402" i="13" s="1"/>
  <c r="Z1402" i="13"/>
  <c r="AA1402" i="13"/>
  <c r="AB1402" i="13"/>
  <c r="AD1402" i="13"/>
  <c r="AF1402" i="13"/>
  <c r="AG1402" i="13"/>
  <c r="AH1402" i="13"/>
  <c r="W1401" i="13"/>
  <c r="AE1401" i="13" s="1"/>
  <c r="Z1401" i="13"/>
  <c r="AA1401" i="13"/>
  <c r="AB1401" i="13"/>
  <c r="AD1401" i="13"/>
  <c r="AF1401" i="13"/>
  <c r="AG1401" i="13"/>
  <c r="AH1401" i="13"/>
  <c r="W1400" i="13"/>
  <c r="AE1400" i="13" s="1"/>
  <c r="Z1400" i="13"/>
  <c r="AA1400" i="13"/>
  <c r="AB1400" i="13"/>
  <c r="AD1400" i="13"/>
  <c r="AF1400" i="13"/>
  <c r="AG1400" i="13"/>
  <c r="AH1400" i="13"/>
  <c r="W1399" i="13"/>
  <c r="AE1399" i="13" s="1"/>
  <c r="Z1399" i="13"/>
  <c r="AA1399" i="13"/>
  <c r="AB1399" i="13"/>
  <c r="AD1399" i="13"/>
  <c r="AF1399" i="13"/>
  <c r="AG1399" i="13"/>
  <c r="AH1399" i="13"/>
  <c r="W1398" i="13"/>
  <c r="AE1398" i="13" s="1"/>
  <c r="Z1398" i="13"/>
  <c r="AA1398" i="13"/>
  <c r="AB1398" i="13"/>
  <c r="AD1398" i="13"/>
  <c r="AF1398" i="13"/>
  <c r="AG1398" i="13"/>
  <c r="AH1398" i="13"/>
  <c r="W1397" i="13"/>
  <c r="AE1397" i="13" s="1"/>
  <c r="Z1397" i="13"/>
  <c r="AA1397" i="13"/>
  <c r="AB1397" i="13"/>
  <c r="AD1397" i="13"/>
  <c r="AF1397" i="13"/>
  <c r="AG1397" i="13"/>
  <c r="AH1397" i="13"/>
  <c r="X1399" i="13" l="1"/>
  <c r="AC1399" i="13" s="1"/>
  <c r="X1421" i="13"/>
  <c r="AC1421" i="13" s="1"/>
  <c r="X1433" i="13"/>
  <c r="AC1433" i="13" s="1"/>
  <c r="X1438" i="13"/>
  <c r="AC1438" i="13" s="1"/>
  <c r="X1405" i="13"/>
  <c r="AC1405" i="13" s="1"/>
  <c r="X1435" i="13"/>
  <c r="AC1435" i="13" s="1"/>
  <c r="X1413" i="13"/>
  <c r="AC1413" i="13" s="1"/>
  <c r="X1417" i="13"/>
  <c r="AC1417" i="13" s="1"/>
  <c r="X1440" i="13"/>
  <c r="AC1440" i="13" s="1"/>
  <c r="X1397" i="13"/>
  <c r="AC1397" i="13" s="1"/>
  <c r="X1401" i="13"/>
  <c r="AC1401" i="13" s="1"/>
  <c r="X1409" i="13"/>
  <c r="AC1409" i="13" s="1"/>
  <c r="Y1400" i="13"/>
  <c r="X1419" i="13"/>
  <c r="AC1419" i="13" s="1"/>
  <c r="X1423" i="13"/>
  <c r="AC1423" i="13" s="1"/>
  <c r="X1425" i="13"/>
  <c r="AC1425" i="13" s="1"/>
  <c r="X1427" i="13"/>
  <c r="AC1427" i="13" s="1"/>
  <c r="X1429" i="13"/>
  <c r="AC1429" i="13" s="1"/>
  <c r="Y1398" i="13"/>
  <c r="X1403" i="13"/>
  <c r="AC1403" i="13" s="1"/>
  <c r="X1407" i="13"/>
  <c r="AC1407" i="13" s="1"/>
  <c r="X1411" i="13"/>
  <c r="AC1411" i="13" s="1"/>
  <c r="X1415" i="13"/>
  <c r="AC1415" i="13" s="1"/>
  <c r="X1437" i="13"/>
  <c r="AC1437" i="13" s="1"/>
  <c r="X1439" i="13"/>
  <c r="AC1439" i="13" s="1"/>
  <c r="Y1402" i="13"/>
  <c r="Y1404" i="13"/>
  <c r="Y1406" i="13"/>
  <c r="Y1408" i="13"/>
  <c r="Y1410" i="13"/>
  <c r="Y1412" i="13"/>
  <c r="Y1414" i="13"/>
  <c r="Y1416" i="13"/>
  <c r="Y1418" i="13"/>
  <c r="Y1420" i="13"/>
  <c r="Y1422" i="13"/>
  <c r="Y1424" i="13"/>
  <c r="Y1426" i="13"/>
  <c r="Y1428" i="13"/>
  <c r="Y1430" i="13"/>
  <c r="Y1432" i="13"/>
  <c r="Y1434" i="13"/>
  <c r="Y1436" i="13"/>
  <c r="Y1438" i="13"/>
  <c r="Y1440" i="13"/>
  <c r="Y1397" i="13"/>
  <c r="X1398" i="13"/>
  <c r="AC1398" i="13" s="1"/>
  <c r="Y1399" i="13"/>
  <c r="X1400" i="13"/>
  <c r="AC1400" i="13" s="1"/>
  <c r="Y1401" i="13"/>
  <c r="X1402" i="13"/>
  <c r="AC1402" i="13" s="1"/>
  <c r="AF1403" i="13"/>
  <c r="Y1403" i="13" s="1"/>
  <c r="X1404" i="13"/>
  <c r="AC1404" i="13" s="1"/>
  <c r="Y1405" i="13"/>
  <c r="X1406" i="13"/>
  <c r="AC1406" i="13" s="1"/>
  <c r="Y1407" i="13"/>
  <c r="X1408" i="13"/>
  <c r="AC1408" i="13" s="1"/>
  <c r="Y1409" i="13"/>
  <c r="X1410" i="13"/>
  <c r="AC1410" i="13" s="1"/>
  <c r="Y1411" i="13"/>
  <c r="X1412" i="13"/>
  <c r="AC1412" i="13" s="1"/>
  <c r="Y1413" i="13"/>
  <c r="X1414" i="13"/>
  <c r="AC1414" i="13" s="1"/>
  <c r="Y1415" i="13"/>
  <c r="X1416" i="13"/>
  <c r="AC1416" i="13" s="1"/>
  <c r="AF1417" i="13"/>
  <c r="Y1417" i="13" s="1"/>
  <c r="X1418" i="13"/>
  <c r="AC1418" i="13" s="1"/>
  <c r="Y1419" i="13"/>
  <c r="X1420" i="13"/>
  <c r="AC1420" i="13" s="1"/>
  <c r="Y1421" i="13"/>
  <c r="X1422" i="13"/>
  <c r="AC1422" i="13" s="1"/>
  <c r="Y1423" i="13"/>
  <c r="X1424" i="13"/>
  <c r="AC1424" i="13" s="1"/>
  <c r="AF1425" i="13"/>
  <c r="Y1425" i="13" s="1"/>
  <c r="X1426" i="13"/>
  <c r="AC1426" i="13" s="1"/>
  <c r="AF1427" i="13"/>
  <c r="Y1427" i="13" s="1"/>
  <c r="X1428" i="13"/>
  <c r="AC1428" i="13" s="1"/>
  <c r="AF1429" i="13"/>
  <c r="Y1429" i="13" s="1"/>
  <c r="X1430" i="13"/>
  <c r="AC1430" i="13" s="1"/>
  <c r="Y1431" i="13"/>
  <c r="X1432" i="13"/>
  <c r="AC1432" i="13" s="1"/>
  <c r="AF1433" i="13"/>
  <c r="Y1433" i="13" s="1"/>
  <c r="X1434" i="13"/>
  <c r="AC1434" i="13" s="1"/>
  <c r="AF1435" i="13"/>
  <c r="Y1435" i="13" s="1"/>
  <c r="X1436" i="13"/>
  <c r="AC1436" i="13" s="1"/>
  <c r="Y1437" i="13"/>
  <c r="Y1439" i="13"/>
  <c r="W1396" i="13"/>
  <c r="AE1396" i="13" s="1"/>
  <c r="Z1396" i="13"/>
  <c r="AA1396" i="13"/>
  <c r="AB1396" i="13"/>
  <c r="AD1396" i="13"/>
  <c r="AF1396" i="13"/>
  <c r="AG1396" i="13"/>
  <c r="AH1396" i="13"/>
  <c r="W1395" i="13"/>
  <c r="AE1395" i="13" s="1"/>
  <c r="Z1395" i="13"/>
  <c r="AA1395" i="13"/>
  <c r="AB1395" i="13"/>
  <c r="AD1395" i="13"/>
  <c r="AF1395" i="13"/>
  <c r="AG1395" i="13"/>
  <c r="AH1395" i="13"/>
  <c r="W1394" i="13"/>
  <c r="AE1394" i="13" s="1"/>
  <c r="Z1394" i="13"/>
  <c r="AA1394" i="13"/>
  <c r="AB1394" i="13"/>
  <c r="AD1394" i="13"/>
  <c r="AF1394" i="13"/>
  <c r="AG1394" i="13"/>
  <c r="AH1394" i="13"/>
  <c r="W1393" i="13"/>
  <c r="AE1393" i="13" s="1"/>
  <c r="Z1393" i="13"/>
  <c r="AA1393" i="13"/>
  <c r="AB1393" i="13"/>
  <c r="AD1393" i="13"/>
  <c r="AF1393" i="13"/>
  <c r="AG1393" i="13"/>
  <c r="AH1393" i="13"/>
  <c r="W1392" i="13"/>
  <c r="AE1392" i="13" s="1"/>
  <c r="Z1392" i="13"/>
  <c r="AA1392" i="13"/>
  <c r="AB1392" i="13"/>
  <c r="AD1392" i="13"/>
  <c r="AF1392" i="13"/>
  <c r="AG1392" i="13"/>
  <c r="AH1392" i="13"/>
  <c r="W1391" i="13"/>
  <c r="AE1391" i="13" s="1"/>
  <c r="Z1391" i="13"/>
  <c r="AA1391" i="13"/>
  <c r="AB1391" i="13"/>
  <c r="AD1391" i="13"/>
  <c r="AF1391" i="13"/>
  <c r="AG1391" i="13"/>
  <c r="AH1391" i="13"/>
  <c r="W1390" i="13"/>
  <c r="AE1390" i="13" s="1"/>
  <c r="Z1390" i="13"/>
  <c r="AA1390" i="13"/>
  <c r="AB1390" i="13"/>
  <c r="AD1390" i="13"/>
  <c r="AF1390" i="13"/>
  <c r="AG1390" i="13"/>
  <c r="AH1390" i="13"/>
  <c r="W1389" i="13"/>
  <c r="AE1389" i="13" s="1"/>
  <c r="Z1389" i="13"/>
  <c r="AA1389" i="13"/>
  <c r="AB1389" i="13"/>
  <c r="AD1389" i="13"/>
  <c r="AF1389" i="13"/>
  <c r="AG1389" i="13"/>
  <c r="AH1389" i="13"/>
  <c r="W1388" i="13"/>
  <c r="AE1388" i="13" s="1"/>
  <c r="Z1388" i="13"/>
  <c r="AA1388" i="13"/>
  <c r="AB1388" i="13"/>
  <c r="AD1388" i="13"/>
  <c r="AG1388" i="13"/>
  <c r="AH1388" i="13"/>
  <c r="W1387" i="13"/>
  <c r="AE1387" i="13" s="1"/>
  <c r="Z1387" i="13"/>
  <c r="AA1387" i="13"/>
  <c r="AB1387" i="13"/>
  <c r="AD1387" i="13"/>
  <c r="AF1387" i="13"/>
  <c r="AG1387" i="13"/>
  <c r="AH1387" i="13"/>
  <c r="W1386" i="13"/>
  <c r="AE1386" i="13" s="1"/>
  <c r="Z1386" i="13"/>
  <c r="AA1386" i="13"/>
  <c r="AB1386" i="13"/>
  <c r="AD1386" i="13"/>
  <c r="AF1386" i="13"/>
  <c r="AG1386" i="13"/>
  <c r="AH1386" i="13"/>
  <c r="W1385" i="13"/>
  <c r="AE1385" i="13" s="1"/>
  <c r="Z1385" i="13"/>
  <c r="AA1385" i="13"/>
  <c r="AB1385" i="13"/>
  <c r="AD1385" i="13"/>
  <c r="AG1385" i="13"/>
  <c r="AH1385" i="13"/>
  <c r="W1384" i="13"/>
  <c r="AE1384" i="13" s="1"/>
  <c r="Z1384" i="13"/>
  <c r="AA1384" i="13"/>
  <c r="AB1384" i="13"/>
  <c r="AD1384" i="13"/>
  <c r="AF1384" i="13"/>
  <c r="AG1384" i="13"/>
  <c r="AH1384" i="13"/>
  <c r="W1383" i="13"/>
  <c r="AE1383" i="13" s="1"/>
  <c r="Z1383" i="13"/>
  <c r="AA1383" i="13"/>
  <c r="AB1383" i="13"/>
  <c r="AD1383" i="13"/>
  <c r="AF1383" i="13"/>
  <c r="AG1383" i="13"/>
  <c r="AH1383" i="13"/>
  <c r="W1382" i="13"/>
  <c r="AE1382" i="13" s="1"/>
  <c r="Z1382" i="13"/>
  <c r="AA1382" i="13"/>
  <c r="AB1382" i="13"/>
  <c r="AD1382" i="13"/>
  <c r="AF1382" i="13"/>
  <c r="AG1382" i="13"/>
  <c r="AH1382" i="13"/>
  <c r="W1381" i="13"/>
  <c r="AE1381" i="13" s="1"/>
  <c r="Z1381" i="13"/>
  <c r="AA1381" i="13"/>
  <c r="AB1381" i="13"/>
  <c r="AD1381" i="13"/>
  <c r="AG1381" i="13"/>
  <c r="AH1381" i="13"/>
  <c r="W1380" i="13"/>
  <c r="AE1380" i="13" s="1"/>
  <c r="Z1380" i="13"/>
  <c r="AA1380" i="13"/>
  <c r="AB1380" i="13"/>
  <c r="AD1380" i="13"/>
  <c r="AF1380" i="13"/>
  <c r="AG1380" i="13"/>
  <c r="AH1380" i="13"/>
  <c r="X1396" i="13" l="1"/>
  <c r="AC1396" i="13" s="1"/>
  <c r="X1383" i="13"/>
  <c r="AC1383" i="13" s="1"/>
  <c r="X1385" i="13"/>
  <c r="AC1385" i="13" s="1"/>
  <c r="X1392" i="13"/>
  <c r="AC1392" i="13" s="1"/>
  <c r="Y1380" i="13"/>
  <c r="X1381" i="13"/>
  <c r="AC1381" i="13" s="1"/>
  <c r="Y1382" i="13"/>
  <c r="X1387" i="13"/>
  <c r="AC1387" i="13" s="1"/>
  <c r="X1389" i="13"/>
  <c r="AC1389" i="13" s="1"/>
  <c r="X1394" i="13"/>
  <c r="AC1394" i="13" s="1"/>
  <c r="Y1384" i="13"/>
  <c r="Y1386" i="13"/>
  <c r="Y1391" i="13"/>
  <c r="Y1393" i="13"/>
  <c r="Y1395" i="13"/>
  <c r="X1380" i="13"/>
  <c r="AC1380" i="13" s="1"/>
  <c r="AF1381" i="13"/>
  <c r="Y1381" i="13" s="1"/>
  <c r="X1382" i="13"/>
  <c r="AC1382" i="13" s="1"/>
  <c r="Y1383" i="13"/>
  <c r="X1384" i="13"/>
  <c r="AC1384" i="13" s="1"/>
  <c r="AF1385" i="13"/>
  <c r="Y1385" i="13" s="1"/>
  <c r="X1386" i="13"/>
  <c r="AC1386" i="13" s="1"/>
  <c r="Y1387" i="13"/>
  <c r="Y1389" i="13"/>
  <c r="X1391" i="13"/>
  <c r="AC1391" i="13" s="1"/>
  <c r="Y1392" i="13"/>
  <c r="X1393" i="13"/>
  <c r="AC1393" i="13" s="1"/>
  <c r="Y1394" i="13"/>
  <c r="X1395" i="13"/>
  <c r="AC1395" i="13" s="1"/>
  <c r="Y1396" i="13"/>
  <c r="X1388" i="13"/>
  <c r="AC1388" i="13" s="1"/>
  <c r="AF1388" i="13"/>
  <c r="X1390" i="13"/>
  <c r="AC1390" i="13" s="1"/>
  <c r="Y1388" i="13"/>
  <c r="Y1390" i="13"/>
  <c r="W1379" i="13"/>
  <c r="Z1379" i="13"/>
  <c r="X1379" i="13" s="1"/>
  <c r="AC1379" i="13" s="1"/>
  <c r="AA1379" i="13"/>
  <c r="AB1379" i="13"/>
  <c r="AD1379" i="13"/>
  <c r="AE1379" i="13"/>
  <c r="AF1379" i="13"/>
  <c r="AG1379" i="13"/>
  <c r="AH1379" i="13"/>
  <c r="W1378" i="13"/>
  <c r="AE1378" i="13" s="1"/>
  <c r="Z1378" i="13"/>
  <c r="AA1378" i="13"/>
  <c r="AB1378" i="13"/>
  <c r="AD1378" i="13"/>
  <c r="AF1378" i="13"/>
  <c r="AG1378" i="13"/>
  <c r="AH1378" i="13"/>
  <c r="W1377" i="13"/>
  <c r="AE1377" i="13" s="1"/>
  <c r="Z1377" i="13"/>
  <c r="AA1377" i="13"/>
  <c r="AB1377" i="13"/>
  <c r="AD1377" i="13"/>
  <c r="AF1377" i="13"/>
  <c r="AG1377" i="13"/>
  <c r="AH1377" i="13"/>
  <c r="W1376" i="13"/>
  <c r="AE1376" i="13" s="1"/>
  <c r="Z1376" i="13"/>
  <c r="AA1376" i="13"/>
  <c r="AB1376" i="13"/>
  <c r="AD1376" i="13"/>
  <c r="AF1376" i="13"/>
  <c r="AG1376" i="13"/>
  <c r="AH1376" i="13"/>
  <c r="W1375" i="13"/>
  <c r="AE1375" i="13" s="1"/>
  <c r="Z1375" i="13"/>
  <c r="AA1375" i="13"/>
  <c r="AB1375" i="13"/>
  <c r="AD1375" i="13"/>
  <c r="AF1375" i="13"/>
  <c r="AG1375" i="13"/>
  <c r="AH1375" i="13"/>
  <c r="W1374" i="13"/>
  <c r="AE1374" i="13" s="1"/>
  <c r="Z1374" i="13"/>
  <c r="AA1374" i="13"/>
  <c r="AB1374" i="13"/>
  <c r="AD1374" i="13"/>
  <c r="AF1374" i="13"/>
  <c r="AG1374" i="13"/>
  <c r="AH1374" i="13"/>
  <c r="W1373" i="13"/>
  <c r="AE1373" i="13" s="1"/>
  <c r="Z1373" i="13"/>
  <c r="AA1373" i="13"/>
  <c r="AB1373" i="13"/>
  <c r="AD1373" i="13"/>
  <c r="AG1373" i="13"/>
  <c r="AH1373" i="13"/>
  <c r="W1372" i="13"/>
  <c r="AE1372" i="13" s="1"/>
  <c r="Z1372" i="13"/>
  <c r="AA1372" i="13"/>
  <c r="AB1372" i="13"/>
  <c r="AD1372" i="13"/>
  <c r="AF1372" i="13"/>
  <c r="AG1372" i="13"/>
  <c r="AH1372" i="13"/>
  <c r="W1371" i="13"/>
  <c r="AE1371" i="13" s="1"/>
  <c r="Z1371" i="13"/>
  <c r="AA1371" i="13"/>
  <c r="AB1371" i="13"/>
  <c r="AD1371" i="13"/>
  <c r="AF1371" i="13"/>
  <c r="AG1371" i="13"/>
  <c r="AH1371" i="13"/>
  <c r="W1370" i="13"/>
  <c r="AE1370" i="13" s="1"/>
  <c r="Z1370" i="13"/>
  <c r="AA1370" i="13"/>
  <c r="AB1370" i="13"/>
  <c r="AD1370" i="13"/>
  <c r="AF1370" i="13"/>
  <c r="AG1370" i="13"/>
  <c r="AH1370" i="13"/>
  <c r="W1369" i="13"/>
  <c r="AE1369" i="13" s="1"/>
  <c r="Z1369" i="13"/>
  <c r="AA1369" i="13"/>
  <c r="AB1369" i="13"/>
  <c r="AD1369" i="13"/>
  <c r="AF1369" i="13"/>
  <c r="AG1369" i="13"/>
  <c r="AH1369" i="13"/>
  <c r="W1368" i="13"/>
  <c r="AE1368" i="13" s="1"/>
  <c r="Z1368" i="13"/>
  <c r="AA1368" i="13"/>
  <c r="AB1368" i="13"/>
  <c r="AD1368" i="13"/>
  <c r="AG1368" i="13"/>
  <c r="AH1368" i="13"/>
  <c r="W1367" i="13"/>
  <c r="AE1367" i="13" s="1"/>
  <c r="Z1367" i="13"/>
  <c r="AA1367" i="13"/>
  <c r="AB1367" i="13"/>
  <c r="AD1367" i="13"/>
  <c r="AF1367" i="13"/>
  <c r="AG1367" i="13"/>
  <c r="AH1367" i="13"/>
  <c r="W1366" i="13"/>
  <c r="AE1366" i="13" s="1"/>
  <c r="Z1366" i="13"/>
  <c r="AA1366" i="13"/>
  <c r="AB1366" i="13"/>
  <c r="AD1366" i="13"/>
  <c r="AF1366" i="13"/>
  <c r="AG1366" i="13"/>
  <c r="AH1366" i="13"/>
  <c r="W1365" i="13"/>
  <c r="AE1365" i="13" s="1"/>
  <c r="Z1365" i="13"/>
  <c r="AA1365" i="13"/>
  <c r="AB1365" i="13"/>
  <c r="AD1365" i="13"/>
  <c r="AG1365" i="13"/>
  <c r="AH1365" i="13"/>
  <c r="W1364" i="13"/>
  <c r="AE1364" i="13" s="1"/>
  <c r="Z1364" i="13"/>
  <c r="AA1364" i="13"/>
  <c r="AB1364" i="13"/>
  <c r="AD1364" i="13"/>
  <c r="AF1364" i="13"/>
  <c r="AG1364" i="13"/>
  <c r="AH1364" i="13"/>
  <c r="W1363" i="13"/>
  <c r="AE1363" i="13" s="1"/>
  <c r="Z1363" i="13"/>
  <c r="AA1363" i="13"/>
  <c r="AB1363" i="13"/>
  <c r="AD1363" i="13"/>
  <c r="AG1363" i="13"/>
  <c r="AH1363" i="13"/>
  <c r="W1362" i="13"/>
  <c r="AE1362" i="13" s="1"/>
  <c r="Z1362" i="13"/>
  <c r="AA1362" i="13"/>
  <c r="AB1362" i="13"/>
  <c r="AD1362" i="13"/>
  <c r="AF1362" i="13"/>
  <c r="AG1362" i="13"/>
  <c r="AH1362" i="13"/>
  <c r="W1361" i="13"/>
  <c r="AE1361" i="13" s="1"/>
  <c r="Z1361" i="13"/>
  <c r="AA1361" i="13"/>
  <c r="AB1361" i="13"/>
  <c r="AD1361" i="13"/>
  <c r="AG1361" i="13"/>
  <c r="AH1361" i="13"/>
  <c r="W1360" i="13"/>
  <c r="AE1360" i="13" s="1"/>
  <c r="Z1360" i="13"/>
  <c r="AA1360" i="13"/>
  <c r="AB1360" i="13"/>
  <c r="AD1360" i="13"/>
  <c r="AF1360" i="13"/>
  <c r="AG1360" i="13"/>
  <c r="AH1360" i="13"/>
  <c r="W1359" i="13"/>
  <c r="AE1359" i="13" s="1"/>
  <c r="Z1359" i="13"/>
  <c r="AA1359" i="13"/>
  <c r="AB1359" i="13"/>
  <c r="AD1359" i="13"/>
  <c r="AG1359" i="13"/>
  <c r="AH1359" i="13"/>
  <c r="W1358" i="13"/>
  <c r="AE1358" i="13" s="1"/>
  <c r="Z1358" i="13"/>
  <c r="AA1358" i="13"/>
  <c r="AB1358" i="13"/>
  <c r="AD1358" i="13"/>
  <c r="AF1358" i="13"/>
  <c r="AG1358" i="13"/>
  <c r="AH1358" i="13"/>
  <c r="W1357" i="13"/>
  <c r="AE1357" i="13" s="1"/>
  <c r="Z1357" i="13"/>
  <c r="AA1357" i="13"/>
  <c r="AB1357" i="13"/>
  <c r="AD1357" i="13"/>
  <c r="AF1357" i="13"/>
  <c r="AG1357" i="13"/>
  <c r="AH1357" i="13"/>
  <c r="W1356" i="13"/>
  <c r="AE1356" i="13" s="1"/>
  <c r="Z1356" i="13"/>
  <c r="AA1356" i="13"/>
  <c r="AB1356" i="13"/>
  <c r="AD1356" i="13"/>
  <c r="AF1356" i="13"/>
  <c r="AG1356" i="13"/>
  <c r="AH1356" i="13"/>
  <c r="W1355" i="13"/>
  <c r="AE1355" i="13" s="1"/>
  <c r="Z1355" i="13"/>
  <c r="AA1355" i="13"/>
  <c r="AB1355" i="13"/>
  <c r="AD1355" i="13"/>
  <c r="AG1355" i="13"/>
  <c r="AH1355" i="13"/>
  <c r="W1354" i="13"/>
  <c r="AE1354" i="13" s="1"/>
  <c r="Z1354" i="13"/>
  <c r="AA1354" i="13"/>
  <c r="AB1354" i="13"/>
  <c r="AD1354" i="13"/>
  <c r="AF1354" i="13"/>
  <c r="AG1354" i="13"/>
  <c r="AH1354" i="13"/>
  <c r="W1353" i="13"/>
  <c r="AE1353" i="13" s="1"/>
  <c r="Z1353" i="13"/>
  <c r="AA1353" i="13"/>
  <c r="AB1353" i="13"/>
  <c r="AD1353" i="13"/>
  <c r="AF1353" i="13"/>
  <c r="AG1353" i="13"/>
  <c r="AH1353" i="13"/>
  <c r="W1352" i="13"/>
  <c r="AE1352" i="13" s="1"/>
  <c r="Z1352" i="13"/>
  <c r="AA1352" i="13"/>
  <c r="AB1352" i="13"/>
  <c r="AD1352" i="13"/>
  <c r="AF1352" i="13"/>
  <c r="AG1352" i="13"/>
  <c r="AH1352" i="13"/>
  <c r="W1351" i="13"/>
  <c r="AE1351" i="13" s="1"/>
  <c r="Z1351" i="13"/>
  <c r="AA1351" i="13"/>
  <c r="AB1351" i="13"/>
  <c r="AD1351" i="13"/>
  <c r="AF1351" i="13"/>
  <c r="AG1351" i="13"/>
  <c r="AH1351" i="13"/>
  <c r="W1350" i="13"/>
  <c r="AE1350" i="13" s="1"/>
  <c r="Z1350" i="13"/>
  <c r="AA1350" i="13"/>
  <c r="AB1350" i="13"/>
  <c r="AD1350" i="13"/>
  <c r="AF1350" i="13"/>
  <c r="AG1350" i="13"/>
  <c r="AH1350" i="13"/>
  <c r="W1349" i="13"/>
  <c r="AE1349" i="13" s="1"/>
  <c r="Z1349" i="13"/>
  <c r="AA1349" i="13"/>
  <c r="AB1349" i="13"/>
  <c r="AD1349" i="13"/>
  <c r="AF1349" i="13"/>
  <c r="AG1349" i="13"/>
  <c r="AH1349" i="13"/>
  <c r="W1348" i="13"/>
  <c r="AE1348" i="13" s="1"/>
  <c r="Z1348" i="13"/>
  <c r="AA1348" i="13"/>
  <c r="AB1348" i="13"/>
  <c r="AD1348" i="13"/>
  <c r="AF1348" i="13"/>
  <c r="AG1348" i="13"/>
  <c r="AH1348" i="13"/>
  <c r="W1347" i="13"/>
  <c r="AE1347" i="13" s="1"/>
  <c r="Z1347" i="13"/>
  <c r="AA1347" i="13"/>
  <c r="AB1347" i="13"/>
  <c r="AD1347" i="13"/>
  <c r="AF1347" i="13"/>
  <c r="AG1347" i="13"/>
  <c r="AH1347" i="13"/>
  <c r="W1346" i="13"/>
  <c r="AE1346" i="13" s="1"/>
  <c r="Z1346" i="13"/>
  <c r="AA1346" i="13"/>
  <c r="AB1346" i="13"/>
  <c r="AD1346" i="13"/>
  <c r="AF1346" i="13"/>
  <c r="AG1346" i="13"/>
  <c r="AH1346" i="13"/>
  <c r="W1345" i="13"/>
  <c r="AE1345" i="13" s="1"/>
  <c r="Z1345" i="13"/>
  <c r="AA1345" i="13"/>
  <c r="AB1345" i="13"/>
  <c r="AD1345" i="13"/>
  <c r="AF1345" i="13"/>
  <c r="AG1345" i="13"/>
  <c r="AH1345" i="13"/>
  <c r="W1344" i="13"/>
  <c r="AE1344" i="13" s="1"/>
  <c r="Z1344" i="13"/>
  <c r="AA1344" i="13"/>
  <c r="AB1344" i="13"/>
  <c r="AD1344" i="13"/>
  <c r="AF1344" i="13"/>
  <c r="AG1344" i="13"/>
  <c r="AH1344" i="13"/>
  <c r="W1343" i="13"/>
  <c r="AE1343" i="13" s="1"/>
  <c r="Z1343" i="13"/>
  <c r="AA1343" i="13"/>
  <c r="AB1343" i="13"/>
  <c r="AD1343" i="13"/>
  <c r="AF1343" i="13"/>
  <c r="AG1343" i="13"/>
  <c r="AH1343" i="13"/>
  <c r="W1342" i="13"/>
  <c r="AE1342" i="13" s="1"/>
  <c r="Z1342" i="13"/>
  <c r="AA1342" i="13"/>
  <c r="AB1342" i="13"/>
  <c r="AD1342" i="13"/>
  <c r="AF1342" i="13"/>
  <c r="AG1342" i="13"/>
  <c r="AH1342" i="13"/>
  <c r="W1341" i="13"/>
  <c r="AE1341" i="13" s="1"/>
  <c r="Z1341" i="13"/>
  <c r="AA1341" i="13"/>
  <c r="AB1341" i="13"/>
  <c r="AD1341" i="13"/>
  <c r="AF1341" i="13"/>
  <c r="AG1341" i="13"/>
  <c r="AH1341" i="13"/>
  <c r="W1340" i="13"/>
  <c r="AE1340" i="13" s="1"/>
  <c r="Z1340" i="13"/>
  <c r="AA1340" i="13"/>
  <c r="AB1340" i="13"/>
  <c r="AD1340" i="13"/>
  <c r="AG1340" i="13"/>
  <c r="AH1340" i="13"/>
  <c r="W1339" i="13"/>
  <c r="AE1339" i="13" s="1"/>
  <c r="Z1339" i="13"/>
  <c r="AA1339" i="13"/>
  <c r="AB1339" i="13"/>
  <c r="AD1339" i="13"/>
  <c r="AF1339" i="13"/>
  <c r="AG1339" i="13"/>
  <c r="AH1339" i="13"/>
  <c r="W1338" i="13"/>
  <c r="AE1338" i="13" s="1"/>
  <c r="Z1338" i="13"/>
  <c r="AA1338" i="13"/>
  <c r="AB1338" i="13"/>
  <c r="AD1338" i="13"/>
  <c r="AG1338" i="13"/>
  <c r="AH1338" i="13"/>
  <c r="W1337" i="13"/>
  <c r="AE1337" i="13" s="1"/>
  <c r="Z1337" i="13"/>
  <c r="AA1337" i="13"/>
  <c r="AB1337" i="13"/>
  <c r="AD1337" i="13"/>
  <c r="AF1337" i="13"/>
  <c r="AG1337" i="13"/>
  <c r="AH1337" i="13"/>
  <c r="W1336" i="13"/>
  <c r="AE1336" i="13" s="1"/>
  <c r="Z1336" i="13"/>
  <c r="AA1336" i="13"/>
  <c r="AB1336" i="13"/>
  <c r="AD1336" i="13"/>
  <c r="AF1336" i="13"/>
  <c r="AG1336" i="13"/>
  <c r="AH1336" i="13"/>
  <c r="W1335" i="13"/>
  <c r="AE1335" i="13" s="1"/>
  <c r="Z1335" i="13"/>
  <c r="AA1335" i="13"/>
  <c r="AB1335" i="13"/>
  <c r="AD1335" i="13"/>
  <c r="AF1335" i="13"/>
  <c r="AG1335" i="13"/>
  <c r="AH1335" i="13"/>
  <c r="W1334" i="13"/>
  <c r="AE1334" i="13" s="1"/>
  <c r="Z1334" i="13"/>
  <c r="AA1334" i="13"/>
  <c r="AB1334" i="13"/>
  <c r="AD1334" i="13"/>
  <c r="AF1334" i="13"/>
  <c r="AG1334" i="13"/>
  <c r="AH1334" i="13"/>
  <c r="W1333" i="13"/>
  <c r="AE1333" i="13" s="1"/>
  <c r="Z1333" i="13"/>
  <c r="AA1333" i="13"/>
  <c r="AB1333" i="13"/>
  <c r="AD1333" i="13"/>
  <c r="AF1333" i="13"/>
  <c r="AG1333" i="13"/>
  <c r="AH1333" i="13"/>
  <c r="W1332" i="13"/>
  <c r="AE1332" i="13" s="1"/>
  <c r="Z1332" i="13"/>
  <c r="AA1332" i="13"/>
  <c r="AB1332" i="13"/>
  <c r="AD1332" i="13"/>
  <c r="AF1332" i="13"/>
  <c r="AG1332" i="13"/>
  <c r="AH1332" i="13"/>
  <c r="W1331" i="13"/>
  <c r="AE1331" i="13" s="1"/>
  <c r="Z1331" i="13"/>
  <c r="AA1331" i="13"/>
  <c r="AB1331" i="13"/>
  <c r="AD1331" i="13"/>
  <c r="AF1331" i="13"/>
  <c r="AG1331" i="13"/>
  <c r="AH1331" i="13"/>
  <c r="W1330" i="13"/>
  <c r="AE1330" i="13" s="1"/>
  <c r="Z1330" i="13"/>
  <c r="AA1330" i="13"/>
  <c r="AB1330" i="13"/>
  <c r="AD1330" i="13"/>
  <c r="AG1330" i="13"/>
  <c r="AH1330" i="13"/>
  <c r="X1375" i="13" l="1"/>
  <c r="AC1375" i="13" s="1"/>
  <c r="X1355" i="13"/>
  <c r="AC1355" i="13" s="1"/>
  <c r="X1341" i="13"/>
  <c r="AC1341" i="13" s="1"/>
  <c r="X1371" i="13"/>
  <c r="AC1371" i="13" s="1"/>
  <c r="X1373" i="13"/>
  <c r="AC1373" i="13" s="1"/>
  <c r="X1377" i="13"/>
  <c r="AC1377" i="13" s="1"/>
  <c r="X1333" i="13"/>
  <c r="AC1333" i="13" s="1"/>
  <c r="Y1341" i="13"/>
  <c r="X1347" i="13"/>
  <c r="AC1347" i="13" s="1"/>
  <c r="AF1355" i="13"/>
  <c r="Y1355" i="13" s="1"/>
  <c r="X1366" i="13"/>
  <c r="AC1366" i="13" s="1"/>
  <c r="X1370" i="13"/>
  <c r="AC1370" i="13" s="1"/>
  <c r="Y1371" i="13"/>
  <c r="X1372" i="13"/>
  <c r="AC1372" i="13" s="1"/>
  <c r="AF1373" i="13"/>
  <c r="Y1373" i="13" s="1"/>
  <c r="X1374" i="13"/>
  <c r="AC1374" i="13" s="1"/>
  <c r="Y1375" i="13"/>
  <c r="X1376" i="13"/>
  <c r="AC1376" i="13" s="1"/>
  <c r="Y1377" i="13"/>
  <c r="X1378" i="13"/>
  <c r="AC1378" i="13" s="1"/>
  <c r="Y1379" i="13"/>
  <c r="Y1333" i="13"/>
  <c r="Y1347" i="13"/>
  <c r="Y1366" i="13"/>
  <c r="Y1370" i="13"/>
  <c r="Y1372" i="13"/>
  <c r="Y1374" i="13"/>
  <c r="Y1376" i="13"/>
  <c r="Y1378" i="13"/>
  <c r="X1354" i="13"/>
  <c r="AC1354" i="13" s="1"/>
  <c r="X1335" i="13"/>
  <c r="AC1335" i="13" s="1"/>
  <c r="X1342" i="13"/>
  <c r="AC1342" i="13" s="1"/>
  <c r="Y1335" i="13"/>
  <c r="X1344" i="13"/>
  <c r="AC1344" i="13" s="1"/>
  <c r="X1353" i="13"/>
  <c r="AC1353" i="13" s="1"/>
  <c r="Y1342" i="13"/>
  <c r="Y1353" i="13"/>
  <c r="Y1344" i="13"/>
  <c r="X1336" i="13"/>
  <c r="AC1336" i="13" s="1"/>
  <c r="X1338" i="13"/>
  <c r="AC1338" i="13" s="1"/>
  <c r="X1340" i="13"/>
  <c r="AC1340" i="13" s="1"/>
  <c r="X1330" i="13"/>
  <c r="AC1330" i="13" s="1"/>
  <c r="X1349" i="13"/>
  <c r="AC1349" i="13" s="1"/>
  <c r="X1332" i="13"/>
  <c r="AC1332" i="13" s="1"/>
  <c r="X1345" i="13"/>
  <c r="AC1345" i="13" s="1"/>
  <c r="X1351" i="13"/>
  <c r="AC1351" i="13" s="1"/>
  <c r="X1357" i="13"/>
  <c r="AC1357" i="13" s="1"/>
  <c r="X1359" i="13"/>
  <c r="AC1359" i="13" s="1"/>
  <c r="X1361" i="13"/>
  <c r="AC1361" i="13" s="1"/>
  <c r="X1363" i="13"/>
  <c r="AC1363" i="13" s="1"/>
  <c r="X1365" i="13"/>
  <c r="AC1365" i="13" s="1"/>
  <c r="X1368" i="13"/>
  <c r="AC1368" i="13" s="1"/>
  <c r="AF1330" i="13"/>
  <c r="X1331" i="13"/>
  <c r="AC1331" i="13" s="1"/>
  <c r="X1334" i="13"/>
  <c r="AC1334" i="13" s="1"/>
  <c r="AF1338" i="13"/>
  <c r="Y1338" i="13" s="1"/>
  <c r="X1339" i="13"/>
  <c r="AC1339" i="13" s="1"/>
  <c r="AF1340" i="13"/>
  <c r="Y1340" i="13" s="1"/>
  <c r="X1343" i="13"/>
  <c r="AC1343" i="13" s="1"/>
  <c r="X1348" i="13"/>
  <c r="AC1348" i="13" s="1"/>
  <c r="X1350" i="13"/>
  <c r="AC1350" i="13" s="1"/>
  <c r="X1352" i="13"/>
  <c r="AC1352" i="13" s="1"/>
  <c r="X1356" i="13"/>
  <c r="AC1356" i="13" s="1"/>
  <c r="X1358" i="13"/>
  <c r="AC1358" i="13" s="1"/>
  <c r="AF1359" i="13"/>
  <c r="X1360" i="13"/>
  <c r="AC1360" i="13" s="1"/>
  <c r="AF1361" i="13"/>
  <c r="Y1361" i="13" s="1"/>
  <c r="X1362" i="13"/>
  <c r="AC1362" i="13" s="1"/>
  <c r="AF1363" i="13"/>
  <c r="Y1363" i="13" s="1"/>
  <c r="X1364" i="13"/>
  <c r="AC1364" i="13" s="1"/>
  <c r="AF1365" i="13"/>
  <c r="X1367" i="13"/>
  <c r="AC1367" i="13" s="1"/>
  <c r="AF1368" i="13"/>
  <c r="Y1368" i="13" s="1"/>
  <c r="X1369" i="13"/>
  <c r="AC1369" i="13" s="1"/>
  <c r="Y1349" i="13"/>
  <c r="Y1351" i="13"/>
  <c r="Y1365" i="13"/>
  <c r="Y1337" i="13"/>
  <c r="Y1358" i="13"/>
  <c r="Y1362" i="13"/>
  <c r="Y1345" i="13"/>
  <c r="Y1350" i="13"/>
  <c r="Y1332" i="13"/>
  <c r="Y1339" i="13"/>
  <c r="Y1352" i="13"/>
  <c r="Y1356" i="13"/>
  <c r="Y1369" i="13"/>
  <c r="Y1346" i="13"/>
  <c r="Y1348" i="13"/>
  <c r="Y1357" i="13"/>
  <c r="Y1360" i="13"/>
  <c r="Y1364" i="13"/>
  <c r="Y1330" i="13"/>
  <c r="Y1334" i="13"/>
  <c r="Y1343" i="13"/>
  <c r="Y1354" i="13"/>
  <c r="Y1359" i="13"/>
  <c r="Y1367" i="13"/>
  <c r="Y1331" i="13"/>
  <c r="Y1336" i="13"/>
  <c r="X1346" i="13"/>
  <c r="AC1346" i="13" s="1"/>
  <c r="X1337" i="13"/>
  <c r="AC1337" i="13" s="1"/>
  <c r="W1329" i="13"/>
  <c r="AE1329" i="13" s="1"/>
  <c r="Z1329" i="13"/>
  <c r="AA1329" i="13"/>
  <c r="AB1329" i="13"/>
  <c r="AD1329" i="13"/>
  <c r="AF1329" i="13"/>
  <c r="AG1329" i="13"/>
  <c r="AH1329" i="13"/>
  <c r="W1328" i="13"/>
  <c r="AE1328" i="13" s="1"/>
  <c r="Z1328" i="13"/>
  <c r="AA1328" i="13"/>
  <c r="AB1328" i="13"/>
  <c r="AD1328" i="13"/>
  <c r="AF1328" i="13"/>
  <c r="AG1328" i="13"/>
  <c r="AH1328" i="13"/>
  <c r="W1327" i="13"/>
  <c r="AE1327" i="13" s="1"/>
  <c r="Z1327" i="13"/>
  <c r="AA1327" i="13"/>
  <c r="AB1327" i="13"/>
  <c r="AD1327" i="13"/>
  <c r="AF1327" i="13"/>
  <c r="AG1327" i="13"/>
  <c r="AH1327" i="13"/>
  <c r="W1326" i="13"/>
  <c r="AE1326" i="13" s="1"/>
  <c r="Z1326" i="13"/>
  <c r="AF1326" i="13" s="1"/>
  <c r="AA1326" i="13"/>
  <c r="AB1326" i="13"/>
  <c r="AD1326" i="13"/>
  <c r="AG1326" i="13"/>
  <c r="AH1326" i="13"/>
  <c r="W1325" i="13"/>
  <c r="AE1325" i="13" s="1"/>
  <c r="Z1325" i="13"/>
  <c r="AA1325" i="13"/>
  <c r="AB1325" i="13"/>
  <c r="AD1325" i="13"/>
  <c r="AF1325" i="13"/>
  <c r="AG1325" i="13"/>
  <c r="AH1325" i="13"/>
  <c r="W1324" i="13"/>
  <c r="AE1324" i="13" s="1"/>
  <c r="Z1324" i="13"/>
  <c r="AA1324" i="13"/>
  <c r="AB1324" i="13"/>
  <c r="AD1324" i="13"/>
  <c r="AF1324" i="13"/>
  <c r="AG1324" i="13"/>
  <c r="AH1324" i="13"/>
  <c r="Y1324" i="13" l="1"/>
  <c r="X1324" i="13"/>
  <c r="AC1324" i="13" s="1"/>
  <c r="X1325" i="13"/>
  <c r="AC1325" i="13" s="1"/>
  <c r="X1327" i="13"/>
  <c r="AC1327" i="13" s="1"/>
  <c r="X1326" i="13"/>
  <c r="AC1326" i="13" s="1"/>
  <c r="X1328" i="13"/>
  <c r="AC1328" i="13" s="1"/>
  <c r="Y1325" i="13"/>
  <c r="Y1326" i="13"/>
  <c r="Y1328" i="13"/>
  <c r="Y1329" i="13"/>
  <c r="Y1327" i="13"/>
  <c r="X1329" i="13"/>
  <c r="AC1329" i="13" s="1"/>
  <c r="W1323" i="13"/>
  <c r="AE1323" i="13" s="1"/>
  <c r="Z1323" i="13"/>
  <c r="AA1323" i="13"/>
  <c r="AB1323" i="13"/>
  <c r="AD1323" i="13"/>
  <c r="AF1323" i="13"/>
  <c r="AG1323" i="13"/>
  <c r="AH1323" i="13"/>
  <c r="W1322" i="13"/>
  <c r="AE1322" i="13" s="1"/>
  <c r="Z1322" i="13"/>
  <c r="AA1322" i="13"/>
  <c r="AB1322" i="13"/>
  <c r="AD1322" i="13"/>
  <c r="AF1322" i="13"/>
  <c r="AG1322" i="13"/>
  <c r="AH1322" i="13"/>
  <c r="W1321" i="13"/>
  <c r="AE1321" i="13" s="1"/>
  <c r="Z1321" i="13"/>
  <c r="AF1321" i="13" s="1"/>
  <c r="AA1321" i="13"/>
  <c r="AB1321" i="13"/>
  <c r="AD1321" i="13"/>
  <c r="AG1321" i="13"/>
  <c r="AH1321" i="13"/>
  <c r="X1323" i="13" l="1"/>
  <c r="AC1323" i="13" s="1"/>
  <c r="Y1323" i="13"/>
  <c r="X1322" i="13"/>
  <c r="AC1322" i="13" s="1"/>
  <c r="Y1321" i="13"/>
  <c r="Y1322" i="13"/>
  <c r="X1321" i="13"/>
  <c r="AC1321" i="13" s="1"/>
  <c r="W1320" i="13"/>
  <c r="AE1320" i="13" s="1"/>
  <c r="Z1320" i="13"/>
  <c r="AA1320" i="13"/>
  <c r="AB1320" i="13"/>
  <c r="AD1320" i="13"/>
  <c r="AF1320" i="13"/>
  <c r="AG1320" i="13"/>
  <c r="AH1320" i="13"/>
  <c r="W1319" i="13"/>
  <c r="AE1319" i="13" s="1"/>
  <c r="Z1319" i="13"/>
  <c r="AA1319" i="13"/>
  <c r="AB1319" i="13"/>
  <c r="AD1319" i="13"/>
  <c r="AF1319" i="13"/>
  <c r="AG1319" i="13"/>
  <c r="AH1319" i="13"/>
  <c r="W1318" i="13"/>
  <c r="AE1318" i="13" s="1"/>
  <c r="Z1318" i="13"/>
  <c r="AA1318" i="13"/>
  <c r="AB1318" i="13"/>
  <c r="AD1318" i="13"/>
  <c r="AF1318" i="13"/>
  <c r="AG1318" i="13"/>
  <c r="AH1318" i="13"/>
  <c r="W1317" i="13"/>
  <c r="AE1317" i="13" s="1"/>
  <c r="Z1317" i="13"/>
  <c r="AF1317" i="13" s="1"/>
  <c r="AA1317" i="13"/>
  <c r="AB1317" i="13"/>
  <c r="AD1317" i="13"/>
  <c r="AG1317" i="13"/>
  <c r="AH1317" i="13"/>
  <c r="W1316" i="13"/>
  <c r="AE1316" i="13" s="1"/>
  <c r="Z1316" i="13"/>
  <c r="AA1316" i="13"/>
  <c r="AB1316" i="13"/>
  <c r="AD1316" i="13"/>
  <c r="AG1316" i="13"/>
  <c r="AH1316" i="13"/>
  <c r="W1315" i="13"/>
  <c r="AE1315" i="13" s="1"/>
  <c r="Z1315" i="13"/>
  <c r="AA1315" i="13"/>
  <c r="AB1315" i="13"/>
  <c r="AD1315" i="13"/>
  <c r="AF1315" i="13"/>
  <c r="AG1315" i="13"/>
  <c r="AH1315" i="13"/>
  <c r="W1314" i="13"/>
  <c r="AE1314" i="13" s="1"/>
  <c r="Z1314" i="13"/>
  <c r="AA1314" i="13"/>
  <c r="AB1314" i="13"/>
  <c r="AD1314" i="13"/>
  <c r="AF1314" i="13"/>
  <c r="AG1314" i="13"/>
  <c r="AH1314" i="13"/>
  <c r="W1313" i="13"/>
  <c r="AE1313" i="13" s="1"/>
  <c r="Z1313" i="13"/>
  <c r="AA1313" i="13"/>
  <c r="AB1313" i="13"/>
  <c r="AD1313" i="13"/>
  <c r="AF1313" i="13"/>
  <c r="AG1313" i="13"/>
  <c r="AH1313" i="13"/>
  <c r="W1312" i="13"/>
  <c r="AE1312" i="13" s="1"/>
  <c r="Z1312" i="13"/>
  <c r="AA1312" i="13"/>
  <c r="AB1312" i="13"/>
  <c r="AD1312" i="13"/>
  <c r="AF1312" i="13"/>
  <c r="AG1312" i="13"/>
  <c r="AH1312" i="13"/>
  <c r="W1311" i="13"/>
  <c r="AE1311" i="13" s="1"/>
  <c r="Z1311" i="13"/>
  <c r="AA1311" i="13"/>
  <c r="AB1311" i="13"/>
  <c r="AD1311" i="13"/>
  <c r="AG1311" i="13"/>
  <c r="AH1311" i="13"/>
  <c r="W1310" i="13"/>
  <c r="AE1310" i="13" s="1"/>
  <c r="Z1310" i="13"/>
  <c r="AA1310" i="13"/>
  <c r="AB1310" i="13"/>
  <c r="AD1310" i="13"/>
  <c r="AF1310" i="13"/>
  <c r="AG1310" i="13"/>
  <c r="AH1310" i="13"/>
  <c r="W1309" i="13"/>
  <c r="AE1309" i="13" s="1"/>
  <c r="Z1309" i="13"/>
  <c r="AA1309" i="13"/>
  <c r="AB1309" i="13"/>
  <c r="AD1309" i="13"/>
  <c r="AF1309" i="13"/>
  <c r="AG1309" i="13"/>
  <c r="AH1309" i="13"/>
  <c r="W1308" i="13"/>
  <c r="AE1308" i="13" s="1"/>
  <c r="Z1308" i="13"/>
  <c r="AA1308" i="13"/>
  <c r="AB1308" i="13"/>
  <c r="AD1308" i="13"/>
  <c r="AF1308" i="13"/>
  <c r="AG1308" i="13"/>
  <c r="AH1308" i="13"/>
  <c r="W1307" i="13"/>
  <c r="AE1307" i="13" s="1"/>
  <c r="Z1307" i="13"/>
  <c r="AA1307" i="13"/>
  <c r="AB1307" i="13"/>
  <c r="AD1307" i="13"/>
  <c r="AF1307" i="13"/>
  <c r="AG1307" i="13"/>
  <c r="AH1307" i="13"/>
  <c r="W1306" i="13"/>
  <c r="AE1306" i="13" s="1"/>
  <c r="Z1306" i="13"/>
  <c r="AA1306" i="13"/>
  <c r="AB1306" i="13"/>
  <c r="AD1306" i="13"/>
  <c r="AF1306" i="13"/>
  <c r="AG1306" i="13"/>
  <c r="AH1306" i="13"/>
  <c r="W1305" i="13"/>
  <c r="AE1305" i="13" s="1"/>
  <c r="Z1305" i="13"/>
  <c r="AA1305" i="13"/>
  <c r="AB1305" i="13"/>
  <c r="AD1305" i="13"/>
  <c r="AF1305" i="13"/>
  <c r="AG1305" i="13"/>
  <c r="AH1305" i="13"/>
  <c r="W1304" i="13"/>
  <c r="AE1304" i="13" s="1"/>
  <c r="Z1304" i="13"/>
  <c r="AA1304" i="13"/>
  <c r="AB1304" i="13"/>
  <c r="AD1304" i="13"/>
  <c r="AF1304" i="13"/>
  <c r="AG1304" i="13"/>
  <c r="AH1304" i="13"/>
  <c r="W1303" i="13"/>
  <c r="AE1303" i="13" s="1"/>
  <c r="Z1303" i="13"/>
  <c r="AA1303" i="13"/>
  <c r="AB1303" i="13"/>
  <c r="AD1303" i="13"/>
  <c r="AF1303" i="13"/>
  <c r="AG1303" i="13"/>
  <c r="AH1303" i="13"/>
  <c r="W1302" i="13"/>
  <c r="AE1302" i="13" s="1"/>
  <c r="Z1302" i="13"/>
  <c r="AA1302" i="13"/>
  <c r="AB1302" i="13"/>
  <c r="AD1302" i="13"/>
  <c r="AF1302" i="13"/>
  <c r="AG1302" i="13"/>
  <c r="AH1302" i="13"/>
  <c r="X1317" i="13" l="1"/>
  <c r="AC1317" i="13" s="1"/>
  <c r="Y1317" i="13"/>
  <c r="X1320" i="13"/>
  <c r="AC1320" i="13" s="1"/>
  <c r="Y1320" i="13"/>
  <c r="X1319" i="13"/>
  <c r="AC1319" i="13" s="1"/>
  <c r="Y1319" i="13"/>
  <c r="X1306" i="13"/>
  <c r="AC1306" i="13" s="1"/>
  <c r="X1311" i="13"/>
  <c r="AC1311" i="13" s="1"/>
  <c r="X1313" i="13"/>
  <c r="AC1313" i="13" s="1"/>
  <c r="X1316" i="13"/>
  <c r="AC1316" i="13" s="1"/>
  <c r="X1310" i="13"/>
  <c r="AC1310" i="13" s="1"/>
  <c r="AF1311" i="13"/>
  <c r="X1312" i="13"/>
  <c r="AC1312" i="13" s="1"/>
  <c r="X1315" i="13"/>
  <c r="AC1315" i="13" s="1"/>
  <c r="AF1316" i="13"/>
  <c r="Y1316" i="13" s="1"/>
  <c r="X1318" i="13"/>
  <c r="AC1318" i="13" s="1"/>
  <c r="Y1315" i="13"/>
  <c r="Y1318" i="13"/>
  <c r="Y1306" i="13"/>
  <c r="Y1311" i="13"/>
  <c r="Y1313" i="13"/>
  <c r="Y1310" i="13"/>
  <c r="Y1312" i="13"/>
  <c r="X1304" i="13"/>
  <c r="AC1304" i="13" s="1"/>
  <c r="Y1304" i="13"/>
  <c r="X1303" i="13"/>
  <c r="AC1303" i="13" s="1"/>
  <c r="X1308" i="13"/>
  <c r="AC1308" i="13" s="1"/>
  <c r="X1307" i="13"/>
  <c r="AC1307" i="13" s="1"/>
  <c r="Y1303" i="13"/>
  <c r="Y1308" i="13"/>
  <c r="Y1307" i="13"/>
  <c r="X1302" i="13"/>
  <c r="AC1302" i="13" s="1"/>
  <c r="X1314" i="13"/>
  <c r="AC1314" i="13" s="1"/>
  <c r="X1309" i="13"/>
  <c r="AC1309" i="13" s="1"/>
  <c r="Y1305" i="13"/>
  <c r="Y1309" i="13"/>
  <c r="Y1302" i="13"/>
  <c r="Y1314" i="13"/>
  <c r="X1305" i="13"/>
  <c r="AC1305" i="13" s="1"/>
  <c r="W1301" i="13"/>
  <c r="AE1301" i="13" s="1"/>
  <c r="Z1301" i="13"/>
  <c r="AA1301" i="13"/>
  <c r="AB1301" i="13"/>
  <c r="AD1301" i="13"/>
  <c r="AF1301" i="13"/>
  <c r="AG1301" i="13"/>
  <c r="AH1301" i="13"/>
  <c r="W1300" i="13"/>
  <c r="AE1300" i="13" s="1"/>
  <c r="Z1300" i="13"/>
  <c r="AF1300" i="13" s="1"/>
  <c r="AA1300" i="13"/>
  <c r="AB1300" i="13"/>
  <c r="AD1300" i="13"/>
  <c r="AG1300" i="13"/>
  <c r="AH1300" i="13"/>
  <c r="W1299" i="13"/>
  <c r="AE1299" i="13" s="1"/>
  <c r="Z1299" i="13"/>
  <c r="AA1299" i="13"/>
  <c r="AB1299" i="13"/>
  <c r="AD1299" i="13"/>
  <c r="AF1299" i="13"/>
  <c r="AG1299" i="13"/>
  <c r="AH1299" i="13"/>
  <c r="W1298" i="13"/>
  <c r="AE1298" i="13" s="1"/>
  <c r="Z1298" i="13"/>
  <c r="AA1298" i="13"/>
  <c r="AB1298" i="13"/>
  <c r="AD1298" i="13"/>
  <c r="AF1298" i="13"/>
  <c r="AG1298" i="13"/>
  <c r="AH1298" i="13"/>
  <c r="W1297" i="13"/>
  <c r="AE1297" i="13" s="1"/>
  <c r="Z1297" i="13"/>
  <c r="AF1297" i="13" s="1"/>
  <c r="AA1297" i="13"/>
  <c r="AB1297" i="13"/>
  <c r="AD1297" i="13"/>
  <c r="AG1297" i="13"/>
  <c r="AH1297" i="13"/>
  <c r="W1296" i="13"/>
  <c r="AE1296" i="13" s="1"/>
  <c r="Z1296" i="13"/>
  <c r="AA1296" i="13"/>
  <c r="AB1296" i="13"/>
  <c r="AD1296" i="13"/>
  <c r="AF1296" i="13"/>
  <c r="AG1296" i="13"/>
  <c r="AH1296" i="13"/>
  <c r="W1295" i="13"/>
  <c r="AE1295" i="13" s="1"/>
  <c r="Z1295" i="13"/>
  <c r="AA1295" i="13"/>
  <c r="AB1295" i="13"/>
  <c r="AD1295" i="13"/>
  <c r="AF1295" i="13"/>
  <c r="AG1295" i="13"/>
  <c r="AH1295" i="13"/>
  <c r="W1294" i="13"/>
  <c r="AE1294" i="13" s="1"/>
  <c r="Z1294" i="13"/>
  <c r="AF1294" i="13" s="1"/>
  <c r="AA1294" i="13"/>
  <c r="AB1294" i="13"/>
  <c r="AD1294" i="13"/>
  <c r="AG1294" i="13"/>
  <c r="AH1294" i="13"/>
  <c r="W1293" i="13"/>
  <c r="AE1293" i="13" s="1"/>
  <c r="Z1293" i="13"/>
  <c r="AA1293" i="13"/>
  <c r="AB1293" i="13"/>
  <c r="AD1293" i="13"/>
  <c r="AF1293" i="13"/>
  <c r="AG1293" i="13"/>
  <c r="AH1293" i="13"/>
  <c r="W1292" i="13"/>
  <c r="AE1292" i="13" s="1"/>
  <c r="Z1292" i="13"/>
  <c r="AA1292" i="13"/>
  <c r="AB1292" i="13"/>
  <c r="AD1292" i="13"/>
  <c r="AF1292" i="13"/>
  <c r="AG1292" i="13"/>
  <c r="AH1292" i="13"/>
  <c r="W1291" i="13"/>
  <c r="AE1291" i="13" s="1"/>
  <c r="Z1291" i="13"/>
  <c r="AA1291" i="13"/>
  <c r="AB1291" i="13"/>
  <c r="AD1291" i="13"/>
  <c r="AF1291" i="13"/>
  <c r="AG1291" i="13"/>
  <c r="AH1291" i="13"/>
  <c r="W1290" i="13"/>
  <c r="AE1290" i="13" s="1"/>
  <c r="Z1290" i="13"/>
  <c r="AA1290" i="13"/>
  <c r="AB1290" i="13"/>
  <c r="AD1290" i="13"/>
  <c r="AG1290" i="13"/>
  <c r="AH1290" i="13"/>
  <c r="W1289" i="13"/>
  <c r="Z1289" i="13"/>
  <c r="X1289" i="13" s="1"/>
  <c r="AC1289" i="13" s="1"/>
  <c r="AA1289" i="13"/>
  <c r="AB1289" i="13"/>
  <c r="AD1289" i="13"/>
  <c r="AE1289" i="13"/>
  <c r="AF1289" i="13"/>
  <c r="AG1289" i="13"/>
  <c r="AH1289" i="13"/>
  <c r="W1288" i="13"/>
  <c r="AE1288" i="13" s="1"/>
  <c r="Z1288" i="13"/>
  <c r="AA1288" i="13"/>
  <c r="AB1288" i="13"/>
  <c r="AD1288" i="13"/>
  <c r="AF1288" i="13"/>
  <c r="AG1288" i="13"/>
  <c r="AH1288" i="13"/>
  <c r="W1287" i="13"/>
  <c r="AE1287" i="13" s="1"/>
  <c r="Z1287" i="13"/>
  <c r="AA1287" i="13"/>
  <c r="AB1287" i="13"/>
  <c r="AD1287" i="13"/>
  <c r="AF1287" i="13"/>
  <c r="AG1287" i="13"/>
  <c r="AH1287" i="13"/>
  <c r="W1286" i="13"/>
  <c r="AE1286" i="13" s="1"/>
  <c r="Z1286" i="13"/>
  <c r="AA1286" i="13"/>
  <c r="AB1286" i="13"/>
  <c r="AD1286" i="13"/>
  <c r="AF1286" i="13"/>
  <c r="AG1286" i="13"/>
  <c r="AH1286" i="13"/>
  <c r="W1285" i="13"/>
  <c r="AE1285" i="13" s="1"/>
  <c r="Z1285" i="13"/>
  <c r="AA1285" i="13"/>
  <c r="AB1285" i="13"/>
  <c r="AD1285" i="13"/>
  <c r="AF1285" i="13"/>
  <c r="AG1285" i="13"/>
  <c r="AH1285" i="13"/>
  <c r="W1284" i="13"/>
  <c r="AE1284" i="13" s="1"/>
  <c r="Z1284" i="13"/>
  <c r="AA1284" i="13"/>
  <c r="AB1284" i="13"/>
  <c r="AD1284" i="13"/>
  <c r="AG1284" i="13"/>
  <c r="AH1284" i="13"/>
  <c r="W1283" i="13"/>
  <c r="AE1283" i="13" s="1"/>
  <c r="Z1283" i="13"/>
  <c r="AA1283" i="13"/>
  <c r="AB1283" i="13"/>
  <c r="AD1283" i="13"/>
  <c r="AF1283" i="13"/>
  <c r="AG1283" i="13"/>
  <c r="AH1283" i="13"/>
  <c r="W1282" i="13"/>
  <c r="AE1282" i="13" s="1"/>
  <c r="Z1282" i="13"/>
  <c r="AA1282" i="13"/>
  <c r="AB1282" i="13"/>
  <c r="AD1282" i="13"/>
  <c r="AG1282" i="13"/>
  <c r="AH1282" i="13"/>
  <c r="W1281" i="13"/>
  <c r="AE1281" i="13" s="1"/>
  <c r="Z1281" i="13"/>
  <c r="AA1281" i="13"/>
  <c r="AB1281" i="13"/>
  <c r="AD1281" i="13"/>
  <c r="AF1281" i="13"/>
  <c r="AG1281" i="13"/>
  <c r="AH1281" i="13"/>
  <c r="W1280" i="13"/>
  <c r="AE1280" i="13" s="1"/>
  <c r="Z1280" i="13"/>
  <c r="AA1280" i="13"/>
  <c r="AB1280" i="13"/>
  <c r="AD1280" i="13"/>
  <c r="AF1280" i="13"/>
  <c r="AG1280" i="13"/>
  <c r="AH1280" i="13"/>
  <c r="W1279" i="13"/>
  <c r="AE1279" i="13" s="1"/>
  <c r="Z1279" i="13"/>
  <c r="AA1279" i="13"/>
  <c r="AB1279" i="13"/>
  <c r="AD1279" i="13"/>
  <c r="AF1279" i="13"/>
  <c r="AG1279" i="13"/>
  <c r="AH1279" i="13"/>
  <c r="W1278" i="13"/>
  <c r="AE1278" i="13" s="1"/>
  <c r="Z1278" i="13"/>
  <c r="AA1278" i="13"/>
  <c r="AB1278" i="13"/>
  <c r="AD1278" i="13"/>
  <c r="AF1278" i="13"/>
  <c r="AG1278" i="13"/>
  <c r="AH1278" i="13"/>
  <c r="W1277" i="13"/>
  <c r="AE1277" i="13" s="1"/>
  <c r="Z1277" i="13"/>
  <c r="AA1277" i="13"/>
  <c r="AB1277" i="13"/>
  <c r="AD1277" i="13"/>
  <c r="AF1277" i="13"/>
  <c r="AG1277" i="13"/>
  <c r="AH1277" i="13"/>
  <c r="W1276" i="13"/>
  <c r="AE1276" i="13" s="1"/>
  <c r="Z1276" i="13"/>
  <c r="AA1276" i="13"/>
  <c r="AB1276" i="13"/>
  <c r="AD1276" i="13"/>
  <c r="AG1276" i="13"/>
  <c r="AH1276" i="13"/>
  <c r="W1275" i="13"/>
  <c r="AE1275" i="13" s="1"/>
  <c r="Z1275" i="13"/>
  <c r="AA1275" i="13"/>
  <c r="AB1275" i="13"/>
  <c r="AD1275" i="13"/>
  <c r="AF1275" i="13"/>
  <c r="AG1275" i="13"/>
  <c r="AH1275" i="13"/>
  <c r="W1274" i="13"/>
  <c r="AE1274" i="13" s="1"/>
  <c r="Z1274" i="13"/>
  <c r="AA1274" i="13"/>
  <c r="AB1274" i="13"/>
  <c r="AD1274" i="13"/>
  <c r="AF1274" i="13"/>
  <c r="AG1274" i="13"/>
  <c r="AH1274" i="13"/>
  <c r="W1273" i="13"/>
  <c r="AE1273" i="13" s="1"/>
  <c r="Z1273" i="13"/>
  <c r="AA1273" i="13"/>
  <c r="AB1273" i="13"/>
  <c r="AD1273" i="13"/>
  <c r="AF1273" i="13"/>
  <c r="AG1273" i="13"/>
  <c r="AH1273" i="13"/>
  <c r="W1272" i="13"/>
  <c r="AE1272" i="13" s="1"/>
  <c r="Z1272" i="13"/>
  <c r="AA1272" i="13"/>
  <c r="AB1272" i="13"/>
  <c r="AD1272" i="13"/>
  <c r="AF1272" i="13"/>
  <c r="AG1272" i="13"/>
  <c r="AH1272" i="13"/>
  <c r="W1271" i="13"/>
  <c r="AE1271" i="13" s="1"/>
  <c r="Z1271" i="13"/>
  <c r="AA1271" i="13"/>
  <c r="AB1271" i="13"/>
  <c r="AD1271" i="13"/>
  <c r="AG1271" i="13"/>
  <c r="AH1271" i="13"/>
  <c r="W1270" i="13"/>
  <c r="AE1270" i="13" s="1"/>
  <c r="Z1270" i="13"/>
  <c r="AA1270" i="13"/>
  <c r="AB1270" i="13"/>
  <c r="AD1270" i="13"/>
  <c r="AG1270" i="13"/>
  <c r="AH1270" i="13"/>
  <c r="W1269" i="13"/>
  <c r="AE1269" i="13" s="1"/>
  <c r="Z1269" i="13"/>
  <c r="AA1269" i="13"/>
  <c r="AB1269" i="13"/>
  <c r="AD1269" i="13"/>
  <c r="AF1269" i="13"/>
  <c r="AG1269" i="13"/>
  <c r="AH1269" i="13"/>
  <c r="W1268" i="13"/>
  <c r="AE1268" i="13" s="1"/>
  <c r="Z1268" i="13"/>
  <c r="AA1268" i="13"/>
  <c r="AB1268" i="13"/>
  <c r="AD1268" i="13"/>
  <c r="AG1268" i="13"/>
  <c r="AH1268" i="13"/>
  <c r="W1267" i="13"/>
  <c r="AE1267" i="13" s="1"/>
  <c r="Z1267" i="13"/>
  <c r="AA1267" i="13"/>
  <c r="AB1267" i="13"/>
  <c r="AD1267" i="13"/>
  <c r="AF1267" i="13"/>
  <c r="AG1267" i="13"/>
  <c r="AH1267" i="13"/>
  <c r="W1266" i="13"/>
  <c r="AE1266" i="13" s="1"/>
  <c r="Z1266" i="13"/>
  <c r="AA1266" i="13"/>
  <c r="AB1266" i="13"/>
  <c r="AD1266" i="13"/>
  <c r="AF1266" i="13"/>
  <c r="AG1266" i="13"/>
  <c r="AH1266" i="13"/>
  <c r="W1265" i="13"/>
  <c r="AE1265" i="13" s="1"/>
  <c r="Z1265" i="13"/>
  <c r="AA1265" i="13"/>
  <c r="AB1265" i="13"/>
  <c r="AD1265" i="13"/>
  <c r="AG1265" i="13"/>
  <c r="AH1265" i="13"/>
  <c r="W1264" i="13"/>
  <c r="AE1264" i="13" s="1"/>
  <c r="Z1264" i="13"/>
  <c r="AA1264" i="13"/>
  <c r="AB1264" i="13"/>
  <c r="AD1264" i="13"/>
  <c r="AF1264" i="13"/>
  <c r="AG1264" i="13"/>
  <c r="AH1264" i="13"/>
  <c r="W1263" i="13"/>
  <c r="AE1263" i="13" s="1"/>
  <c r="Z1263" i="13"/>
  <c r="AA1263" i="13"/>
  <c r="AB1263" i="13"/>
  <c r="AD1263" i="13"/>
  <c r="AF1263" i="13"/>
  <c r="AG1263" i="13"/>
  <c r="AH1263" i="13"/>
  <c r="W1262" i="13"/>
  <c r="AE1262" i="13" s="1"/>
  <c r="Z1262" i="13"/>
  <c r="AA1262" i="13"/>
  <c r="AB1262" i="13"/>
  <c r="AD1262" i="13"/>
  <c r="AF1262" i="13"/>
  <c r="AG1262" i="13"/>
  <c r="AH1262" i="13"/>
  <c r="W1261" i="13"/>
  <c r="AE1261" i="13" s="1"/>
  <c r="Z1261" i="13"/>
  <c r="AA1261" i="13"/>
  <c r="AB1261" i="13"/>
  <c r="AD1261" i="13"/>
  <c r="AF1261" i="13"/>
  <c r="AG1261" i="13"/>
  <c r="AH1261" i="13"/>
  <c r="W1260" i="13"/>
  <c r="AE1260" i="13" s="1"/>
  <c r="Z1260" i="13"/>
  <c r="AA1260" i="13"/>
  <c r="AB1260" i="13"/>
  <c r="AD1260" i="13"/>
  <c r="AF1260" i="13"/>
  <c r="AG1260" i="13"/>
  <c r="AH1260" i="13"/>
  <c r="W1259" i="13"/>
  <c r="AE1259" i="13" s="1"/>
  <c r="Z1259" i="13"/>
  <c r="AA1259" i="13"/>
  <c r="AB1259" i="13"/>
  <c r="AD1259" i="13"/>
  <c r="AG1259" i="13"/>
  <c r="AH1259" i="13"/>
  <c r="W1258" i="13"/>
  <c r="AE1258" i="13" s="1"/>
  <c r="Z1258" i="13"/>
  <c r="AA1258" i="13"/>
  <c r="AB1258" i="13"/>
  <c r="AD1258" i="13"/>
  <c r="AG1258" i="13"/>
  <c r="AH1258" i="13"/>
  <c r="W1257" i="13"/>
  <c r="AE1257" i="13" s="1"/>
  <c r="Z1257" i="13"/>
  <c r="AA1257" i="13"/>
  <c r="AB1257" i="13"/>
  <c r="AD1257" i="13"/>
  <c r="AF1257" i="13"/>
  <c r="AG1257" i="13"/>
  <c r="AH1257" i="13"/>
  <c r="W1256" i="13"/>
  <c r="AE1256" i="13" s="1"/>
  <c r="Z1256" i="13"/>
  <c r="AA1256" i="13"/>
  <c r="AB1256" i="13"/>
  <c r="AD1256" i="13"/>
  <c r="AF1256" i="13"/>
  <c r="AG1256" i="13"/>
  <c r="AH1256" i="13"/>
  <c r="W1255" i="13"/>
  <c r="AE1255" i="13" s="1"/>
  <c r="Z1255" i="13"/>
  <c r="AA1255" i="13"/>
  <c r="AB1255" i="13"/>
  <c r="AD1255" i="13"/>
  <c r="AF1255" i="13"/>
  <c r="AG1255" i="13"/>
  <c r="AH1255" i="13"/>
  <c r="W1254" i="13"/>
  <c r="AE1254" i="13" s="1"/>
  <c r="Z1254" i="13"/>
  <c r="AA1254" i="13"/>
  <c r="AB1254" i="13"/>
  <c r="AD1254" i="13"/>
  <c r="AF1254" i="13"/>
  <c r="AG1254" i="13"/>
  <c r="AH1254" i="13"/>
  <c r="W1253" i="13"/>
  <c r="AE1253" i="13" s="1"/>
  <c r="Z1253" i="13"/>
  <c r="AA1253" i="13"/>
  <c r="AB1253" i="13"/>
  <c r="AD1253" i="13"/>
  <c r="AG1253" i="13"/>
  <c r="AH1253" i="13"/>
  <c r="W1252" i="13"/>
  <c r="AE1252" i="13" s="1"/>
  <c r="Z1252" i="13"/>
  <c r="AA1252" i="13"/>
  <c r="AB1252" i="13"/>
  <c r="AD1252" i="13"/>
  <c r="AF1252" i="13"/>
  <c r="AG1252" i="13"/>
  <c r="AH1252" i="13"/>
  <c r="W1251" i="13"/>
  <c r="AE1251" i="13" s="1"/>
  <c r="Z1251" i="13"/>
  <c r="AA1251" i="13"/>
  <c r="AB1251" i="13"/>
  <c r="AD1251" i="13"/>
  <c r="AG1251" i="13"/>
  <c r="AH1251" i="13"/>
  <c r="W1250" i="13"/>
  <c r="AE1250" i="13" s="1"/>
  <c r="Z1250" i="13"/>
  <c r="AA1250" i="13"/>
  <c r="AB1250" i="13"/>
  <c r="AD1250" i="13"/>
  <c r="AF1250" i="13"/>
  <c r="AG1250" i="13"/>
  <c r="AH1250" i="13"/>
  <c r="W1249" i="13"/>
  <c r="AE1249" i="13" s="1"/>
  <c r="Z1249" i="13"/>
  <c r="AA1249" i="13"/>
  <c r="AB1249" i="13"/>
  <c r="AD1249" i="13"/>
  <c r="AF1249" i="13"/>
  <c r="AG1249" i="13"/>
  <c r="AH1249" i="13"/>
  <c r="W1248" i="13"/>
  <c r="AE1248" i="13" s="1"/>
  <c r="Z1248" i="13"/>
  <c r="AA1248" i="13"/>
  <c r="AB1248" i="13"/>
  <c r="AD1248" i="13"/>
  <c r="AG1248" i="13"/>
  <c r="AH1248" i="13"/>
  <c r="W1247" i="13"/>
  <c r="AE1247" i="13" s="1"/>
  <c r="Z1247" i="13"/>
  <c r="AA1247" i="13"/>
  <c r="AB1247" i="13"/>
  <c r="AD1247" i="13"/>
  <c r="AF1247" i="13"/>
  <c r="AG1247" i="13"/>
  <c r="AH1247" i="13"/>
  <c r="W1246" i="13"/>
  <c r="AE1246" i="13" s="1"/>
  <c r="Z1246" i="13"/>
  <c r="AA1246" i="13"/>
  <c r="AB1246" i="13"/>
  <c r="AD1246" i="13"/>
  <c r="AG1246" i="13"/>
  <c r="AH1246" i="13"/>
  <c r="W1245" i="13"/>
  <c r="AE1245" i="13" s="1"/>
  <c r="Z1245" i="13"/>
  <c r="AA1245" i="13"/>
  <c r="AB1245" i="13"/>
  <c r="AD1245" i="13"/>
  <c r="AF1245" i="13"/>
  <c r="AG1245" i="13"/>
  <c r="AH1245" i="13"/>
  <c r="W1244" i="13"/>
  <c r="AE1244" i="13" s="1"/>
  <c r="Z1244" i="13"/>
  <c r="AA1244" i="13"/>
  <c r="AB1244" i="13"/>
  <c r="AD1244" i="13"/>
  <c r="AF1244" i="13"/>
  <c r="AG1244" i="13"/>
  <c r="AH1244" i="13"/>
  <c r="W1243" i="13"/>
  <c r="AE1243" i="13" s="1"/>
  <c r="Z1243" i="13"/>
  <c r="AA1243" i="13"/>
  <c r="AB1243" i="13"/>
  <c r="AD1243" i="13"/>
  <c r="AF1243" i="13"/>
  <c r="AG1243" i="13"/>
  <c r="AH1243" i="13"/>
  <c r="W1242" i="13"/>
  <c r="AE1242" i="13" s="1"/>
  <c r="Z1242" i="13"/>
  <c r="AA1242" i="13"/>
  <c r="AB1242" i="13"/>
  <c r="AD1242" i="13"/>
  <c r="AF1242" i="13"/>
  <c r="AG1242" i="13"/>
  <c r="AH1242" i="13"/>
  <c r="W1241" i="13"/>
  <c r="AE1241" i="13" s="1"/>
  <c r="Z1241" i="13"/>
  <c r="AA1241" i="13"/>
  <c r="AB1241" i="13"/>
  <c r="AD1241" i="13"/>
  <c r="AF1241" i="13"/>
  <c r="AG1241" i="13"/>
  <c r="AH1241" i="13"/>
  <c r="W1240" i="13"/>
  <c r="AE1240" i="13" s="1"/>
  <c r="Z1240" i="13"/>
  <c r="AA1240" i="13"/>
  <c r="AB1240" i="13"/>
  <c r="AD1240" i="13"/>
  <c r="AF1240" i="13"/>
  <c r="AG1240" i="13"/>
  <c r="AH1240" i="13"/>
  <c r="W1239" i="13"/>
  <c r="AE1239" i="13" s="1"/>
  <c r="Z1239" i="13"/>
  <c r="AA1239" i="13"/>
  <c r="AB1239" i="13"/>
  <c r="AD1239" i="13"/>
  <c r="AF1239" i="13"/>
  <c r="AG1239" i="13"/>
  <c r="AH1239" i="13"/>
  <c r="W1238" i="13"/>
  <c r="AE1238" i="13" s="1"/>
  <c r="Z1238" i="13"/>
  <c r="AA1238" i="13"/>
  <c r="AB1238" i="13"/>
  <c r="AD1238" i="13"/>
  <c r="AF1238" i="13"/>
  <c r="AG1238" i="13"/>
  <c r="AH1238" i="13"/>
  <c r="W1237" i="13"/>
  <c r="AE1237" i="13" s="1"/>
  <c r="Z1237" i="13"/>
  <c r="AA1237" i="13"/>
  <c r="AB1237" i="13"/>
  <c r="AD1237" i="13"/>
  <c r="AG1237" i="13"/>
  <c r="AH1237" i="13"/>
  <c r="W1236" i="13"/>
  <c r="AE1236" i="13" s="1"/>
  <c r="Z1236" i="13"/>
  <c r="AA1236" i="13"/>
  <c r="AB1236" i="13"/>
  <c r="AD1236" i="13"/>
  <c r="AF1236" i="13"/>
  <c r="AG1236" i="13"/>
  <c r="AH1236" i="13"/>
  <c r="Y1289" i="13" l="1"/>
  <c r="X1299" i="13"/>
  <c r="AC1299" i="13" s="1"/>
  <c r="Y1299" i="13"/>
  <c r="X1268" i="13"/>
  <c r="AC1268" i="13" s="1"/>
  <c r="X1270" i="13"/>
  <c r="AC1270" i="13" s="1"/>
  <c r="X1275" i="13"/>
  <c r="AC1275" i="13" s="1"/>
  <c r="X1279" i="13"/>
  <c r="AC1279" i="13" s="1"/>
  <c r="X1293" i="13"/>
  <c r="AC1293" i="13" s="1"/>
  <c r="X1301" i="13"/>
  <c r="AC1301" i="13" s="1"/>
  <c r="X1251" i="13"/>
  <c r="AC1251" i="13" s="1"/>
  <c r="X1253" i="13"/>
  <c r="AC1253" i="13" s="1"/>
  <c r="X1258" i="13"/>
  <c r="AC1258" i="13" s="1"/>
  <c r="X1261" i="13"/>
  <c r="AC1261" i="13" s="1"/>
  <c r="X1295" i="13"/>
  <c r="AC1295" i="13" s="1"/>
  <c r="X1237" i="13"/>
  <c r="AC1237" i="13" s="1"/>
  <c r="X1246" i="13"/>
  <c r="AC1246" i="13" s="1"/>
  <c r="X1263" i="13"/>
  <c r="AC1263" i="13" s="1"/>
  <c r="X1298" i="13"/>
  <c r="AC1298" i="13" s="1"/>
  <c r="X1286" i="13"/>
  <c r="AC1286" i="13" s="1"/>
  <c r="Y1295" i="13"/>
  <c r="Y1298" i="13"/>
  <c r="AF1237" i="13"/>
  <c r="Y1237" i="13" s="1"/>
  <c r="X1244" i="13"/>
  <c r="AC1244" i="13" s="1"/>
  <c r="AF1246" i="13"/>
  <c r="Y1246" i="13" s="1"/>
  <c r="AF1251" i="13"/>
  <c r="AF1253" i="13"/>
  <c r="Y1253" i="13" s="1"/>
  <c r="X1256" i="13"/>
  <c r="AC1256" i="13" s="1"/>
  <c r="AF1258" i="13"/>
  <c r="Y1258" i="13" s="1"/>
  <c r="X1262" i="13"/>
  <c r="AC1262" i="13" s="1"/>
  <c r="X1264" i="13"/>
  <c r="AC1264" i="13" s="1"/>
  <c r="X1266" i="13"/>
  <c r="AC1266" i="13" s="1"/>
  <c r="AF1268" i="13"/>
  <c r="X1269" i="13"/>
  <c r="AC1269" i="13" s="1"/>
  <c r="AF1270" i="13"/>
  <c r="Y1270" i="13" s="1"/>
  <c r="X1280" i="13"/>
  <c r="AC1280" i="13" s="1"/>
  <c r="X1297" i="13"/>
  <c r="AC1297" i="13" s="1"/>
  <c r="X1292" i="13"/>
  <c r="AC1292" i="13" s="1"/>
  <c r="X1294" i="13"/>
  <c r="AC1294" i="13" s="1"/>
  <c r="X1300" i="13"/>
  <c r="AC1300" i="13" s="1"/>
  <c r="Y1244" i="13"/>
  <c r="Y1252" i="13"/>
  <c r="Y1256" i="13"/>
  <c r="Y1262" i="13"/>
  <c r="Y1264" i="13"/>
  <c r="Y1266" i="13"/>
  <c r="Y1269" i="13"/>
  <c r="Y1280" i="13"/>
  <c r="Y1293" i="13"/>
  <c r="Y1297" i="13"/>
  <c r="Y1301" i="13"/>
  <c r="Y1251" i="13"/>
  <c r="Y1261" i="13"/>
  <c r="Y1263" i="13"/>
  <c r="Y1268" i="13"/>
  <c r="Y1275" i="13"/>
  <c r="Y1279" i="13"/>
  <c r="Y1286" i="13"/>
  <c r="Y1292" i="13"/>
  <c r="Y1294" i="13"/>
  <c r="Y1300" i="13"/>
  <c r="X1238" i="13"/>
  <c r="AC1238" i="13" s="1"/>
  <c r="X1273" i="13"/>
  <c r="AC1273" i="13" s="1"/>
  <c r="X1276" i="13"/>
  <c r="AC1276" i="13" s="1"/>
  <c r="X1242" i="13"/>
  <c r="AC1242" i="13" s="1"/>
  <c r="X1250" i="13"/>
  <c r="AC1250" i="13" s="1"/>
  <c r="X1287" i="13"/>
  <c r="AC1287" i="13" s="1"/>
  <c r="X1290" i="13"/>
  <c r="AC1290" i="13" s="1"/>
  <c r="X1240" i="13"/>
  <c r="AC1240" i="13" s="1"/>
  <c r="X1245" i="13"/>
  <c r="AC1245" i="13" s="1"/>
  <c r="X1248" i="13"/>
  <c r="AC1248" i="13" s="1"/>
  <c r="X1255" i="13"/>
  <c r="AC1255" i="13" s="1"/>
  <c r="X1259" i="13"/>
  <c r="AC1259" i="13" s="1"/>
  <c r="X1265" i="13"/>
  <c r="AC1265" i="13" s="1"/>
  <c r="X1271" i="13"/>
  <c r="AC1271" i="13" s="1"/>
  <c r="X1278" i="13"/>
  <c r="AC1278" i="13" s="1"/>
  <c r="X1282" i="13"/>
  <c r="AC1282" i="13" s="1"/>
  <c r="X1284" i="13"/>
  <c r="AC1284" i="13" s="1"/>
  <c r="AF1290" i="13"/>
  <c r="X1291" i="13"/>
  <c r="AC1291" i="13" s="1"/>
  <c r="X1236" i="13"/>
  <c r="AC1236" i="13" s="1"/>
  <c r="X1239" i="13"/>
  <c r="AC1239" i="13" s="1"/>
  <c r="X1241" i="13"/>
  <c r="AC1241" i="13" s="1"/>
  <c r="X1243" i="13"/>
  <c r="AC1243" i="13" s="1"/>
  <c r="X1247" i="13"/>
  <c r="AC1247" i="13" s="1"/>
  <c r="AF1248" i="13"/>
  <c r="Y1248" i="13" s="1"/>
  <c r="X1249" i="13"/>
  <c r="AC1249" i="13" s="1"/>
  <c r="X1257" i="13"/>
  <c r="AC1257" i="13" s="1"/>
  <c r="AF1259" i="13"/>
  <c r="Y1259" i="13" s="1"/>
  <c r="X1260" i="13"/>
  <c r="AC1260" i="13" s="1"/>
  <c r="AF1265" i="13"/>
  <c r="X1267" i="13"/>
  <c r="AC1267" i="13" s="1"/>
  <c r="AF1271" i="13"/>
  <c r="Y1271" i="13" s="1"/>
  <c r="X1272" i="13"/>
  <c r="AC1272" i="13" s="1"/>
  <c r="X1274" i="13"/>
  <c r="AC1274" i="13" s="1"/>
  <c r="AF1276" i="13"/>
  <c r="Y1276" i="13" s="1"/>
  <c r="X1277" i="13"/>
  <c r="AC1277" i="13" s="1"/>
  <c r="X1281" i="13"/>
  <c r="AC1281" i="13" s="1"/>
  <c r="AF1282" i="13"/>
  <c r="Y1282" i="13" s="1"/>
  <c r="X1283" i="13"/>
  <c r="AC1283" i="13" s="1"/>
  <c r="AF1284" i="13"/>
  <c r="Y1284" i="13" s="1"/>
  <c r="X1285" i="13"/>
  <c r="AC1285" i="13" s="1"/>
  <c r="X1288" i="13"/>
  <c r="AC1288" i="13" s="1"/>
  <c r="X1296" i="13"/>
  <c r="AC1296" i="13" s="1"/>
  <c r="Y1238" i="13"/>
  <c r="Y1240" i="13"/>
  <c r="Y1242" i="13"/>
  <c r="Y1245" i="13"/>
  <c r="Y1250" i="13"/>
  <c r="Y1255" i="13"/>
  <c r="Y1265" i="13"/>
  <c r="Y1273" i="13"/>
  <c r="Y1278" i="13"/>
  <c r="Y1287" i="13"/>
  <c r="Y1290" i="13"/>
  <c r="Y1296" i="13"/>
  <c r="Y1236" i="13"/>
  <c r="Y1239" i="13"/>
  <c r="Y1241" i="13"/>
  <c r="Y1243" i="13"/>
  <c r="Y1247" i="13"/>
  <c r="Y1249" i="13"/>
  <c r="Y1254" i="13"/>
  <c r="Y1257" i="13"/>
  <c r="Y1260" i="13"/>
  <c r="Y1267" i="13"/>
  <c r="Y1272" i="13"/>
  <c r="Y1274" i="13"/>
  <c r="Y1277" i="13"/>
  <c r="Y1281" i="13"/>
  <c r="Y1283" i="13"/>
  <c r="Y1285" i="13"/>
  <c r="Y1288" i="13"/>
  <c r="Y1291" i="13"/>
  <c r="X1252" i="13"/>
  <c r="AC1252" i="13" s="1"/>
  <c r="X1254" i="13"/>
  <c r="AC1254" i="13" s="1"/>
  <c r="W1235" i="13"/>
  <c r="AE1235" i="13" s="1"/>
  <c r="Z1235" i="13"/>
  <c r="AA1235" i="13"/>
  <c r="AB1235" i="13"/>
  <c r="AD1235" i="13"/>
  <c r="AF1235" i="13"/>
  <c r="AG1235" i="13"/>
  <c r="AH1235" i="13"/>
  <c r="W1234" i="13"/>
  <c r="AE1234" i="13" s="1"/>
  <c r="Z1234" i="13"/>
  <c r="AA1234" i="13"/>
  <c r="AB1234" i="13"/>
  <c r="AD1234" i="13"/>
  <c r="AG1234" i="13"/>
  <c r="AH1234" i="13"/>
  <c r="W1233" i="13"/>
  <c r="AE1233" i="13" s="1"/>
  <c r="Z1233" i="13"/>
  <c r="AA1233" i="13"/>
  <c r="AB1233" i="13"/>
  <c r="AD1233" i="13"/>
  <c r="AF1233" i="13"/>
  <c r="AG1233" i="13"/>
  <c r="AH1233" i="13"/>
  <c r="W1232" i="13"/>
  <c r="AE1232" i="13" s="1"/>
  <c r="Z1232" i="13"/>
  <c r="AA1232" i="13"/>
  <c r="AB1232" i="13"/>
  <c r="AD1232" i="13"/>
  <c r="AF1232" i="13"/>
  <c r="AG1232" i="13"/>
  <c r="AH1232" i="13"/>
  <c r="W1231" i="13"/>
  <c r="AE1231" i="13" s="1"/>
  <c r="Z1231" i="13"/>
  <c r="AA1231" i="13"/>
  <c r="AB1231" i="13"/>
  <c r="AD1231" i="13"/>
  <c r="AF1231" i="13"/>
  <c r="AG1231" i="13"/>
  <c r="AH1231" i="13"/>
  <c r="W1230" i="13"/>
  <c r="AE1230" i="13" s="1"/>
  <c r="Z1230" i="13"/>
  <c r="AA1230" i="13"/>
  <c r="AB1230" i="13"/>
  <c r="AD1230" i="13"/>
  <c r="AG1230" i="13"/>
  <c r="AH1230" i="13"/>
  <c r="W1229" i="13"/>
  <c r="AE1229" i="13" s="1"/>
  <c r="Z1229" i="13"/>
  <c r="AA1229" i="13"/>
  <c r="AB1229" i="13"/>
  <c r="AD1229" i="13"/>
  <c r="AG1229" i="13"/>
  <c r="AH1229" i="13"/>
  <c r="W1228" i="13"/>
  <c r="AE1228" i="13" s="1"/>
  <c r="Z1228" i="13"/>
  <c r="AA1228" i="13"/>
  <c r="AB1228" i="13"/>
  <c r="AD1228" i="13"/>
  <c r="AF1228" i="13"/>
  <c r="AG1228" i="13"/>
  <c r="AH1228" i="13"/>
  <c r="W1227" i="13"/>
  <c r="AE1227" i="13" s="1"/>
  <c r="Z1227" i="13"/>
  <c r="AA1227" i="13"/>
  <c r="AB1227" i="13"/>
  <c r="AD1227" i="13"/>
  <c r="AF1227" i="13"/>
  <c r="AG1227" i="13"/>
  <c r="AH1227" i="13"/>
  <c r="W1226" i="13"/>
  <c r="AE1226" i="13" s="1"/>
  <c r="Z1226" i="13"/>
  <c r="AA1226" i="13"/>
  <c r="AB1226" i="13"/>
  <c r="AD1226" i="13"/>
  <c r="AF1226" i="13"/>
  <c r="AG1226" i="13"/>
  <c r="AH1226" i="13"/>
  <c r="W1225" i="13"/>
  <c r="AE1225" i="13" s="1"/>
  <c r="Z1225" i="13"/>
  <c r="AA1225" i="13"/>
  <c r="AB1225" i="13"/>
  <c r="AD1225" i="13"/>
  <c r="AF1225" i="13"/>
  <c r="AG1225" i="13"/>
  <c r="AH1225" i="13"/>
  <c r="W1224" i="13"/>
  <c r="AE1224" i="13" s="1"/>
  <c r="Z1224" i="13"/>
  <c r="AA1224" i="13"/>
  <c r="AB1224" i="13"/>
  <c r="AD1224" i="13"/>
  <c r="AG1224" i="13"/>
  <c r="AH1224" i="13"/>
  <c r="W1223" i="13"/>
  <c r="AE1223" i="13" s="1"/>
  <c r="Z1223" i="13"/>
  <c r="AA1223" i="13"/>
  <c r="AB1223" i="13"/>
  <c r="AD1223" i="13"/>
  <c r="AF1223" i="13"/>
  <c r="AG1223" i="13"/>
  <c r="AH1223" i="13"/>
  <c r="W1222" i="13"/>
  <c r="AE1222" i="13" s="1"/>
  <c r="Z1222" i="13"/>
  <c r="AA1222" i="13"/>
  <c r="AB1222" i="13"/>
  <c r="AD1222" i="13"/>
  <c r="AG1222" i="13"/>
  <c r="AH1222" i="13"/>
  <c r="W1221" i="13"/>
  <c r="AE1221" i="13" s="1"/>
  <c r="Z1221" i="13"/>
  <c r="AA1221" i="13"/>
  <c r="AB1221" i="13"/>
  <c r="AD1221" i="13"/>
  <c r="AF1221" i="13"/>
  <c r="AG1221" i="13"/>
  <c r="AH1221" i="13"/>
  <c r="W1220" i="13"/>
  <c r="AE1220" i="13" s="1"/>
  <c r="Z1220" i="13"/>
  <c r="AA1220" i="13"/>
  <c r="AB1220" i="13"/>
  <c r="AD1220" i="13"/>
  <c r="AF1220" i="13"/>
  <c r="AG1220" i="13"/>
  <c r="AH1220" i="13"/>
  <c r="W1219" i="13"/>
  <c r="AE1219" i="13" s="1"/>
  <c r="Z1219" i="13"/>
  <c r="AA1219" i="13"/>
  <c r="AB1219" i="13"/>
  <c r="AD1219" i="13"/>
  <c r="AF1219" i="13"/>
  <c r="AG1219" i="13"/>
  <c r="AH1219" i="13"/>
  <c r="W1218" i="13"/>
  <c r="AE1218" i="13" s="1"/>
  <c r="Z1218" i="13"/>
  <c r="AA1218" i="13"/>
  <c r="AB1218" i="13"/>
  <c r="AD1218" i="13"/>
  <c r="AF1218" i="13"/>
  <c r="AG1218" i="13"/>
  <c r="AH1218" i="13"/>
  <c r="W1217" i="13"/>
  <c r="AE1217" i="13" s="1"/>
  <c r="Z1217" i="13"/>
  <c r="AA1217" i="13"/>
  <c r="AB1217" i="13"/>
  <c r="AD1217" i="13"/>
  <c r="AF1217" i="13"/>
  <c r="AG1217" i="13"/>
  <c r="AH1217" i="13"/>
  <c r="W1216" i="13"/>
  <c r="AE1216" i="13" s="1"/>
  <c r="Z1216" i="13"/>
  <c r="AA1216" i="13"/>
  <c r="AB1216" i="13"/>
  <c r="AD1216" i="13"/>
  <c r="AG1216" i="13"/>
  <c r="AH1216" i="13"/>
  <c r="W1215" i="13"/>
  <c r="AE1215" i="13" s="1"/>
  <c r="Z1215" i="13"/>
  <c r="AA1215" i="13"/>
  <c r="AB1215" i="13"/>
  <c r="AD1215" i="13"/>
  <c r="AF1215" i="13"/>
  <c r="AG1215" i="13"/>
  <c r="AH1215" i="13"/>
  <c r="W1214" i="13"/>
  <c r="AE1214" i="13" s="1"/>
  <c r="Z1214" i="13"/>
  <c r="AA1214" i="13"/>
  <c r="AB1214" i="13"/>
  <c r="AD1214" i="13"/>
  <c r="AF1214" i="13"/>
  <c r="AG1214" i="13"/>
  <c r="AH1214" i="13"/>
  <c r="W1213" i="13"/>
  <c r="AE1213" i="13" s="1"/>
  <c r="Z1213" i="13"/>
  <c r="AA1213" i="13"/>
  <c r="AB1213" i="13"/>
  <c r="AD1213" i="13"/>
  <c r="AG1213" i="13"/>
  <c r="AH1213" i="13"/>
  <c r="W1212" i="13"/>
  <c r="AE1212" i="13" s="1"/>
  <c r="Z1212" i="13"/>
  <c r="AF1212" i="13" s="1"/>
  <c r="AA1212" i="13"/>
  <c r="AB1212" i="13"/>
  <c r="AD1212" i="13"/>
  <c r="AG1212" i="13"/>
  <c r="AH1212" i="13"/>
  <c r="X1234" i="13" l="1"/>
  <c r="AC1234" i="13" s="1"/>
  <c r="AF1234" i="13"/>
  <c r="Y1234" i="13" s="1"/>
  <c r="X1218" i="13"/>
  <c r="AC1218" i="13" s="1"/>
  <c r="X1222" i="13"/>
  <c r="AC1222" i="13" s="1"/>
  <c r="X1216" i="13"/>
  <c r="AC1216" i="13" s="1"/>
  <c r="X1229" i="13"/>
  <c r="AC1229" i="13" s="1"/>
  <c r="X1232" i="13"/>
  <c r="AC1232" i="13" s="1"/>
  <c r="X1215" i="13"/>
  <c r="AC1215" i="13" s="1"/>
  <c r="AF1216" i="13"/>
  <c r="Y1216" i="13" s="1"/>
  <c r="X1217" i="13"/>
  <c r="AC1217" i="13" s="1"/>
  <c r="X1221" i="13"/>
  <c r="AC1221" i="13" s="1"/>
  <c r="AF1222" i="13"/>
  <c r="Y1222" i="13" s="1"/>
  <c r="X1223" i="13"/>
  <c r="AC1223" i="13" s="1"/>
  <c r="X1225" i="13"/>
  <c r="AC1225" i="13" s="1"/>
  <c r="AF1229" i="13"/>
  <c r="Y1229" i="13" s="1"/>
  <c r="Y1218" i="13"/>
  <c r="Y1232" i="13"/>
  <c r="Y1215" i="13"/>
  <c r="Y1217" i="13"/>
  <c r="Y1221" i="13"/>
  <c r="Y1223" i="13"/>
  <c r="Y1225" i="13"/>
  <c r="X1235" i="13"/>
  <c r="AC1235" i="13" s="1"/>
  <c r="X1230" i="13"/>
  <c r="AC1230" i="13" s="1"/>
  <c r="X1224" i="13"/>
  <c r="AC1224" i="13" s="1"/>
  <c r="AF1230" i="13"/>
  <c r="Y1230" i="13" s="1"/>
  <c r="X1227" i="13"/>
  <c r="AC1227" i="13" s="1"/>
  <c r="X1220" i="13"/>
  <c r="AC1220" i="13" s="1"/>
  <c r="AF1224" i="13"/>
  <c r="X1226" i="13"/>
  <c r="AC1226" i="13" s="1"/>
  <c r="X1228" i="13"/>
  <c r="AC1228" i="13" s="1"/>
  <c r="X1231" i="13"/>
  <c r="AC1231" i="13" s="1"/>
  <c r="X1233" i="13"/>
  <c r="AC1233" i="13" s="1"/>
  <c r="Y1220" i="13"/>
  <c r="Y1231" i="13"/>
  <c r="Y1226" i="13"/>
  <c r="Y1228" i="13"/>
  <c r="Y1235" i="13"/>
  <c r="Y1224" i="13"/>
  <c r="Y1227" i="13"/>
  <c r="Y1233" i="13"/>
  <c r="X1213" i="13"/>
  <c r="AC1213" i="13" s="1"/>
  <c r="X1219" i="13"/>
  <c r="AC1219" i="13" s="1"/>
  <c r="AF1213" i="13"/>
  <c r="Y1213" i="13" s="1"/>
  <c r="X1214" i="13"/>
  <c r="AC1214" i="13" s="1"/>
  <c r="Y1214" i="13"/>
  <c r="Y1219" i="13"/>
  <c r="Y1212" i="13"/>
  <c r="X1212" i="13"/>
  <c r="AC1212" i="13" s="1"/>
  <c r="W1211" i="13"/>
  <c r="AE1211" i="13" s="1"/>
  <c r="Z1211" i="13"/>
  <c r="AA1211" i="13"/>
  <c r="AB1211" i="13"/>
  <c r="AD1211" i="13"/>
  <c r="AF1211" i="13"/>
  <c r="AG1211" i="13"/>
  <c r="AH1211" i="13"/>
  <c r="W1210" i="13"/>
  <c r="AE1210" i="13" s="1"/>
  <c r="Z1210" i="13"/>
  <c r="AA1210" i="13"/>
  <c r="AB1210" i="13"/>
  <c r="AD1210" i="13"/>
  <c r="AG1210" i="13"/>
  <c r="AH1210" i="13"/>
  <c r="W1209" i="13"/>
  <c r="AE1209" i="13" s="1"/>
  <c r="Z1209" i="13"/>
  <c r="AA1209" i="13"/>
  <c r="AB1209" i="13"/>
  <c r="AD1209" i="13"/>
  <c r="AF1209" i="13"/>
  <c r="AG1209" i="13"/>
  <c r="AH1209" i="13"/>
  <c r="W1208" i="13"/>
  <c r="AE1208" i="13" s="1"/>
  <c r="Z1208" i="13"/>
  <c r="AA1208" i="13"/>
  <c r="AB1208" i="13"/>
  <c r="AD1208" i="13"/>
  <c r="AF1208" i="13"/>
  <c r="AG1208" i="13"/>
  <c r="AH1208" i="13"/>
  <c r="W1207" i="13"/>
  <c r="AE1207" i="13" s="1"/>
  <c r="Z1207" i="13"/>
  <c r="AA1207" i="13"/>
  <c r="AB1207" i="13"/>
  <c r="AD1207" i="13"/>
  <c r="AG1207" i="13"/>
  <c r="AH1207" i="13"/>
  <c r="W1206" i="13"/>
  <c r="AE1206" i="13" s="1"/>
  <c r="Z1206" i="13"/>
  <c r="AA1206" i="13"/>
  <c r="AB1206" i="13"/>
  <c r="AD1206" i="13"/>
  <c r="AF1206" i="13"/>
  <c r="AG1206" i="13"/>
  <c r="AH1206" i="13"/>
  <c r="W1205" i="13"/>
  <c r="AE1205" i="13" s="1"/>
  <c r="Z1205" i="13"/>
  <c r="AA1205" i="13"/>
  <c r="AB1205" i="13"/>
  <c r="AD1205" i="13"/>
  <c r="AF1205" i="13"/>
  <c r="AG1205" i="13"/>
  <c r="AH1205" i="13"/>
  <c r="W1204" i="13"/>
  <c r="AE1204" i="13" s="1"/>
  <c r="Z1204" i="13"/>
  <c r="AA1204" i="13"/>
  <c r="AB1204" i="13"/>
  <c r="AD1204" i="13"/>
  <c r="AF1204" i="13"/>
  <c r="AG1204" i="13"/>
  <c r="AH1204" i="13"/>
  <c r="W1203" i="13"/>
  <c r="AE1203" i="13" s="1"/>
  <c r="Z1203" i="13"/>
  <c r="AF1203" i="13" s="1"/>
  <c r="AA1203" i="13"/>
  <c r="AB1203" i="13"/>
  <c r="AD1203" i="13"/>
  <c r="AG1203" i="13"/>
  <c r="AH1203" i="13"/>
  <c r="W1202" i="13"/>
  <c r="AE1202" i="13" s="1"/>
  <c r="Z1202" i="13"/>
  <c r="AA1202" i="13"/>
  <c r="AB1202" i="13"/>
  <c r="AD1202" i="13"/>
  <c r="AF1202" i="13"/>
  <c r="AG1202" i="13"/>
  <c r="AH1202" i="13"/>
  <c r="W1201" i="13"/>
  <c r="AE1201" i="13" s="1"/>
  <c r="Z1201" i="13"/>
  <c r="AA1201" i="13"/>
  <c r="AB1201" i="13"/>
  <c r="AD1201" i="13"/>
  <c r="AF1201" i="13"/>
  <c r="AG1201" i="13"/>
  <c r="AH1201" i="13"/>
  <c r="W1200" i="13"/>
  <c r="AE1200" i="13" s="1"/>
  <c r="Z1200" i="13"/>
  <c r="AA1200" i="13"/>
  <c r="AB1200" i="13"/>
  <c r="AD1200" i="13"/>
  <c r="AF1200" i="13"/>
  <c r="AG1200" i="13"/>
  <c r="AH1200" i="13"/>
  <c r="W1199" i="13"/>
  <c r="AE1199" i="13" s="1"/>
  <c r="Z1199" i="13"/>
  <c r="AA1199" i="13"/>
  <c r="AB1199" i="13"/>
  <c r="AD1199" i="13"/>
  <c r="AF1199" i="13"/>
  <c r="AG1199" i="13"/>
  <c r="AH1199" i="13"/>
  <c r="W1198" i="13"/>
  <c r="AE1198" i="13" s="1"/>
  <c r="Z1198" i="13"/>
  <c r="AA1198" i="13"/>
  <c r="AB1198" i="13"/>
  <c r="AD1198" i="13"/>
  <c r="AF1198" i="13"/>
  <c r="AG1198" i="13"/>
  <c r="AH1198" i="13"/>
  <c r="W1197" i="13"/>
  <c r="AE1197" i="13" s="1"/>
  <c r="Z1197" i="13"/>
  <c r="AA1197" i="13"/>
  <c r="AB1197" i="13"/>
  <c r="AD1197" i="13"/>
  <c r="AF1197" i="13"/>
  <c r="AG1197" i="13"/>
  <c r="AH1197" i="13"/>
  <c r="W1196" i="13"/>
  <c r="AE1196" i="13" s="1"/>
  <c r="Z1196" i="13"/>
  <c r="AA1196" i="13"/>
  <c r="AB1196" i="13"/>
  <c r="AD1196" i="13"/>
  <c r="AF1196" i="13"/>
  <c r="AG1196" i="13"/>
  <c r="AH1196" i="13"/>
  <c r="W1195" i="13"/>
  <c r="AE1195" i="13" s="1"/>
  <c r="Z1195" i="13"/>
  <c r="AA1195" i="13"/>
  <c r="AB1195" i="13"/>
  <c r="AD1195" i="13"/>
  <c r="AG1195" i="13"/>
  <c r="AH1195" i="13"/>
  <c r="W1194" i="13"/>
  <c r="AE1194" i="13" s="1"/>
  <c r="Z1194" i="13"/>
  <c r="AA1194" i="13"/>
  <c r="AB1194" i="13"/>
  <c r="AD1194" i="13"/>
  <c r="AF1194" i="13"/>
  <c r="AG1194" i="13"/>
  <c r="AH1194" i="13"/>
  <c r="W1193" i="13"/>
  <c r="AE1193" i="13" s="1"/>
  <c r="Z1193" i="13"/>
  <c r="AA1193" i="13"/>
  <c r="AB1193" i="13"/>
  <c r="AD1193" i="13"/>
  <c r="AF1193" i="13"/>
  <c r="AG1193" i="13"/>
  <c r="AH1193" i="13"/>
  <c r="W1192" i="13"/>
  <c r="AE1192" i="13" s="1"/>
  <c r="Z1192" i="13"/>
  <c r="AA1192" i="13"/>
  <c r="AB1192" i="13"/>
  <c r="AD1192" i="13"/>
  <c r="AF1192" i="13"/>
  <c r="AG1192" i="13"/>
  <c r="AH1192" i="13"/>
  <c r="W1191" i="13"/>
  <c r="AE1191" i="13" s="1"/>
  <c r="Z1191" i="13"/>
  <c r="AA1191" i="13"/>
  <c r="AB1191" i="13"/>
  <c r="AD1191" i="13"/>
  <c r="AF1191" i="13"/>
  <c r="AG1191" i="13"/>
  <c r="AH1191" i="13"/>
  <c r="W1190" i="13"/>
  <c r="AE1190" i="13" s="1"/>
  <c r="Z1190" i="13"/>
  <c r="AA1190" i="13"/>
  <c r="AB1190" i="13"/>
  <c r="AD1190" i="13"/>
  <c r="AF1190" i="13"/>
  <c r="AG1190" i="13"/>
  <c r="AH1190" i="13"/>
  <c r="W1189" i="13"/>
  <c r="AE1189" i="13" s="1"/>
  <c r="Z1189" i="13"/>
  <c r="AA1189" i="13"/>
  <c r="AB1189" i="13"/>
  <c r="AD1189" i="13"/>
  <c r="AF1189" i="13"/>
  <c r="AG1189" i="13"/>
  <c r="AH1189" i="13"/>
  <c r="W1188" i="13"/>
  <c r="AE1188" i="13" s="1"/>
  <c r="Z1188" i="13"/>
  <c r="AA1188" i="13"/>
  <c r="AB1188" i="13"/>
  <c r="AD1188" i="13"/>
  <c r="AF1188" i="13"/>
  <c r="AG1188" i="13"/>
  <c r="AH1188" i="13"/>
  <c r="W1187" i="13"/>
  <c r="AE1187" i="13" s="1"/>
  <c r="Z1187" i="13"/>
  <c r="AA1187" i="13"/>
  <c r="AB1187" i="13"/>
  <c r="AD1187" i="13"/>
  <c r="AF1187" i="13"/>
  <c r="AG1187" i="13"/>
  <c r="AH1187" i="13"/>
  <c r="W1186" i="13"/>
  <c r="AE1186" i="13" s="1"/>
  <c r="Z1186" i="13"/>
  <c r="AA1186" i="13"/>
  <c r="AB1186" i="13"/>
  <c r="AD1186" i="13"/>
  <c r="AF1186" i="13"/>
  <c r="AG1186" i="13"/>
  <c r="AH1186" i="13"/>
  <c r="X1187" i="13" l="1"/>
  <c r="AC1187" i="13" s="1"/>
  <c r="X1205" i="13"/>
  <c r="AC1205" i="13" s="1"/>
  <c r="X1186" i="13"/>
  <c r="AC1186" i="13" s="1"/>
  <c r="Y1187" i="13"/>
  <c r="X1189" i="13"/>
  <c r="AC1189" i="13" s="1"/>
  <c r="X1198" i="13"/>
  <c r="AC1198" i="13" s="1"/>
  <c r="Y1208" i="13"/>
  <c r="Y1186" i="13"/>
  <c r="Y1189" i="13"/>
  <c r="Y1198" i="13"/>
  <c r="X1208" i="13"/>
  <c r="AC1208" i="13" s="1"/>
  <c r="X1210" i="13"/>
  <c r="AC1210" i="13" s="1"/>
  <c r="X1188" i="13"/>
  <c r="AC1188" i="13" s="1"/>
  <c r="X1203" i="13"/>
  <c r="AC1203" i="13" s="1"/>
  <c r="AF1210" i="13"/>
  <c r="Y1210" i="13" s="1"/>
  <c r="Y1205" i="13"/>
  <c r="Y1188" i="13"/>
  <c r="Y1203" i="13"/>
  <c r="X1190" i="13"/>
  <c r="AC1190" i="13" s="1"/>
  <c r="X1197" i="13"/>
  <c r="AC1197" i="13" s="1"/>
  <c r="X1204" i="13"/>
  <c r="AC1204" i="13" s="1"/>
  <c r="X1207" i="13"/>
  <c r="AC1207" i="13" s="1"/>
  <c r="X1192" i="13"/>
  <c r="AC1192" i="13" s="1"/>
  <c r="X1193" i="13"/>
  <c r="AC1193" i="13" s="1"/>
  <c r="X1195" i="13"/>
  <c r="AC1195" i="13" s="1"/>
  <c r="X1201" i="13"/>
  <c r="AC1201" i="13" s="1"/>
  <c r="X1191" i="13"/>
  <c r="AC1191" i="13" s="1"/>
  <c r="X1194" i="13"/>
  <c r="AC1194" i="13" s="1"/>
  <c r="AF1195" i="13"/>
  <c r="Y1195" i="13" s="1"/>
  <c r="X1196" i="13"/>
  <c r="AC1196" i="13" s="1"/>
  <c r="X1200" i="13"/>
  <c r="AC1200" i="13" s="1"/>
  <c r="X1202" i="13"/>
  <c r="AC1202" i="13" s="1"/>
  <c r="X1206" i="13"/>
  <c r="AC1206" i="13" s="1"/>
  <c r="AF1207" i="13"/>
  <c r="Y1207" i="13" s="1"/>
  <c r="X1211" i="13"/>
  <c r="AC1211" i="13" s="1"/>
  <c r="Y1191" i="13"/>
  <c r="Y1193" i="13"/>
  <c r="Y1194" i="13"/>
  <c r="Y1196" i="13"/>
  <c r="Y1200" i="13"/>
  <c r="Y1202" i="13"/>
  <c r="Y1206" i="13"/>
  <c r="Y1211" i="13"/>
  <c r="Y1190" i="13"/>
  <c r="Y1192" i="13"/>
  <c r="Y1197" i="13"/>
  <c r="Y1201" i="13"/>
  <c r="Y1204" i="13"/>
  <c r="X1209" i="13"/>
  <c r="AC1209" i="13" s="1"/>
  <c r="Y1209" i="13"/>
  <c r="X1199" i="13"/>
  <c r="AC1199" i="13" s="1"/>
  <c r="Y1199" i="13"/>
  <c r="W1185" i="13"/>
  <c r="AE1185" i="13" s="1"/>
  <c r="Z1185" i="13"/>
  <c r="AA1185" i="13"/>
  <c r="AB1185" i="13"/>
  <c r="AD1185" i="13"/>
  <c r="AG1185" i="13"/>
  <c r="AH1185" i="13"/>
  <c r="W1184" i="13"/>
  <c r="AE1184" i="13" s="1"/>
  <c r="Z1184" i="13"/>
  <c r="AA1184" i="13"/>
  <c r="AB1184" i="13"/>
  <c r="AD1184" i="13"/>
  <c r="AF1184" i="13"/>
  <c r="AG1184" i="13"/>
  <c r="AH1184" i="13"/>
  <c r="W1183" i="13"/>
  <c r="AE1183" i="13" s="1"/>
  <c r="Z1183" i="13"/>
  <c r="AA1183" i="13"/>
  <c r="AB1183" i="13"/>
  <c r="AD1183" i="13"/>
  <c r="AF1183" i="13"/>
  <c r="AG1183" i="13"/>
  <c r="AH1183" i="13"/>
  <c r="W1182" i="13"/>
  <c r="AE1182" i="13" s="1"/>
  <c r="Z1182" i="13"/>
  <c r="AA1182" i="13"/>
  <c r="AB1182" i="13"/>
  <c r="AD1182" i="13"/>
  <c r="AF1182" i="13"/>
  <c r="AG1182" i="13"/>
  <c r="AH1182" i="13"/>
  <c r="W1181" i="13"/>
  <c r="AE1181" i="13" s="1"/>
  <c r="Z1181" i="13"/>
  <c r="AA1181" i="13"/>
  <c r="AB1181" i="13"/>
  <c r="AD1181" i="13"/>
  <c r="AG1181" i="13"/>
  <c r="AH1181" i="13"/>
  <c r="W1180" i="13"/>
  <c r="AE1180" i="13" s="1"/>
  <c r="Z1180" i="13"/>
  <c r="AA1180" i="13"/>
  <c r="AB1180" i="13"/>
  <c r="AD1180" i="13"/>
  <c r="AF1180" i="13"/>
  <c r="AG1180" i="13"/>
  <c r="AH1180" i="13"/>
  <c r="W1179" i="13"/>
  <c r="AE1179" i="13" s="1"/>
  <c r="Z1179" i="13"/>
  <c r="AA1179" i="13"/>
  <c r="AB1179" i="13"/>
  <c r="AD1179" i="13"/>
  <c r="AG1179" i="13"/>
  <c r="AH1179" i="13"/>
  <c r="W1178" i="13"/>
  <c r="AE1178" i="13" s="1"/>
  <c r="Z1178" i="13"/>
  <c r="AA1178" i="13"/>
  <c r="AB1178" i="13"/>
  <c r="AD1178" i="13"/>
  <c r="AF1178" i="13"/>
  <c r="AG1178" i="13"/>
  <c r="AH1178" i="13"/>
  <c r="W1177" i="13"/>
  <c r="AE1177" i="13" s="1"/>
  <c r="Z1177" i="13"/>
  <c r="AA1177" i="13"/>
  <c r="AB1177" i="13"/>
  <c r="AD1177" i="13"/>
  <c r="AF1177" i="13"/>
  <c r="AG1177" i="13"/>
  <c r="AH1177" i="13"/>
  <c r="W1176" i="13"/>
  <c r="AE1176" i="13" s="1"/>
  <c r="Z1176" i="13"/>
  <c r="AA1176" i="13"/>
  <c r="AB1176" i="13"/>
  <c r="AD1176" i="13"/>
  <c r="AF1176" i="13"/>
  <c r="AG1176" i="13"/>
  <c r="AH1176" i="13"/>
  <c r="W1175" i="13"/>
  <c r="AE1175" i="13" s="1"/>
  <c r="Z1175" i="13"/>
  <c r="AA1175" i="13"/>
  <c r="AB1175" i="13"/>
  <c r="AD1175" i="13"/>
  <c r="AG1175" i="13"/>
  <c r="AH1175" i="13"/>
  <c r="W1174" i="13"/>
  <c r="AE1174" i="13" s="1"/>
  <c r="Z1174" i="13"/>
  <c r="AA1174" i="13"/>
  <c r="AB1174" i="13"/>
  <c r="AD1174" i="13"/>
  <c r="AF1174" i="13"/>
  <c r="AG1174" i="13"/>
  <c r="AH1174" i="13"/>
  <c r="W1173" i="13"/>
  <c r="AE1173" i="13" s="1"/>
  <c r="Z1173" i="13"/>
  <c r="AA1173" i="13"/>
  <c r="AB1173" i="13"/>
  <c r="AD1173" i="13"/>
  <c r="AF1173" i="13"/>
  <c r="AG1173" i="13"/>
  <c r="AH1173" i="13"/>
  <c r="W1172" i="13"/>
  <c r="AE1172" i="13" s="1"/>
  <c r="Z1172" i="13"/>
  <c r="AA1172" i="13"/>
  <c r="AB1172" i="13"/>
  <c r="AD1172" i="13"/>
  <c r="AF1172" i="13"/>
  <c r="AG1172" i="13"/>
  <c r="AH1172" i="13"/>
  <c r="W1171" i="13"/>
  <c r="AE1171" i="13" s="1"/>
  <c r="Z1171" i="13"/>
  <c r="AA1171" i="13"/>
  <c r="AB1171" i="13"/>
  <c r="AD1171" i="13"/>
  <c r="AF1171" i="13"/>
  <c r="AG1171" i="13"/>
  <c r="AH1171" i="13"/>
  <c r="W1170" i="13"/>
  <c r="AE1170" i="13" s="1"/>
  <c r="Z1170" i="13"/>
  <c r="AF1170" i="13" s="1"/>
  <c r="AA1170" i="13"/>
  <c r="AB1170" i="13"/>
  <c r="AD1170" i="13"/>
  <c r="AG1170" i="13"/>
  <c r="AH1170" i="13"/>
  <c r="W1169" i="13"/>
  <c r="AE1169" i="13" s="1"/>
  <c r="Z1169" i="13"/>
  <c r="AA1169" i="13"/>
  <c r="AB1169" i="13"/>
  <c r="AD1169" i="13"/>
  <c r="AF1169" i="13"/>
  <c r="AG1169" i="13"/>
  <c r="AH1169" i="13"/>
  <c r="W1168" i="13"/>
  <c r="AE1168" i="13" s="1"/>
  <c r="Z1168" i="13"/>
  <c r="AA1168" i="13"/>
  <c r="AB1168" i="13"/>
  <c r="AD1168" i="13"/>
  <c r="AF1168" i="13"/>
  <c r="AG1168" i="13"/>
  <c r="AH1168" i="13"/>
  <c r="W1167" i="13"/>
  <c r="AE1167" i="13" s="1"/>
  <c r="Z1167" i="13"/>
  <c r="AA1167" i="13"/>
  <c r="AB1167" i="13"/>
  <c r="AD1167" i="13"/>
  <c r="AF1167" i="13"/>
  <c r="AG1167" i="13"/>
  <c r="AH1167" i="13"/>
  <c r="W1166" i="13"/>
  <c r="AE1166" i="13" s="1"/>
  <c r="Z1166" i="13"/>
  <c r="AA1166" i="13"/>
  <c r="AB1166" i="13"/>
  <c r="AD1166" i="13"/>
  <c r="AF1166" i="13"/>
  <c r="AG1166" i="13"/>
  <c r="AH1166" i="13"/>
  <c r="W1165" i="13"/>
  <c r="AE1165" i="13" s="1"/>
  <c r="Z1165" i="13"/>
  <c r="AA1165" i="13"/>
  <c r="AB1165" i="13"/>
  <c r="AD1165" i="13"/>
  <c r="AF1165" i="13"/>
  <c r="AG1165" i="13"/>
  <c r="AH1165" i="13"/>
  <c r="W1164" i="13"/>
  <c r="AE1164" i="13" s="1"/>
  <c r="Z1164" i="13"/>
  <c r="AA1164" i="13"/>
  <c r="AB1164" i="13"/>
  <c r="AD1164" i="13"/>
  <c r="AG1164" i="13"/>
  <c r="AH1164" i="13"/>
  <c r="W1163" i="13"/>
  <c r="AE1163" i="13" s="1"/>
  <c r="Z1163" i="13"/>
  <c r="AA1163" i="13"/>
  <c r="AB1163" i="13"/>
  <c r="AD1163" i="13"/>
  <c r="AG1163" i="13"/>
  <c r="AH1163" i="13"/>
  <c r="W1162" i="13"/>
  <c r="AE1162" i="13" s="1"/>
  <c r="Z1162" i="13"/>
  <c r="AA1162" i="13"/>
  <c r="AB1162" i="13"/>
  <c r="AD1162" i="13"/>
  <c r="AF1162" i="13"/>
  <c r="AG1162" i="13"/>
  <c r="AH1162" i="13"/>
  <c r="W1161" i="13"/>
  <c r="AE1161" i="13" s="1"/>
  <c r="Z1161" i="13"/>
  <c r="AA1161" i="13"/>
  <c r="AB1161" i="13"/>
  <c r="AD1161" i="13"/>
  <c r="AF1161" i="13"/>
  <c r="AG1161" i="13"/>
  <c r="AH1161" i="13"/>
  <c r="W1160" i="13"/>
  <c r="AE1160" i="13" s="1"/>
  <c r="Z1160" i="13"/>
  <c r="AA1160" i="13"/>
  <c r="AB1160" i="13"/>
  <c r="AD1160" i="13"/>
  <c r="AF1160" i="13"/>
  <c r="AG1160" i="13"/>
  <c r="AH1160" i="13"/>
  <c r="W1159" i="13"/>
  <c r="AE1159" i="13" s="1"/>
  <c r="Z1159" i="13"/>
  <c r="AA1159" i="13"/>
  <c r="AB1159" i="13"/>
  <c r="AD1159" i="13"/>
  <c r="AG1159" i="13"/>
  <c r="AH1159" i="13"/>
  <c r="W1158" i="13"/>
  <c r="AE1158" i="13" s="1"/>
  <c r="Z1158" i="13"/>
  <c r="AA1158" i="13"/>
  <c r="AB1158" i="13"/>
  <c r="AD1158" i="13"/>
  <c r="AF1158" i="13"/>
  <c r="AG1158" i="13"/>
  <c r="AH1158" i="13"/>
  <c r="W1157" i="13"/>
  <c r="AE1157" i="13" s="1"/>
  <c r="Z1157" i="13"/>
  <c r="AA1157" i="13"/>
  <c r="AB1157" i="13"/>
  <c r="AD1157" i="13"/>
  <c r="AF1157" i="13"/>
  <c r="AG1157" i="13"/>
  <c r="AH1157" i="13"/>
  <c r="W1156" i="13"/>
  <c r="AE1156" i="13" s="1"/>
  <c r="Z1156" i="13"/>
  <c r="AA1156" i="13"/>
  <c r="AB1156" i="13"/>
  <c r="AD1156" i="13"/>
  <c r="AG1156" i="13"/>
  <c r="AH1156" i="13"/>
  <c r="W1155" i="13"/>
  <c r="AE1155" i="13" s="1"/>
  <c r="Z1155" i="13"/>
  <c r="AA1155" i="13"/>
  <c r="AB1155" i="13"/>
  <c r="AD1155" i="13"/>
  <c r="AG1155" i="13"/>
  <c r="AH1155" i="13"/>
  <c r="W1154" i="13"/>
  <c r="AE1154" i="13" s="1"/>
  <c r="Z1154" i="13"/>
  <c r="AA1154" i="13"/>
  <c r="AB1154" i="13"/>
  <c r="AD1154" i="13"/>
  <c r="AG1154" i="13"/>
  <c r="AH1154" i="13"/>
  <c r="W1153" i="13"/>
  <c r="AE1153" i="13" s="1"/>
  <c r="Z1153" i="13"/>
  <c r="AA1153" i="13"/>
  <c r="AB1153" i="13"/>
  <c r="AD1153" i="13"/>
  <c r="AF1153" i="13"/>
  <c r="AG1153" i="13"/>
  <c r="AH1153" i="13"/>
  <c r="X1165" i="13" l="1"/>
  <c r="AC1165" i="13" s="1"/>
  <c r="Y1165" i="13"/>
  <c r="X1162" i="13"/>
  <c r="AC1162" i="13" s="1"/>
  <c r="X1164" i="13"/>
  <c r="AC1164" i="13" s="1"/>
  <c r="X1160" i="13"/>
  <c r="AC1160" i="13" s="1"/>
  <c r="AF1164" i="13"/>
  <c r="Y1164" i="13" s="1"/>
  <c r="X1172" i="13"/>
  <c r="AC1172" i="13" s="1"/>
  <c r="Y1162" i="13"/>
  <c r="Y1160" i="13"/>
  <c r="Y1172" i="13"/>
  <c r="X1177" i="13"/>
  <c r="AC1177" i="13" s="1"/>
  <c r="X1179" i="13"/>
  <c r="AC1179" i="13" s="1"/>
  <c r="X1156" i="13"/>
  <c r="AC1156" i="13" s="1"/>
  <c r="X1183" i="13"/>
  <c r="AC1183" i="13" s="1"/>
  <c r="X1169" i="13"/>
  <c r="AC1169" i="13" s="1"/>
  <c r="X1181" i="13"/>
  <c r="AC1181" i="13" s="1"/>
  <c r="X1159" i="13"/>
  <c r="AC1159" i="13" s="1"/>
  <c r="X1163" i="13"/>
  <c r="AC1163" i="13" s="1"/>
  <c r="X1154" i="13"/>
  <c r="AC1154" i="13" s="1"/>
  <c r="X1167" i="13"/>
  <c r="AC1167" i="13" s="1"/>
  <c r="X1171" i="13"/>
  <c r="AC1171" i="13" s="1"/>
  <c r="X1175" i="13"/>
  <c r="AC1175" i="13" s="1"/>
  <c r="X1185" i="13"/>
  <c r="AC1185" i="13" s="1"/>
  <c r="AF1154" i="13"/>
  <c r="Y1154" i="13" s="1"/>
  <c r="AF1156" i="13"/>
  <c r="Y1156" i="13" s="1"/>
  <c r="X1158" i="13"/>
  <c r="AC1158" i="13" s="1"/>
  <c r="AF1159" i="13"/>
  <c r="Y1159" i="13" s="1"/>
  <c r="X1161" i="13"/>
  <c r="AC1161" i="13" s="1"/>
  <c r="AF1163" i="13"/>
  <c r="Y1163" i="13" s="1"/>
  <c r="X1166" i="13"/>
  <c r="AC1166" i="13" s="1"/>
  <c r="X1168" i="13"/>
  <c r="AC1168" i="13" s="1"/>
  <c r="X1170" i="13"/>
  <c r="AC1170" i="13" s="1"/>
  <c r="X1173" i="13"/>
  <c r="AC1173" i="13" s="1"/>
  <c r="AF1175" i="13"/>
  <c r="Y1175" i="13" s="1"/>
  <c r="X1176" i="13"/>
  <c r="AC1176" i="13" s="1"/>
  <c r="X1178" i="13"/>
  <c r="AC1178" i="13" s="1"/>
  <c r="AF1179" i="13"/>
  <c r="Y1179" i="13" s="1"/>
  <c r="X1180" i="13"/>
  <c r="AC1180" i="13" s="1"/>
  <c r="AF1181" i="13"/>
  <c r="Y1181" i="13" s="1"/>
  <c r="X1182" i="13"/>
  <c r="AC1182" i="13" s="1"/>
  <c r="X1184" i="13"/>
  <c r="AC1184" i="13" s="1"/>
  <c r="AF1185" i="13"/>
  <c r="Y1185" i="13" s="1"/>
  <c r="Y1153" i="13"/>
  <c r="Y1167" i="13"/>
  <c r="Y1169" i="13"/>
  <c r="Y1171" i="13"/>
  <c r="Y1177" i="13"/>
  <c r="Y1183" i="13"/>
  <c r="Y1158" i="13"/>
  <c r="Y1161" i="13"/>
  <c r="Y1166" i="13"/>
  <c r="Y1168" i="13"/>
  <c r="Y1170" i="13"/>
  <c r="Y1173" i="13"/>
  <c r="Y1176" i="13"/>
  <c r="Y1178" i="13"/>
  <c r="Y1180" i="13"/>
  <c r="Y1182" i="13"/>
  <c r="Y1184" i="13"/>
  <c r="X1174" i="13"/>
  <c r="AC1174" i="13" s="1"/>
  <c r="Y1174" i="13"/>
  <c r="X1155" i="13"/>
  <c r="AC1155" i="13" s="1"/>
  <c r="Y1157" i="13"/>
  <c r="AF1155" i="13"/>
  <c r="Y1155" i="13" s="1"/>
  <c r="X1157" i="13"/>
  <c r="AC1157" i="13" s="1"/>
  <c r="X1153" i="13"/>
  <c r="AC1153" i="13" s="1"/>
  <c r="W1152" i="13"/>
  <c r="AE1152" i="13" s="1"/>
  <c r="Z1152" i="13"/>
  <c r="AA1152" i="13"/>
  <c r="AB1152" i="13"/>
  <c r="AD1152" i="13"/>
  <c r="AF1152" i="13"/>
  <c r="AG1152" i="13"/>
  <c r="AH1152" i="13"/>
  <c r="W1151" i="13"/>
  <c r="AE1151" i="13" s="1"/>
  <c r="Z1151" i="13"/>
  <c r="AA1151" i="13"/>
  <c r="AB1151" i="13"/>
  <c r="AD1151" i="13"/>
  <c r="AF1151" i="13"/>
  <c r="AG1151" i="13"/>
  <c r="AH1151" i="13"/>
  <c r="W1150" i="13"/>
  <c r="AE1150" i="13" s="1"/>
  <c r="Z1150" i="13"/>
  <c r="AA1150" i="13"/>
  <c r="AB1150" i="13"/>
  <c r="AD1150" i="13"/>
  <c r="AF1150" i="13"/>
  <c r="AG1150" i="13"/>
  <c r="AH1150" i="13"/>
  <c r="W1149" i="13"/>
  <c r="AE1149" i="13" s="1"/>
  <c r="Z1149" i="13"/>
  <c r="AA1149" i="13"/>
  <c r="AB1149" i="13"/>
  <c r="AD1149" i="13"/>
  <c r="AF1149" i="13"/>
  <c r="AG1149" i="13"/>
  <c r="AH1149" i="13"/>
  <c r="W1148" i="13"/>
  <c r="AE1148" i="13" s="1"/>
  <c r="Z1148" i="13"/>
  <c r="AA1148" i="13"/>
  <c r="AB1148" i="13"/>
  <c r="AD1148" i="13"/>
  <c r="AF1148" i="13"/>
  <c r="AG1148" i="13"/>
  <c r="AH1148" i="13"/>
  <c r="W1147" i="13"/>
  <c r="AE1147" i="13" s="1"/>
  <c r="Z1147" i="13"/>
  <c r="AA1147" i="13"/>
  <c r="AB1147" i="13"/>
  <c r="AD1147" i="13"/>
  <c r="AF1147" i="13"/>
  <c r="AG1147" i="13"/>
  <c r="AH1147" i="13"/>
  <c r="W1146" i="13"/>
  <c r="AE1146" i="13" s="1"/>
  <c r="Z1146" i="13"/>
  <c r="AA1146" i="13"/>
  <c r="AB1146" i="13"/>
  <c r="AD1146" i="13"/>
  <c r="AF1146" i="13"/>
  <c r="AG1146" i="13"/>
  <c r="AH1146" i="13"/>
  <c r="W1145" i="13"/>
  <c r="AE1145" i="13" s="1"/>
  <c r="Z1145" i="13"/>
  <c r="AA1145" i="13"/>
  <c r="AB1145" i="13"/>
  <c r="AD1145" i="13"/>
  <c r="AF1145" i="13"/>
  <c r="AG1145" i="13"/>
  <c r="AH1145" i="13"/>
  <c r="W1144" i="13"/>
  <c r="AE1144" i="13" s="1"/>
  <c r="Z1144" i="13"/>
  <c r="AA1144" i="13"/>
  <c r="AB1144" i="13"/>
  <c r="AD1144" i="13"/>
  <c r="AF1144" i="13"/>
  <c r="AG1144" i="13"/>
  <c r="AH1144" i="13"/>
  <c r="W1143" i="13"/>
  <c r="AE1143" i="13" s="1"/>
  <c r="Z1143" i="13"/>
  <c r="AA1143" i="13"/>
  <c r="AB1143" i="13"/>
  <c r="AD1143" i="13"/>
  <c r="AF1143" i="13"/>
  <c r="AG1143" i="13"/>
  <c r="AH1143" i="13"/>
  <c r="W1142" i="13"/>
  <c r="AE1142" i="13" s="1"/>
  <c r="Z1142" i="13"/>
  <c r="AA1142" i="13"/>
  <c r="AB1142" i="13"/>
  <c r="AD1142" i="13"/>
  <c r="AF1142" i="13"/>
  <c r="AG1142" i="13"/>
  <c r="AH1142" i="13"/>
  <c r="W1141" i="13"/>
  <c r="AE1141" i="13" s="1"/>
  <c r="Z1141" i="13"/>
  <c r="AA1141" i="13"/>
  <c r="AB1141" i="13"/>
  <c r="AD1141" i="13"/>
  <c r="AF1141" i="13"/>
  <c r="AG1141" i="13"/>
  <c r="AH1141" i="13"/>
  <c r="W1140" i="13"/>
  <c r="AE1140" i="13" s="1"/>
  <c r="Z1140" i="13"/>
  <c r="AA1140" i="13"/>
  <c r="AB1140" i="13"/>
  <c r="AD1140" i="13"/>
  <c r="AF1140" i="13"/>
  <c r="AG1140" i="13"/>
  <c r="AH1140" i="13"/>
  <c r="W1139" i="13"/>
  <c r="AE1139" i="13" s="1"/>
  <c r="Z1139" i="13"/>
  <c r="AA1139" i="13"/>
  <c r="AB1139" i="13"/>
  <c r="AD1139" i="13"/>
  <c r="AF1139" i="13"/>
  <c r="AG1139" i="13"/>
  <c r="AH1139" i="13"/>
  <c r="W1138" i="13"/>
  <c r="AE1138" i="13" s="1"/>
  <c r="Z1138" i="13"/>
  <c r="AA1138" i="13"/>
  <c r="AB1138" i="13"/>
  <c r="AD1138" i="13"/>
  <c r="AF1138" i="13"/>
  <c r="AG1138" i="13"/>
  <c r="AH1138" i="13"/>
  <c r="W1137" i="13"/>
  <c r="AE1137" i="13" s="1"/>
  <c r="Z1137" i="13"/>
  <c r="AA1137" i="13"/>
  <c r="AB1137" i="13"/>
  <c r="AD1137" i="13"/>
  <c r="AF1137" i="13"/>
  <c r="AG1137" i="13"/>
  <c r="AH1137" i="13"/>
  <c r="W1136" i="13"/>
  <c r="AE1136" i="13" s="1"/>
  <c r="Z1136" i="13"/>
  <c r="AA1136" i="13"/>
  <c r="AB1136" i="13"/>
  <c r="AD1136" i="13"/>
  <c r="AF1136" i="13"/>
  <c r="AG1136" i="13"/>
  <c r="AH1136" i="13"/>
  <c r="W1135" i="13"/>
  <c r="AE1135" i="13" s="1"/>
  <c r="Z1135" i="13"/>
  <c r="AA1135" i="13"/>
  <c r="AB1135" i="13"/>
  <c r="AD1135" i="13"/>
  <c r="AF1135" i="13"/>
  <c r="AG1135" i="13"/>
  <c r="AH1135" i="13"/>
  <c r="W1134" i="13"/>
  <c r="AE1134" i="13" s="1"/>
  <c r="Z1134" i="13"/>
  <c r="AA1134" i="13"/>
  <c r="AB1134" i="13"/>
  <c r="AD1134" i="13"/>
  <c r="AF1134" i="13"/>
  <c r="AG1134" i="13"/>
  <c r="AH1134" i="13"/>
  <c r="W1133" i="13"/>
  <c r="AE1133" i="13" s="1"/>
  <c r="Z1133" i="13"/>
  <c r="AA1133" i="13"/>
  <c r="AB1133" i="13"/>
  <c r="AD1133" i="13"/>
  <c r="AF1133" i="13"/>
  <c r="AG1133" i="13"/>
  <c r="AH1133" i="13"/>
  <c r="W1132" i="13"/>
  <c r="AE1132" i="13" s="1"/>
  <c r="Z1132" i="13"/>
  <c r="AA1132" i="13"/>
  <c r="AB1132" i="13"/>
  <c r="AD1132" i="13"/>
  <c r="AF1132" i="13"/>
  <c r="AG1132" i="13"/>
  <c r="AH1132" i="13"/>
  <c r="W1131" i="13"/>
  <c r="AE1131" i="13" s="1"/>
  <c r="Z1131" i="13"/>
  <c r="AA1131" i="13"/>
  <c r="AB1131" i="13"/>
  <c r="AD1131" i="13"/>
  <c r="AF1131" i="13"/>
  <c r="AG1131" i="13"/>
  <c r="AH1131" i="13"/>
  <c r="X1152" i="13" l="1"/>
  <c r="AC1152" i="13" s="1"/>
  <c r="X1150" i="13"/>
  <c r="AC1150" i="13" s="1"/>
  <c r="Y1150" i="13"/>
  <c r="Y1152" i="13"/>
  <c r="X1145" i="13"/>
  <c r="AC1145" i="13" s="1"/>
  <c r="X1137" i="13"/>
  <c r="AC1137" i="13" s="1"/>
  <c r="X1132" i="13"/>
  <c r="AC1132" i="13" s="1"/>
  <c r="X1141" i="13"/>
  <c r="AC1141" i="13" s="1"/>
  <c r="X1149" i="13"/>
  <c r="AC1149" i="13" s="1"/>
  <c r="X1135" i="13"/>
  <c r="AC1135" i="13" s="1"/>
  <c r="X1139" i="13"/>
  <c r="AC1139" i="13" s="1"/>
  <c r="X1143" i="13"/>
  <c r="AC1143" i="13" s="1"/>
  <c r="X1147" i="13"/>
  <c r="AC1147" i="13" s="1"/>
  <c r="X1131" i="13"/>
  <c r="AC1131" i="13" s="1"/>
  <c r="X1134" i="13"/>
  <c r="AC1134" i="13" s="1"/>
  <c r="X1136" i="13"/>
  <c r="AC1136" i="13" s="1"/>
  <c r="X1138" i="13"/>
  <c r="AC1138" i="13" s="1"/>
  <c r="X1140" i="13"/>
  <c r="AC1140" i="13" s="1"/>
  <c r="X1142" i="13"/>
  <c r="AC1142" i="13" s="1"/>
  <c r="X1144" i="13"/>
  <c r="AC1144" i="13" s="1"/>
  <c r="X1146" i="13"/>
  <c r="AC1146" i="13" s="1"/>
  <c r="X1148" i="13"/>
  <c r="AC1148" i="13" s="1"/>
  <c r="X1151" i="13"/>
  <c r="AC1151" i="13" s="1"/>
  <c r="Y1132" i="13"/>
  <c r="Y1135" i="13"/>
  <c r="Y1137" i="13"/>
  <c r="Y1139" i="13"/>
  <c r="Y1141" i="13"/>
  <c r="Y1143" i="13"/>
  <c r="Y1145" i="13"/>
  <c r="Y1147" i="13"/>
  <c r="Y1149" i="13"/>
  <c r="Y1131" i="13"/>
  <c r="Y1133" i="13"/>
  <c r="Y1134" i="13"/>
  <c r="Y1136" i="13"/>
  <c r="Y1138" i="13"/>
  <c r="Y1140" i="13"/>
  <c r="Y1142" i="13"/>
  <c r="Y1144" i="13"/>
  <c r="Y1146" i="13"/>
  <c r="Y1148" i="13"/>
  <c r="Y1151" i="13"/>
  <c r="X1133" i="13"/>
  <c r="AC1133" i="13" s="1"/>
  <c r="W1130" i="13"/>
  <c r="AE1130" i="13" s="1"/>
  <c r="Z1130" i="13"/>
  <c r="AA1130" i="13"/>
  <c r="AB1130" i="13"/>
  <c r="AD1130" i="13"/>
  <c r="AF1130" i="13"/>
  <c r="AG1130" i="13"/>
  <c r="AH1130" i="13"/>
  <c r="W1129" i="13"/>
  <c r="AE1129" i="13" s="1"/>
  <c r="Z1129" i="13"/>
  <c r="AA1129" i="13"/>
  <c r="AB1129" i="13"/>
  <c r="AD1129" i="13"/>
  <c r="AG1129" i="13"/>
  <c r="AH1129" i="13"/>
  <c r="W1128" i="13"/>
  <c r="AE1128" i="13" s="1"/>
  <c r="Z1128" i="13"/>
  <c r="AA1128" i="13"/>
  <c r="AB1128" i="13"/>
  <c r="AD1128" i="13"/>
  <c r="AG1128" i="13"/>
  <c r="AH1128" i="13"/>
  <c r="X1128" i="13" l="1"/>
  <c r="AC1128" i="13" s="1"/>
  <c r="AF1128" i="13"/>
  <c r="Y1128" i="13" s="1"/>
  <c r="X1129" i="13"/>
  <c r="AC1129" i="13" s="1"/>
  <c r="Y1130" i="13"/>
  <c r="AF1129" i="13"/>
  <c r="Y1129" i="13" s="1"/>
  <c r="X1130" i="13"/>
  <c r="AC1130" i="13" s="1"/>
  <c r="W1127" i="13"/>
  <c r="AE1127" i="13" s="1"/>
  <c r="Z1127" i="13"/>
  <c r="AA1127" i="13"/>
  <c r="AB1127" i="13"/>
  <c r="AD1127" i="13"/>
  <c r="AF1127" i="13"/>
  <c r="AG1127" i="13"/>
  <c r="AH1127" i="13"/>
  <c r="W1126" i="13"/>
  <c r="AE1126" i="13" s="1"/>
  <c r="Z1126" i="13"/>
  <c r="AA1126" i="13"/>
  <c r="AB1126" i="13"/>
  <c r="AD1126" i="13"/>
  <c r="AF1126" i="13"/>
  <c r="AG1126" i="13"/>
  <c r="AH1126" i="13"/>
  <c r="W1125" i="13"/>
  <c r="AE1125" i="13" s="1"/>
  <c r="Z1125" i="13"/>
  <c r="AA1125" i="13"/>
  <c r="AB1125" i="13"/>
  <c r="AD1125" i="13"/>
  <c r="AF1125" i="13"/>
  <c r="AG1125" i="13"/>
  <c r="AH1125" i="13"/>
  <c r="W1124" i="13"/>
  <c r="AE1124" i="13" s="1"/>
  <c r="Z1124" i="13"/>
  <c r="AA1124" i="13"/>
  <c r="AB1124" i="13"/>
  <c r="AD1124" i="13"/>
  <c r="AF1124" i="13"/>
  <c r="AG1124" i="13"/>
  <c r="AH1124" i="13"/>
  <c r="W1123" i="13"/>
  <c r="AE1123" i="13" s="1"/>
  <c r="Z1123" i="13"/>
  <c r="AA1123" i="13"/>
  <c r="AB1123" i="13"/>
  <c r="AD1123" i="13"/>
  <c r="AG1123" i="13"/>
  <c r="AH1123" i="13"/>
  <c r="W1122" i="13"/>
  <c r="AE1122" i="13" s="1"/>
  <c r="Z1122" i="13"/>
  <c r="AA1122" i="13"/>
  <c r="AB1122" i="13"/>
  <c r="AD1122" i="13"/>
  <c r="AF1122" i="13"/>
  <c r="AG1122" i="13"/>
  <c r="AH1122" i="13"/>
  <c r="W1121" i="13"/>
  <c r="AE1121" i="13" s="1"/>
  <c r="Z1121" i="13"/>
  <c r="AA1121" i="13"/>
  <c r="AB1121" i="13"/>
  <c r="AD1121" i="13"/>
  <c r="AG1121" i="13"/>
  <c r="AH1121" i="13"/>
  <c r="W1120" i="13"/>
  <c r="AE1120" i="13" s="1"/>
  <c r="Z1120" i="13"/>
  <c r="AA1120" i="13"/>
  <c r="AB1120" i="13"/>
  <c r="AD1120" i="13"/>
  <c r="AF1120" i="13"/>
  <c r="AG1120" i="13"/>
  <c r="AH1120" i="13"/>
  <c r="W1119" i="13"/>
  <c r="AE1119" i="13" s="1"/>
  <c r="Z1119" i="13"/>
  <c r="AA1119" i="13"/>
  <c r="AB1119" i="13"/>
  <c r="AD1119" i="13"/>
  <c r="AF1119" i="13"/>
  <c r="AG1119" i="13"/>
  <c r="AH1119" i="13"/>
  <c r="W1118" i="13"/>
  <c r="AE1118" i="13" s="1"/>
  <c r="Z1118" i="13"/>
  <c r="AA1118" i="13"/>
  <c r="AB1118" i="13"/>
  <c r="AD1118" i="13"/>
  <c r="AF1118" i="13"/>
  <c r="AG1118" i="13"/>
  <c r="AH1118" i="13"/>
  <c r="X1121" i="13" l="1"/>
  <c r="AC1121" i="13" s="1"/>
  <c r="X1123" i="13"/>
  <c r="AC1123" i="13" s="1"/>
  <c r="Y1122" i="13"/>
  <c r="AF1121" i="13"/>
  <c r="X1122" i="13"/>
  <c r="AC1122" i="13" s="1"/>
  <c r="AF1123" i="13"/>
  <c r="Y1123" i="13" s="1"/>
  <c r="X1127" i="13"/>
  <c r="AC1127" i="13" s="1"/>
  <c r="Y1121" i="13"/>
  <c r="Y1127" i="13"/>
  <c r="Y1126" i="13"/>
  <c r="X1126" i="13"/>
  <c r="AC1126" i="13" s="1"/>
  <c r="X1119" i="13"/>
  <c r="AC1119" i="13" s="1"/>
  <c r="X1125" i="13"/>
  <c r="AC1125" i="13" s="1"/>
  <c r="X1118" i="13"/>
  <c r="AC1118" i="13" s="1"/>
  <c r="Y1119" i="13"/>
  <c r="X1120" i="13"/>
  <c r="AC1120" i="13" s="1"/>
  <c r="Y1125" i="13"/>
  <c r="Y1118" i="13"/>
  <c r="Y1120" i="13"/>
  <c r="X1124" i="13"/>
  <c r="AC1124" i="13" s="1"/>
  <c r="Y1124" i="13"/>
  <c r="W1117" i="13"/>
  <c r="AE1117" i="13" s="1"/>
  <c r="Z1117" i="13"/>
  <c r="AA1117" i="13"/>
  <c r="AB1117" i="13"/>
  <c r="AD1117" i="13"/>
  <c r="AF1117" i="13"/>
  <c r="AG1117" i="13"/>
  <c r="AH1117" i="13"/>
  <c r="W1116" i="13"/>
  <c r="AE1116" i="13" s="1"/>
  <c r="Z1116" i="13"/>
  <c r="AA1116" i="13"/>
  <c r="AB1116" i="13"/>
  <c r="AD1116" i="13"/>
  <c r="AF1116" i="13"/>
  <c r="AG1116" i="13"/>
  <c r="AH1116" i="13"/>
  <c r="W1115" i="13"/>
  <c r="AE1115" i="13" s="1"/>
  <c r="Z1115" i="13"/>
  <c r="AA1115" i="13"/>
  <c r="AB1115" i="13"/>
  <c r="AD1115" i="13"/>
  <c r="AF1115" i="13"/>
  <c r="AG1115" i="13"/>
  <c r="AH1115" i="13"/>
  <c r="W1114" i="13"/>
  <c r="AE1114" i="13" s="1"/>
  <c r="Z1114" i="13"/>
  <c r="AA1114" i="13"/>
  <c r="AB1114" i="13"/>
  <c r="AD1114" i="13"/>
  <c r="AG1114" i="13"/>
  <c r="AH1114" i="13"/>
  <c r="W1113" i="13"/>
  <c r="AE1113" i="13" s="1"/>
  <c r="Z1113" i="13"/>
  <c r="AA1113" i="13"/>
  <c r="AB1113" i="13"/>
  <c r="AD1113" i="13"/>
  <c r="AF1113" i="13"/>
  <c r="AG1113" i="13"/>
  <c r="AH1113" i="13"/>
  <c r="W1112" i="13"/>
  <c r="AE1112" i="13" s="1"/>
  <c r="Z1112" i="13"/>
  <c r="AA1112" i="13"/>
  <c r="AB1112" i="13"/>
  <c r="AD1112" i="13"/>
  <c r="AF1112" i="13"/>
  <c r="AG1112" i="13"/>
  <c r="AH1112" i="13"/>
  <c r="W1111" i="13"/>
  <c r="AE1111" i="13" s="1"/>
  <c r="Z1111" i="13"/>
  <c r="AA1111" i="13"/>
  <c r="AB1111" i="13"/>
  <c r="AD1111" i="13"/>
  <c r="AF1111" i="13"/>
  <c r="AG1111" i="13"/>
  <c r="AH1111" i="13"/>
  <c r="W1110" i="13"/>
  <c r="AE1110" i="13" s="1"/>
  <c r="Z1110" i="13"/>
  <c r="AA1110" i="13"/>
  <c r="AB1110" i="13"/>
  <c r="AD1110" i="13"/>
  <c r="AF1110" i="13"/>
  <c r="AG1110" i="13"/>
  <c r="AH1110" i="13"/>
  <c r="W1109" i="13"/>
  <c r="AE1109" i="13" s="1"/>
  <c r="Z1109" i="13"/>
  <c r="AA1109" i="13"/>
  <c r="AB1109" i="13"/>
  <c r="AD1109" i="13"/>
  <c r="AF1109" i="13"/>
  <c r="AG1109" i="13"/>
  <c r="AH1109" i="13"/>
  <c r="W1108" i="13"/>
  <c r="AE1108" i="13" s="1"/>
  <c r="Z1108" i="13"/>
  <c r="AA1108" i="13"/>
  <c r="AB1108" i="13"/>
  <c r="AD1108" i="13"/>
  <c r="AG1108" i="13"/>
  <c r="AH1108" i="13"/>
  <c r="W1107" i="13"/>
  <c r="AE1107" i="13" s="1"/>
  <c r="Z1107" i="13"/>
  <c r="AA1107" i="13"/>
  <c r="AB1107" i="13"/>
  <c r="AD1107" i="13"/>
  <c r="AF1107" i="13"/>
  <c r="AG1107" i="13"/>
  <c r="AH1107" i="13"/>
  <c r="W1106" i="13"/>
  <c r="AE1106" i="13" s="1"/>
  <c r="Z1106" i="13"/>
  <c r="AA1106" i="13"/>
  <c r="AB1106" i="13"/>
  <c r="AD1106" i="13"/>
  <c r="AF1106" i="13"/>
  <c r="AG1106" i="13"/>
  <c r="AH1106" i="13"/>
  <c r="W1105" i="13"/>
  <c r="AE1105" i="13" s="1"/>
  <c r="Z1105" i="13"/>
  <c r="AA1105" i="13"/>
  <c r="AB1105" i="13"/>
  <c r="AD1105" i="13"/>
  <c r="AF1105" i="13"/>
  <c r="AG1105" i="13"/>
  <c r="AH1105" i="13"/>
  <c r="W1104" i="13"/>
  <c r="AE1104" i="13" s="1"/>
  <c r="Z1104" i="13"/>
  <c r="AA1104" i="13"/>
  <c r="AB1104" i="13"/>
  <c r="AD1104" i="13"/>
  <c r="AF1104" i="13"/>
  <c r="AG1104" i="13"/>
  <c r="AH1104" i="13"/>
  <c r="W1103" i="13"/>
  <c r="AE1103" i="13" s="1"/>
  <c r="Z1103" i="13"/>
  <c r="AA1103" i="13"/>
  <c r="AB1103" i="13"/>
  <c r="AD1103" i="13"/>
  <c r="AF1103" i="13"/>
  <c r="AG1103" i="13"/>
  <c r="AH1103" i="13"/>
  <c r="W1102" i="13"/>
  <c r="AE1102" i="13" s="1"/>
  <c r="Z1102" i="13"/>
  <c r="AA1102" i="13"/>
  <c r="AB1102" i="13"/>
  <c r="AD1102" i="13"/>
  <c r="AF1102" i="13"/>
  <c r="AG1102" i="13"/>
  <c r="AH1102" i="13"/>
  <c r="W1101" i="13"/>
  <c r="AE1101" i="13" s="1"/>
  <c r="Z1101" i="13"/>
  <c r="AA1101" i="13"/>
  <c r="AB1101" i="13"/>
  <c r="AD1101" i="13"/>
  <c r="AF1101" i="13"/>
  <c r="AG1101" i="13"/>
  <c r="AH1101" i="13"/>
  <c r="W1100" i="13"/>
  <c r="AE1100" i="13" s="1"/>
  <c r="Z1100" i="13"/>
  <c r="AA1100" i="13"/>
  <c r="AB1100" i="13"/>
  <c r="AD1100" i="13"/>
  <c r="AG1100" i="13"/>
  <c r="AH1100" i="13"/>
  <c r="W1099" i="13"/>
  <c r="AE1099" i="13" s="1"/>
  <c r="Z1099" i="13"/>
  <c r="AA1099" i="13"/>
  <c r="AB1099" i="13"/>
  <c r="AD1099" i="13"/>
  <c r="AF1099" i="13"/>
  <c r="AG1099" i="13"/>
  <c r="AH1099" i="13"/>
  <c r="W1098" i="13"/>
  <c r="AE1098" i="13" s="1"/>
  <c r="Z1098" i="13"/>
  <c r="AA1098" i="13"/>
  <c r="AB1098" i="13"/>
  <c r="AD1098" i="13"/>
  <c r="AF1098" i="13"/>
  <c r="AG1098" i="13"/>
  <c r="AH1098" i="13"/>
  <c r="W1097" i="13"/>
  <c r="AE1097" i="13" s="1"/>
  <c r="Z1097" i="13"/>
  <c r="AA1097" i="13"/>
  <c r="AB1097" i="13"/>
  <c r="AD1097" i="13"/>
  <c r="AF1097" i="13"/>
  <c r="AG1097" i="13"/>
  <c r="AH1097" i="13"/>
  <c r="W1096" i="13"/>
  <c r="AE1096" i="13" s="1"/>
  <c r="Z1096" i="13"/>
  <c r="AA1096" i="13"/>
  <c r="AB1096" i="13"/>
  <c r="AD1096" i="13"/>
  <c r="AF1096" i="13"/>
  <c r="AG1096" i="13"/>
  <c r="AH1096" i="13"/>
  <c r="W1095" i="13"/>
  <c r="AE1095" i="13" s="1"/>
  <c r="Z1095" i="13"/>
  <c r="AA1095" i="13"/>
  <c r="AB1095" i="13"/>
  <c r="AD1095" i="13"/>
  <c r="AF1095" i="13"/>
  <c r="AG1095" i="13"/>
  <c r="AH1095" i="13"/>
  <c r="W1094" i="13"/>
  <c r="AE1094" i="13" s="1"/>
  <c r="Z1094" i="13"/>
  <c r="AA1094" i="13"/>
  <c r="AB1094" i="13"/>
  <c r="AD1094" i="13"/>
  <c r="AF1094" i="13"/>
  <c r="AG1094" i="13"/>
  <c r="AH1094" i="13"/>
  <c r="W1093" i="13"/>
  <c r="AE1093" i="13" s="1"/>
  <c r="Z1093" i="13"/>
  <c r="AA1093" i="13"/>
  <c r="AB1093" i="13"/>
  <c r="AD1093" i="13"/>
  <c r="AF1093" i="13"/>
  <c r="AG1093" i="13"/>
  <c r="AH1093" i="13"/>
  <c r="W1092" i="13"/>
  <c r="AE1092" i="13" s="1"/>
  <c r="Z1092" i="13"/>
  <c r="AA1092" i="13"/>
  <c r="AB1092" i="13"/>
  <c r="AD1092" i="13"/>
  <c r="AF1092" i="13"/>
  <c r="AG1092" i="13"/>
  <c r="AH1092" i="13"/>
  <c r="W1091" i="13"/>
  <c r="AE1091" i="13" s="1"/>
  <c r="Z1091" i="13"/>
  <c r="AA1091" i="13"/>
  <c r="AB1091" i="13"/>
  <c r="AD1091" i="13"/>
  <c r="AF1091" i="13"/>
  <c r="AG1091" i="13"/>
  <c r="AH1091" i="13"/>
  <c r="W1090" i="13"/>
  <c r="AE1090" i="13" s="1"/>
  <c r="Z1090" i="13"/>
  <c r="AA1090" i="13"/>
  <c r="AB1090" i="13"/>
  <c r="AD1090" i="13"/>
  <c r="AG1090" i="13"/>
  <c r="AH1090" i="13"/>
  <c r="W1089" i="13"/>
  <c r="AE1089" i="13" s="1"/>
  <c r="Z1089" i="13"/>
  <c r="AA1089" i="13"/>
  <c r="AB1089" i="13"/>
  <c r="AD1089" i="13"/>
  <c r="AF1089" i="13"/>
  <c r="AG1089" i="13"/>
  <c r="AH1089" i="13"/>
  <c r="W1088" i="13"/>
  <c r="AE1088" i="13" s="1"/>
  <c r="Z1088" i="13"/>
  <c r="AA1088" i="13"/>
  <c r="AB1088" i="13"/>
  <c r="AD1088" i="13"/>
  <c r="AF1088" i="13"/>
  <c r="AG1088" i="13"/>
  <c r="AH1088" i="13"/>
  <c r="W1087" i="13"/>
  <c r="AE1087" i="13" s="1"/>
  <c r="Z1087" i="13"/>
  <c r="AA1087" i="13"/>
  <c r="AB1087" i="13"/>
  <c r="AD1087" i="13"/>
  <c r="AF1087" i="13"/>
  <c r="AG1087" i="13"/>
  <c r="AH1087" i="13"/>
  <c r="W1086" i="13"/>
  <c r="AE1086" i="13" s="1"/>
  <c r="Z1086" i="13"/>
  <c r="AA1086" i="13"/>
  <c r="AB1086" i="13"/>
  <c r="AD1086" i="13"/>
  <c r="AF1086" i="13"/>
  <c r="AG1086" i="13"/>
  <c r="AH1086" i="13"/>
  <c r="W1085" i="13"/>
  <c r="AE1085" i="13" s="1"/>
  <c r="Z1085" i="13"/>
  <c r="AA1085" i="13"/>
  <c r="AB1085" i="13"/>
  <c r="AD1085" i="13"/>
  <c r="AG1085" i="13"/>
  <c r="AH1085" i="13"/>
  <c r="W1084" i="13"/>
  <c r="AE1084" i="13" s="1"/>
  <c r="Z1084" i="13"/>
  <c r="AA1084" i="13"/>
  <c r="AB1084" i="13"/>
  <c r="AD1084" i="13"/>
  <c r="AF1084" i="13"/>
  <c r="AG1084" i="13"/>
  <c r="AH1084" i="13"/>
  <c r="W1083" i="13"/>
  <c r="AE1083" i="13" s="1"/>
  <c r="Z1083" i="13"/>
  <c r="AA1083" i="13"/>
  <c r="AB1083" i="13"/>
  <c r="AD1083" i="13"/>
  <c r="AF1083" i="13"/>
  <c r="AG1083" i="13"/>
  <c r="AH1083" i="13"/>
  <c r="W1082" i="13"/>
  <c r="AE1082" i="13" s="1"/>
  <c r="Z1082" i="13"/>
  <c r="AF1082" i="13" s="1"/>
  <c r="AA1082" i="13"/>
  <c r="AB1082" i="13"/>
  <c r="AD1082" i="13"/>
  <c r="AG1082" i="13"/>
  <c r="AH1082" i="13"/>
  <c r="W1081" i="13"/>
  <c r="AE1081" i="13" s="1"/>
  <c r="Z1081" i="13"/>
  <c r="AA1081" i="13"/>
  <c r="AB1081" i="13"/>
  <c r="AD1081" i="13"/>
  <c r="AG1081" i="13"/>
  <c r="AH1081" i="13"/>
  <c r="W1080" i="13"/>
  <c r="AE1080" i="13" s="1"/>
  <c r="Z1080" i="13"/>
  <c r="AA1080" i="13"/>
  <c r="AB1080" i="13"/>
  <c r="AD1080" i="13"/>
  <c r="AF1080" i="13"/>
  <c r="AG1080" i="13"/>
  <c r="AH1080" i="13"/>
  <c r="W1079" i="13"/>
  <c r="AE1079" i="13" s="1"/>
  <c r="Z1079" i="13"/>
  <c r="AA1079" i="13"/>
  <c r="AB1079" i="13"/>
  <c r="AD1079" i="13"/>
  <c r="AF1079" i="13"/>
  <c r="AG1079" i="13"/>
  <c r="AH1079" i="13"/>
  <c r="W1078" i="13"/>
  <c r="AE1078" i="13" s="1"/>
  <c r="Z1078" i="13"/>
  <c r="AA1078" i="13"/>
  <c r="AB1078" i="13"/>
  <c r="AD1078" i="13"/>
  <c r="AF1078" i="13"/>
  <c r="AG1078" i="13"/>
  <c r="AH1078" i="13"/>
  <c r="W1077" i="13"/>
  <c r="AE1077" i="13" s="1"/>
  <c r="Z1077" i="13"/>
  <c r="AA1077" i="13"/>
  <c r="AB1077" i="13"/>
  <c r="AD1077" i="13"/>
  <c r="AF1077" i="13"/>
  <c r="AG1077" i="13"/>
  <c r="AH1077" i="13"/>
  <c r="W1076" i="13"/>
  <c r="AE1076" i="13" s="1"/>
  <c r="Z1076" i="13"/>
  <c r="AA1076" i="13"/>
  <c r="AB1076" i="13"/>
  <c r="AD1076" i="13"/>
  <c r="AG1076" i="13"/>
  <c r="AH1076" i="13"/>
  <c r="W1075" i="13"/>
  <c r="AE1075" i="13" s="1"/>
  <c r="Z1075" i="13"/>
  <c r="AA1075" i="13"/>
  <c r="AB1075" i="13"/>
  <c r="AD1075" i="13"/>
  <c r="AF1075" i="13"/>
  <c r="AG1075" i="13"/>
  <c r="AH1075" i="13"/>
  <c r="W1074" i="13"/>
  <c r="AE1074" i="13" s="1"/>
  <c r="Z1074" i="13"/>
  <c r="AA1074" i="13"/>
  <c r="AB1074" i="13"/>
  <c r="AD1074" i="13"/>
  <c r="AG1074" i="13"/>
  <c r="AH1074" i="13"/>
  <c r="W1073" i="13"/>
  <c r="AE1073" i="13" s="1"/>
  <c r="Z1073" i="13"/>
  <c r="AA1073" i="13"/>
  <c r="AB1073" i="13"/>
  <c r="AD1073" i="13"/>
  <c r="AF1073" i="13"/>
  <c r="AG1073" i="13"/>
  <c r="AH1073" i="13"/>
  <c r="W1072" i="13"/>
  <c r="AE1072" i="13" s="1"/>
  <c r="Z1072" i="13"/>
  <c r="AA1072" i="13"/>
  <c r="AB1072" i="13"/>
  <c r="AD1072" i="13"/>
  <c r="AF1072" i="13"/>
  <c r="AG1072" i="13"/>
  <c r="AH1072" i="13"/>
  <c r="W1071" i="13"/>
  <c r="AE1071" i="13" s="1"/>
  <c r="Z1071" i="13"/>
  <c r="AA1071" i="13"/>
  <c r="AB1071" i="13"/>
  <c r="AD1071" i="13"/>
  <c r="AF1071" i="13"/>
  <c r="AG1071" i="13"/>
  <c r="AH1071" i="13"/>
  <c r="W1070" i="13"/>
  <c r="AE1070" i="13" s="1"/>
  <c r="Z1070" i="13"/>
  <c r="AA1070" i="13"/>
  <c r="AB1070" i="13"/>
  <c r="AD1070" i="13"/>
  <c r="AG1070" i="13"/>
  <c r="AH1070" i="13"/>
  <c r="W1069" i="13"/>
  <c r="AE1069" i="13" s="1"/>
  <c r="Z1069" i="13"/>
  <c r="AA1069" i="13"/>
  <c r="AB1069" i="13"/>
  <c r="AD1069" i="13"/>
  <c r="AF1069" i="13"/>
  <c r="AG1069" i="13"/>
  <c r="AH1069" i="13"/>
  <c r="W1068" i="13"/>
  <c r="AE1068" i="13" s="1"/>
  <c r="Z1068" i="13"/>
  <c r="AA1068" i="13"/>
  <c r="AB1068" i="13"/>
  <c r="AD1068" i="13"/>
  <c r="AF1068" i="13"/>
  <c r="AG1068" i="13"/>
  <c r="AH1068" i="13"/>
  <c r="W1067" i="13"/>
  <c r="AE1067" i="13" s="1"/>
  <c r="Z1067" i="13"/>
  <c r="AA1067" i="13"/>
  <c r="AB1067" i="13"/>
  <c r="AD1067" i="13"/>
  <c r="AG1067" i="13"/>
  <c r="AH1067" i="13"/>
  <c r="W1066" i="13"/>
  <c r="AE1066" i="13" s="1"/>
  <c r="Z1066" i="13"/>
  <c r="AA1066" i="13"/>
  <c r="AB1066" i="13"/>
  <c r="AD1066" i="13"/>
  <c r="AF1066" i="13"/>
  <c r="AG1066" i="13"/>
  <c r="AH1066" i="13"/>
  <c r="W1065" i="13"/>
  <c r="AE1065" i="13" s="1"/>
  <c r="Z1065" i="13"/>
  <c r="AA1065" i="13"/>
  <c r="AB1065" i="13"/>
  <c r="AD1065" i="13"/>
  <c r="AF1065" i="13"/>
  <c r="AG1065" i="13"/>
  <c r="AH1065" i="13"/>
  <c r="W1064" i="13"/>
  <c r="AE1064" i="13" s="1"/>
  <c r="Z1064" i="13"/>
  <c r="AA1064" i="13"/>
  <c r="AB1064" i="13"/>
  <c r="AD1064" i="13"/>
  <c r="AF1064" i="13"/>
  <c r="AG1064" i="13"/>
  <c r="AH1064" i="13"/>
  <c r="W1063" i="13"/>
  <c r="AE1063" i="13" s="1"/>
  <c r="Z1063" i="13"/>
  <c r="AF1063" i="13" s="1"/>
  <c r="AA1063" i="13"/>
  <c r="AB1063" i="13"/>
  <c r="AD1063" i="13"/>
  <c r="AG1063" i="13"/>
  <c r="AH1063" i="13"/>
  <c r="W1062" i="13"/>
  <c r="AE1062" i="13" s="1"/>
  <c r="Z1062" i="13"/>
  <c r="AA1062" i="13"/>
  <c r="AB1062" i="13"/>
  <c r="AD1062" i="13"/>
  <c r="AF1062" i="13"/>
  <c r="AG1062" i="13"/>
  <c r="AH1062" i="13"/>
  <c r="W1061" i="13"/>
  <c r="AE1061" i="13" s="1"/>
  <c r="Z1061" i="13"/>
  <c r="AA1061" i="13"/>
  <c r="AB1061" i="13"/>
  <c r="AD1061" i="13"/>
  <c r="AF1061" i="13"/>
  <c r="AG1061" i="13"/>
  <c r="AH1061" i="13"/>
  <c r="W1060" i="13"/>
  <c r="AE1060" i="13" s="1"/>
  <c r="Z1060" i="13"/>
  <c r="AA1060" i="13"/>
  <c r="AB1060" i="13"/>
  <c r="AD1060" i="13"/>
  <c r="AF1060" i="13"/>
  <c r="AG1060" i="13"/>
  <c r="AH1060" i="13"/>
  <c r="W1059" i="13"/>
  <c r="AE1059" i="13" s="1"/>
  <c r="Z1059" i="13"/>
  <c r="AA1059" i="13"/>
  <c r="AB1059" i="13"/>
  <c r="AD1059" i="13"/>
  <c r="AG1059" i="13"/>
  <c r="AH1059" i="13"/>
  <c r="W1058" i="13"/>
  <c r="AE1058" i="13" s="1"/>
  <c r="Z1058" i="13"/>
  <c r="AA1058" i="13"/>
  <c r="AB1058" i="13"/>
  <c r="AD1058" i="13"/>
  <c r="AG1058" i="13"/>
  <c r="AH1058" i="13"/>
  <c r="W1057" i="13"/>
  <c r="AE1057" i="13" s="1"/>
  <c r="Z1057" i="13"/>
  <c r="AA1057" i="13"/>
  <c r="AB1057" i="13"/>
  <c r="AD1057" i="13"/>
  <c r="AF1057" i="13"/>
  <c r="AG1057" i="13"/>
  <c r="AH1057" i="13"/>
  <c r="W1056" i="13"/>
  <c r="AE1056" i="13" s="1"/>
  <c r="Z1056" i="13"/>
  <c r="AA1056" i="13"/>
  <c r="AB1056" i="13"/>
  <c r="AD1056" i="13"/>
  <c r="AG1056" i="13"/>
  <c r="AH1056" i="13"/>
  <c r="W1055" i="13"/>
  <c r="AE1055" i="13" s="1"/>
  <c r="Z1055" i="13"/>
  <c r="AA1055" i="13"/>
  <c r="AB1055" i="13"/>
  <c r="AD1055" i="13"/>
  <c r="AF1055" i="13"/>
  <c r="AG1055" i="13"/>
  <c r="AH1055" i="13"/>
  <c r="W1054" i="13"/>
  <c r="AE1054" i="13" s="1"/>
  <c r="Z1054" i="13"/>
  <c r="AA1054" i="13"/>
  <c r="AB1054" i="13"/>
  <c r="AD1054" i="13"/>
  <c r="AF1054" i="13"/>
  <c r="AG1054" i="13"/>
  <c r="AH1054" i="13"/>
  <c r="W1053" i="13"/>
  <c r="AE1053" i="13" s="1"/>
  <c r="Z1053" i="13"/>
  <c r="AA1053" i="13"/>
  <c r="AB1053" i="13"/>
  <c r="AD1053" i="13"/>
  <c r="AG1053" i="13"/>
  <c r="AH1053" i="13"/>
  <c r="W1052" i="13"/>
  <c r="AE1052" i="13" s="1"/>
  <c r="Z1052" i="13"/>
  <c r="AA1052" i="13"/>
  <c r="AB1052" i="13"/>
  <c r="AD1052" i="13"/>
  <c r="AF1052" i="13"/>
  <c r="AG1052" i="13"/>
  <c r="AH1052" i="13"/>
  <c r="W1051" i="13"/>
  <c r="AE1051" i="13" s="1"/>
  <c r="Z1051" i="13"/>
  <c r="AA1051" i="13"/>
  <c r="AB1051" i="13"/>
  <c r="AD1051" i="13"/>
  <c r="AF1051" i="13"/>
  <c r="AG1051" i="13"/>
  <c r="AH1051" i="13"/>
  <c r="W1050" i="13"/>
  <c r="AE1050" i="13" s="1"/>
  <c r="Z1050" i="13"/>
  <c r="AA1050" i="13"/>
  <c r="AB1050" i="13"/>
  <c r="AD1050" i="13"/>
  <c r="AF1050" i="13"/>
  <c r="AG1050" i="13"/>
  <c r="AH1050" i="13"/>
  <c r="W1049" i="13"/>
  <c r="AE1049" i="13" s="1"/>
  <c r="Z1049" i="13"/>
  <c r="AA1049" i="13"/>
  <c r="AB1049" i="13"/>
  <c r="AD1049" i="13"/>
  <c r="AF1049" i="13"/>
  <c r="AG1049" i="13"/>
  <c r="AH1049" i="13"/>
  <c r="W1048" i="13"/>
  <c r="AE1048" i="13" s="1"/>
  <c r="Z1048" i="13"/>
  <c r="AA1048" i="13"/>
  <c r="AB1048" i="13"/>
  <c r="AD1048" i="13"/>
  <c r="AF1048" i="13"/>
  <c r="AG1048" i="13"/>
  <c r="AH1048" i="13"/>
  <c r="W1047" i="13"/>
  <c r="AE1047" i="13" s="1"/>
  <c r="Z1047" i="13"/>
  <c r="AA1047" i="13"/>
  <c r="AB1047" i="13"/>
  <c r="AD1047" i="13"/>
  <c r="AG1047" i="13"/>
  <c r="AH1047" i="13"/>
  <c r="W1046" i="13"/>
  <c r="AE1046" i="13" s="1"/>
  <c r="Z1046" i="13"/>
  <c r="AA1046" i="13"/>
  <c r="AB1046" i="13"/>
  <c r="AD1046" i="13"/>
  <c r="AF1046" i="13"/>
  <c r="AG1046" i="13"/>
  <c r="AH1046" i="13"/>
  <c r="W1045" i="13"/>
  <c r="AE1045" i="13" s="1"/>
  <c r="Z1045" i="13"/>
  <c r="AA1045" i="13"/>
  <c r="AB1045" i="13"/>
  <c r="AD1045" i="13"/>
  <c r="AF1045" i="13"/>
  <c r="AG1045" i="13"/>
  <c r="AH1045" i="13"/>
  <c r="W1044" i="13"/>
  <c r="AE1044" i="13" s="1"/>
  <c r="Z1044" i="13"/>
  <c r="AA1044" i="13"/>
  <c r="AB1044" i="13"/>
  <c r="AD1044" i="13"/>
  <c r="AF1044" i="13"/>
  <c r="AG1044" i="13"/>
  <c r="AH1044" i="13"/>
  <c r="W1043" i="13"/>
  <c r="AE1043" i="13" s="1"/>
  <c r="Z1043" i="13"/>
  <c r="AA1043" i="13"/>
  <c r="AB1043" i="13"/>
  <c r="AD1043" i="13"/>
  <c r="AF1043" i="13"/>
  <c r="AG1043" i="13"/>
  <c r="AH1043" i="13"/>
  <c r="W1042" i="13"/>
  <c r="AE1042" i="13" s="1"/>
  <c r="Z1042" i="13"/>
  <c r="AA1042" i="13"/>
  <c r="AB1042" i="13"/>
  <c r="AD1042" i="13"/>
  <c r="AG1042" i="13"/>
  <c r="AH1042" i="13"/>
  <c r="W1041" i="13"/>
  <c r="AE1041" i="13" s="1"/>
  <c r="Z1041" i="13"/>
  <c r="AA1041" i="13"/>
  <c r="AB1041" i="13"/>
  <c r="AD1041" i="13"/>
  <c r="AF1041" i="13"/>
  <c r="AG1041" i="13"/>
  <c r="AH1041" i="13"/>
  <c r="W1040" i="13"/>
  <c r="AE1040" i="13" s="1"/>
  <c r="Z1040" i="13"/>
  <c r="AA1040" i="13"/>
  <c r="AB1040" i="13"/>
  <c r="AD1040" i="13"/>
  <c r="AF1040" i="13"/>
  <c r="AG1040" i="13"/>
  <c r="AH1040" i="13"/>
  <c r="W1039" i="13"/>
  <c r="AE1039" i="13" s="1"/>
  <c r="Z1039" i="13"/>
  <c r="AA1039" i="13"/>
  <c r="AB1039" i="13"/>
  <c r="AD1039" i="13"/>
  <c r="AF1039" i="13"/>
  <c r="AG1039" i="13"/>
  <c r="AH1039" i="13"/>
  <c r="W1038" i="13"/>
  <c r="AE1038" i="13" s="1"/>
  <c r="Z1038" i="13"/>
  <c r="AA1038" i="13"/>
  <c r="AB1038" i="13"/>
  <c r="AD1038" i="13"/>
  <c r="AF1038" i="13"/>
  <c r="AG1038" i="13"/>
  <c r="AH1038" i="13"/>
  <c r="W1037" i="13"/>
  <c r="AE1037" i="13" s="1"/>
  <c r="Z1037" i="13"/>
  <c r="AA1037" i="13"/>
  <c r="AB1037" i="13"/>
  <c r="AD1037" i="13"/>
  <c r="AF1037" i="13"/>
  <c r="AG1037" i="13"/>
  <c r="AH1037" i="13"/>
  <c r="W1036" i="13"/>
  <c r="AE1036" i="13" s="1"/>
  <c r="Z1036" i="13"/>
  <c r="AA1036" i="13"/>
  <c r="AB1036" i="13"/>
  <c r="AD1036" i="13"/>
  <c r="AF1036" i="13"/>
  <c r="AG1036" i="13"/>
  <c r="AH1036" i="13"/>
  <c r="W1035" i="13"/>
  <c r="AE1035" i="13" s="1"/>
  <c r="Z1035" i="13"/>
  <c r="AA1035" i="13"/>
  <c r="AB1035" i="13"/>
  <c r="AD1035" i="13"/>
  <c r="AF1035" i="13"/>
  <c r="AG1035" i="13"/>
  <c r="AH1035" i="13"/>
  <c r="W1034" i="13"/>
  <c r="AE1034" i="13" s="1"/>
  <c r="Z1034" i="13"/>
  <c r="AA1034" i="13"/>
  <c r="AB1034" i="13"/>
  <c r="AD1034" i="13"/>
  <c r="AG1034" i="13"/>
  <c r="AH1034" i="13"/>
  <c r="W1033" i="13"/>
  <c r="AE1033" i="13" s="1"/>
  <c r="Z1033" i="13"/>
  <c r="AF1033" i="13" s="1"/>
  <c r="AA1033" i="13"/>
  <c r="AB1033" i="13"/>
  <c r="AD1033" i="13"/>
  <c r="AG1033" i="13"/>
  <c r="AH1033" i="13"/>
  <c r="W1032" i="13"/>
  <c r="AE1032" i="13" s="1"/>
  <c r="Z1032" i="13"/>
  <c r="AA1032" i="13"/>
  <c r="AB1032" i="13"/>
  <c r="AD1032" i="13"/>
  <c r="AG1032" i="13"/>
  <c r="AH1032" i="13"/>
  <c r="W1031" i="13"/>
  <c r="AE1031" i="13" s="1"/>
  <c r="Z1031" i="13"/>
  <c r="AA1031" i="13"/>
  <c r="AB1031" i="13"/>
  <c r="AD1031" i="13"/>
  <c r="AG1031" i="13"/>
  <c r="AH1031" i="13"/>
  <c r="X1058" i="13" l="1"/>
  <c r="AC1058" i="13" s="1"/>
  <c r="AF1058" i="13"/>
  <c r="Y1058" i="13" s="1"/>
  <c r="X1076" i="13"/>
  <c r="AC1076" i="13" s="1"/>
  <c r="X1100" i="13"/>
  <c r="AC1100" i="13" s="1"/>
  <c r="X1070" i="13"/>
  <c r="AC1070" i="13" s="1"/>
  <c r="X1103" i="13"/>
  <c r="AC1103" i="13" s="1"/>
  <c r="X1054" i="13"/>
  <c r="AC1054" i="13" s="1"/>
  <c r="AF1070" i="13"/>
  <c r="Y1070" i="13" s="1"/>
  <c r="AF1076" i="13"/>
  <c r="X1079" i="13"/>
  <c r="AC1079" i="13" s="1"/>
  <c r="AF1100" i="13"/>
  <c r="Y1100" i="13" s="1"/>
  <c r="X1101" i="13"/>
  <c r="AC1101" i="13" s="1"/>
  <c r="X1107" i="13"/>
  <c r="AC1107" i="13" s="1"/>
  <c r="X1112" i="13"/>
  <c r="AC1112" i="13" s="1"/>
  <c r="Y1076" i="13"/>
  <c r="Y1103" i="13"/>
  <c r="Y1054" i="13"/>
  <c r="Y1079" i="13"/>
  <c r="Y1101" i="13"/>
  <c r="Y1106" i="13"/>
  <c r="Y1107" i="13"/>
  <c r="Y1112" i="13"/>
  <c r="X1106" i="13"/>
  <c r="AC1106" i="13" s="1"/>
  <c r="X1114" i="13"/>
  <c r="AC1114" i="13" s="1"/>
  <c r="AF1114" i="13"/>
  <c r="X1116" i="13"/>
  <c r="AC1116" i="13" s="1"/>
  <c r="X1051" i="13"/>
  <c r="AC1051" i="13" s="1"/>
  <c r="X1061" i="13"/>
  <c r="AC1061" i="13" s="1"/>
  <c r="X1093" i="13"/>
  <c r="AC1093" i="13" s="1"/>
  <c r="X1111" i="13"/>
  <c r="AC1111" i="13" s="1"/>
  <c r="Y1114" i="13"/>
  <c r="X1115" i="13"/>
  <c r="AC1115" i="13" s="1"/>
  <c r="Y1116" i="13"/>
  <c r="X1117" i="13"/>
  <c r="AC1117" i="13" s="1"/>
  <c r="Y1093" i="13"/>
  <c r="Y1111" i="13"/>
  <c r="Y1115" i="13"/>
  <c r="Y1117" i="13"/>
  <c r="Y1051" i="13"/>
  <c r="X1033" i="13"/>
  <c r="AC1033" i="13" s="1"/>
  <c r="X1034" i="13"/>
  <c r="AC1034" i="13" s="1"/>
  <c r="X1082" i="13"/>
  <c r="AC1082" i="13" s="1"/>
  <c r="Y1082" i="13"/>
  <c r="Y1033" i="13"/>
  <c r="Y1061" i="13"/>
  <c r="AF1034" i="13"/>
  <c r="Y1034" i="13" s="1"/>
  <c r="X1031" i="13"/>
  <c r="AC1031" i="13" s="1"/>
  <c r="X1041" i="13"/>
  <c r="AC1041" i="13" s="1"/>
  <c r="X1047" i="13"/>
  <c r="AC1047" i="13" s="1"/>
  <c r="AF1047" i="13"/>
  <c r="Y1047" i="13" s="1"/>
  <c r="AF1031" i="13"/>
  <c r="Y1041" i="13"/>
  <c r="X1063" i="13"/>
  <c r="AC1063" i="13" s="1"/>
  <c r="X1068" i="13"/>
  <c r="AC1068" i="13" s="1"/>
  <c r="X1088" i="13"/>
  <c r="AC1088" i="13" s="1"/>
  <c r="X1113" i="13"/>
  <c r="AC1113" i="13" s="1"/>
  <c r="Y1031" i="13"/>
  <c r="Y1063" i="13"/>
  <c r="Y1068" i="13"/>
  <c r="Y1088" i="13"/>
  <c r="Y1113" i="13"/>
  <c r="X1097" i="13"/>
  <c r="AC1097" i="13" s="1"/>
  <c r="X1032" i="13"/>
  <c r="AC1032" i="13" s="1"/>
  <c r="X1038" i="13"/>
  <c r="AC1038" i="13" s="1"/>
  <c r="X1048" i="13"/>
  <c r="AC1048" i="13" s="1"/>
  <c r="X1085" i="13"/>
  <c r="AC1085" i="13" s="1"/>
  <c r="X1092" i="13"/>
  <c r="AC1092" i="13" s="1"/>
  <c r="Y1097" i="13"/>
  <c r="X1098" i="13"/>
  <c r="AC1098" i="13" s="1"/>
  <c r="X1109" i="13"/>
  <c r="AC1109" i="13" s="1"/>
  <c r="Y1037" i="13"/>
  <c r="Y1038" i="13"/>
  <c r="Y1048" i="13"/>
  <c r="Y1098" i="13"/>
  <c r="Y1109" i="13"/>
  <c r="X1053" i="13"/>
  <c r="AC1053" i="13" s="1"/>
  <c r="X1056" i="13"/>
  <c r="AC1056" i="13" s="1"/>
  <c r="X1065" i="13"/>
  <c r="AC1065" i="13" s="1"/>
  <c r="X1099" i="13"/>
  <c r="AC1099" i="13" s="1"/>
  <c r="X1042" i="13"/>
  <c r="AC1042" i="13" s="1"/>
  <c r="X1078" i="13"/>
  <c r="AC1078" i="13" s="1"/>
  <c r="X1087" i="13"/>
  <c r="AC1087" i="13" s="1"/>
  <c r="X1090" i="13"/>
  <c r="AC1090" i="13" s="1"/>
  <c r="X1095" i="13"/>
  <c r="AC1095" i="13" s="1"/>
  <c r="X1104" i="13"/>
  <c r="AC1104" i="13" s="1"/>
  <c r="X1108" i="13"/>
  <c r="AC1108" i="13" s="1"/>
  <c r="X1046" i="13"/>
  <c r="AC1046" i="13" s="1"/>
  <c r="X1073" i="13"/>
  <c r="AC1073" i="13" s="1"/>
  <c r="X1075" i="13"/>
  <c r="AC1075" i="13" s="1"/>
  <c r="X1080" i="13"/>
  <c r="AC1080" i="13" s="1"/>
  <c r="X1084" i="13"/>
  <c r="AC1084" i="13" s="1"/>
  <c r="AF1085" i="13"/>
  <c r="Y1085" i="13" s="1"/>
  <c r="X1086" i="13"/>
  <c r="AC1086" i="13" s="1"/>
  <c r="X1089" i="13"/>
  <c r="AC1089" i="13" s="1"/>
  <c r="AF1090" i="13"/>
  <c r="X1091" i="13"/>
  <c r="AC1091" i="13" s="1"/>
  <c r="X1094" i="13"/>
  <c r="AC1094" i="13" s="1"/>
  <c r="X1096" i="13"/>
  <c r="AC1096" i="13" s="1"/>
  <c r="X1102" i="13"/>
  <c r="AC1102" i="13" s="1"/>
  <c r="X1105" i="13"/>
  <c r="AC1105" i="13" s="1"/>
  <c r="AF1108" i="13"/>
  <c r="X1110" i="13"/>
  <c r="AC1110" i="13" s="1"/>
  <c r="AF1032" i="13"/>
  <c r="Y1032" i="13" s="1"/>
  <c r="X1035" i="13"/>
  <c r="AC1035" i="13" s="1"/>
  <c r="X1040" i="13"/>
  <c r="AC1040" i="13" s="1"/>
  <c r="AF1042" i="13"/>
  <c r="Y1042" i="13" s="1"/>
  <c r="X1043" i="13"/>
  <c r="AC1043" i="13" s="1"/>
  <c r="X1052" i="13"/>
  <c r="AC1052" i="13" s="1"/>
  <c r="AF1053" i="13"/>
  <c r="Y1053" i="13" s="1"/>
  <c r="X1055" i="13"/>
  <c r="AC1055" i="13" s="1"/>
  <c r="AF1056" i="13"/>
  <c r="Y1056" i="13" s="1"/>
  <c r="X1057" i="13"/>
  <c r="AC1057" i="13" s="1"/>
  <c r="X1060" i="13"/>
  <c r="AC1060" i="13" s="1"/>
  <c r="Y1035" i="13"/>
  <c r="Y1040" i="13"/>
  <c r="Y1043" i="13"/>
  <c r="Y1087" i="13"/>
  <c r="Y1065" i="13"/>
  <c r="Y1073" i="13"/>
  <c r="Y1086" i="13"/>
  <c r="Y1091" i="13"/>
  <c r="Y1046" i="13"/>
  <c r="Y1057" i="13"/>
  <c r="Y1060" i="13"/>
  <c r="Y1078" i="13"/>
  <c r="Y1089" i="13"/>
  <c r="Y1092" i="13"/>
  <c r="Y1095" i="13"/>
  <c r="Y1099" i="13"/>
  <c r="Y1104" i="13"/>
  <c r="Y1108" i="13"/>
  <c r="Y1052" i="13"/>
  <c r="Y1055" i="13"/>
  <c r="Y1075" i="13"/>
  <c r="Y1080" i="13"/>
  <c r="Y1084" i="13"/>
  <c r="Y1090" i="13"/>
  <c r="Y1094" i="13"/>
  <c r="Y1096" i="13"/>
  <c r="Y1102" i="13"/>
  <c r="Y1105" i="13"/>
  <c r="Y1110" i="13"/>
  <c r="X1044" i="13"/>
  <c r="AC1044" i="13" s="1"/>
  <c r="X1064" i="13"/>
  <c r="AC1064" i="13" s="1"/>
  <c r="X1067" i="13"/>
  <c r="AC1067" i="13" s="1"/>
  <c r="X1049" i="13"/>
  <c r="AC1049" i="13" s="1"/>
  <c r="X1059" i="13"/>
  <c r="AC1059" i="13" s="1"/>
  <c r="X1071" i="13"/>
  <c r="AC1071" i="13" s="1"/>
  <c r="X1074" i="13"/>
  <c r="AC1074" i="13" s="1"/>
  <c r="X1081" i="13"/>
  <c r="AC1081" i="13" s="1"/>
  <c r="X1036" i="13"/>
  <c r="AC1036" i="13" s="1"/>
  <c r="X1039" i="13"/>
  <c r="AC1039" i="13" s="1"/>
  <c r="X1045" i="13"/>
  <c r="AC1045" i="13" s="1"/>
  <c r="Y1049" i="13"/>
  <c r="X1050" i="13"/>
  <c r="AC1050" i="13" s="1"/>
  <c r="AF1059" i="13"/>
  <c r="Y1059" i="13" s="1"/>
  <c r="X1062" i="13"/>
  <c r="AC1062" i="13" s="1"/>
  <c r="X1066" i="13"/>
  <c r="AC1066" i="13" s="1"/>
  <c r="AF1067" i="13"/>
  <c r="Y1067" i="13" s="1"/>
  <c r="X1069" i="13"/>
  <c r="AC1069" i="13" s="1"/>
  <c r="X1072" i="13"/>
  <c r="AC1072" i="13" s="1"/>
  <c r="AF1074" i="13"/>
  <c r="Y1074" i="13" s="1"/>
  <c r="X1077" i="13"/>
  <c r="AC1077" i="13" s="1"/>
  <c r="AF1081" i="13"/>
  <c r="Y1081" i="13" s="1"/>
  <c r="X1083" i="13"/>
  <c r="AC1083" i="13" s="1"/>
  <c r="Y1044" i="13"/>
  <c r="Y1064" i="13"/>
  <c r="Y1071" i="13"/>
  <c r="Y1036" i="13"/>
  <c r="Y1039" i="13"/>
  <c r="Y1045" i="13"/>
  <c r="Y1050" i="13"/>
  <c r="Y1062" i="13"/>
  <c r="Y1066" i="13"/>
  <c r="Y1069" i="13"/>
  <c r="Y1072" i="13"/>
  <c r="Y1077" i="13"/>
  <c r="Y1083" i="13"/>
  <c r="X1037" i="13"/>
  <c r="AC1037" i="13" s="1"/>
  <c r="W1030" i="13"/>
  <c r="AE1030" i="13" s="1"/>
  <c r="Z1030" i="13"/>
  <c r="AA1030" i="13"/>
  <c r="AB1030" i="13"/>
  <c r="AD1030" i="13"/>
  <c r="AG1030" i="13"/>
  <c r="AH1030" i="13"/>
  <c r="W1029" i="13"/>
  <c r="AE1029" i="13" s="1"/>
  <c r="Z1029" i="13"/>
  <c r="AA1029" i="13"/>
  <c r="AB1029" i="13"/>
  <c r="AD1029" i="13"/>
  <c r="AF1029" i="13"/>
  <c r="AG1029" i="13"/>
  <c r="AH1029" i="13"/>
  <c r="W1028" i="13"/>
  <c r="AE1028" i="13" s="1"/>
  <c r="Z1028" i="13"/>
  <c r="AA1028" i="13"/>
  <c r="AB1028" i="13"/>
  <c r="AD1028" i="13"/>
  <c r="AG1028" i="13"/>
  <c r="AH1028" i="13"/>
  <c r="W1027" i="13"/>
  <c r="AE1027" i="13" s="1"/>
  <c r="Z1027" i="13"/>
  <c r="AA1027" i="13"/>
  <c r="AB1027" i="13"/>
  <c r="AD1027" i="13"/>
  <c r="AF1027" i="13"/>
  <c r="AG1027" i="13"/>
  <c r="AH1027" i="13"/>
  <c r="W1026" i="13"/>
  <c r="AE1026" i="13" s="1"/>
  <c r="Z1026" i="13"/>
  <c r="AA1026" i="13"/>
  <c r="AB1026" i="13"/>
  <c r="AD1026" i="13"/>
  <c r="AF1026" i="13"/>
  <c r="AG1026" i="13"/>
  <c r="AH1026" i="13"/>
  <c r="W1025" i="13"/>
  <c r="AE1025" i="13" s="1"/>
  <c r="Z1025" i="13"/>
  <c r="AA1025" i="13"/>
  <c r="AB1025" i="13"/>
  <c r="AD1025" i="13"/>
  <c r="AG1025" i="13"/>
  <c r="AH1025" i="13"/>
  <c r="W1024" i="13"/>
  <c r="AE1024" i="13" s="1"/>
  <c r="Z1024" i="13"/>
  <c r="AA1024" i="13"/>
  <c r="AB1024" i="13"/>
  <c r="AD1024" i="13"/>
  <c r="AF1024" i="13"/>
  <c r="AG1024" i="13"/>
  <c r="AH1024" i="13"/>
  <c r="W1023" i="13"/>
  <c r="AE1023" i="13" s="1"/>
  <c r="Z1023" i="13"/>
  <c r="AA1023" i="13"/>
  <c r="AB1023" i="13"/>
  <c r="AD1023" i="13"/>
  <c r="AF1023" i="13"/>
  <c r="AG1023" i="13"/>
  <c r="AH1023" i="13"/>
  <c r="W1022" i="13"/>
  <c r="AE1022" i="13" s="1"/>
  <c r="Z1022" i="13"/>
  <c r="AA1022" i="13"/>
  <c r="AB1022" i="13"/>
  <c r="AD1022" i="13"/>
  <c r="AF1022" i="13"/>
  <c r="AG1022" i="13"/>
  <c r="AH1022" i="13"/>
  <c r="W1021" i="13"/>
  <c r="AE1021" i="13" s="1"/>
  <c r="Z1021" i="13"/>
  <c r="AA1021" i="13"/>
  <c r="AB1021" i="13"/>
  <c r="AD1021" i="13"/>
  <c r="AG1021" i="13"/>
  <c r="AH1021" i="13"/>
  <c r="W1020" i="13"/>
  <c r="AE1020" i="13" s="1"/>
  <c r="Z1020" i="13"/>
  <c r="AA1020" i="13"/>
  <c r="AB1020" i="13"/>
  <c r="AD1020" i="13"/>
  <c r="AF1020" i="13"/>
  <c r="AG1020" i="13"/>
  <c r="AH1020" i="13"/>
  <c r="W1019" i="13"/>
  <c r="AE1019" i="13" s="1"/>
  <c r="Z1019" i="13"/>
  <c r="AA1019" i="13"/>
  <c r="AB1019" i="13"/>
  <c r="AD1019" i="13"/>
  <c r="AF1019" i="13"/>
  <c r="AG1019" i="13"/>
  <c r="AH1019" i="13"/>
  <c r="W1018" i="13"/>
  <c r="AE1018" i="13" s="1"/>
  <c r="Z1018" i="13"/>
  <c r="AA1018" i="13"/>
  <c r="AB1018" i="13"/>
  <c r="AD1018" i="13"/>
  <c r="AF1018" i="13"/>
  <c r="AG1018" i="13"/>
  <c r="AH1018" i="13"/>
  <c r="W1017" i="13"/>
  <c r="AE1017" i="13" s="1"/>
  <c r="Z1017" i="13"/>
  <c r="AA1017" i="13"/>
  <c r="AB1017" i="13"/>
  <c r="AD1017" i="13"/>
  <c r="AG1017" i="13"/>
  <c r="AH1017" i="13"/>
  <c r="W1016" i="13"/>
  <c r="AE1016" i="13" s="1"/>
  <c r="Z1016" i="13"/>
  <c r="AF1016" i="13" s="1"/>
  <c r="AA1016" i="13"/>
  <c r="AB1016" i="13"/>
  <c r="AD1016" i="13"/>
  <c r="AG1016" i="13"/>
  <c r="AH1016" i="13"/>
  <c r="W1015" i="13"/>
  <c r="AE1015" i="13" s="1"/>
  <c r="Z1015" i="13"/>
  <c r="AA1015" i="13"/>
  <c r="AB1015" i="13"/>
  <c r="AD1015" i="13"/>
  <c r="AF1015" i="13"/>
  <c r="AG1015" i="13"/>
  <c r="AH1015" i="13"/>
  <c r="W1014" i="13"/>
  <c r="AE1014" i="13" s="1"/>
  <c r="Z1014" i="13"/>
  <c r="AA1014" i="13"/>
  <c r="AB1014" i="13"/>
  <c r="AD1014" i="13"/>
  <c r="AF1014" i="13"/>
  <c r="AG1014" i="13"/>
  <c r="AH1014" i="13"/>
  <c r="W1013" i="13"/>
  <c r="AE1013" i="13" s="1"/>
  <c r="Z1013" i="13"/>
  <c r="AA1013" i="13"/>
  <c r="AB1013" i="13"/>
  <c r="AD1013" i="13"/>
  <c r="AF1013" i="13"/>
  <c r="AG1013" i="13"/>
  <c r="AH1013" i="13"/>
  <c r="W1012" i="13"/>
  <c r="AE1012" i="13" s="1"/>
  <c r="Z1012" i="13"/>
  <c r="AA1012" i="13"/>
  <c r="AB1012" i="13"/>
  <c r="AD1012" i="13"/>
  <c r="AF1012" i="13"/>
  <c r="AG1012" i="13"/>
  <c r="AH1012" i="13"/>
  <c r="W1011" i="13"/>
  <c r="AE1011" i="13" s="1"/>
  <c r="Z1011" i="13"/>
  <c r="AA1011" i="13"/>
  <c r="AB1011" i="13"/>
  <c r="AD1011" i="13"/>
  <c r="AF1011" i="13"/>
  <c r="AG1011" i="13"/>
  <c r="AH1011" i="13"/>
  <c r="W1010" i="13"/>
  <c r="AE1010" i="13" s="1"/>
  <c r="Z1010" i="13"/>
  <c r="AA1010" i="13"/>
  <c r="AB1010" i="13"/>
  <c r="AD1010" i="13"/>
  <c r="AF1010" i="13"/>
  <c r="AG1010" i="13"/>
  <c r="AH1010" i="13"/>
  <c r="W1009" i="13"/>
  <c r="AE1009" i="13" s="1"/>
  <c r="Z1009" i="13"/>
  <c r="AA1009" i="13"/>
  <c r="AB1009" i="13"/>
  <c r="AD1009" i="13"/>
  <c r="AF1009" i="13"/>
  <c r="AG1009" i="13"/>
  <c r="AH1009" i="13"/>
  <c r="W1008" i="13"/>
  <c r="AE1008" i="13" s="1"/>
  <c r="Z1008" i="13"/>
  <c r="AA1008" i="13"/>
  <c r="AB1008" i="13"/>
  <c r="AD1008" i="13"/>
  <c r="AF1008" i="13"/>
  <c r="AG1008" i="13"/>
  <c r="AH1008" i="13"/>
  <c r="W1007" i="13"/>
  <c r="AE1007" i="13" s="1"/>
  <c r="Z1007" i="13"/>
  <c r="AA1007" i="13"/>
  <c r="AB1007" i="13"/>
  <c r="AD1007" i="13"/>
  <c r="AF1007" i="13"/>
  <c r="AG1007" i="13"/>
  <c r="AH1007" i="13"/>
  <c r="W1006" i="13"/>
  <c r="AE1006" i="13" s="1"/>
  <c r="Z1006" i="13"/>
  <c r="AA1006" i="13"/>
  <c r="AB1006" i="13"/>
  <c r="AD1006" i="13"/>
  <c r="AF1006" i="13"/>
  <c r="AG1006" i="13"/>
  <c r="AH1006" i="13"/>
  <c r="W1005" i="13"/>
  <c r="AE1005" i="13" s="1"/>
  <c r="Z1005" i="13"/>
  <c r="AA1005" i="13"/>
  <c r="AB1005" i="13"/>
  <c r="AD1005" i="13"/>
  <c r="AF1005" i="13"/>
  <c r="AG1005" i="13"/>
  <c r="AH1005" i="13"/>
  <c r="W1004" i="13"/>
  <c r="AE1004" i="13" s="1"/>
  <c r="Z1004" i="13"/>
  <c r="AA1004" i="13"/>
  <c r="AB1004" i="13"/>
  <c r="AD1004" i="13"/>
  <c r="AF1004" i="13"/>
  <c r="AG1004" i="13"/>
  <c r="AH1004" i="13"/>
  <c r="W1003" i="13"/>
  <c r="AE1003" i="13" s="1"/>
  <c r="Z1003" i="13"/>
  <c r="AA1003" i="13"/>
  <c r="AB1003" i="13"/>
  <c r="AD1003" i="13"/>
  <c r="AG1003" i="13"/>
  <c r="AH1003" i="13"/>
  <c r="W1002" i="13"/>
  <c r="AE1002" i="13" s="1"/>
  <c r="Z1002" i="13"/>
  <c r="AA1002" i="13"/>
  <c r="AB1002" i="13"/>
  <c r="AD1002" i="13"/>
  <c r="AF1002" i="13"/>
  <c r="AG1002" i="13"/>
  <c r="AH1002" i="13"/>
  <c r="W1001" i="13"/>
  <c r="AE1001" i="13" s="1"/>
  <c r="Z1001" i="13"/>
  <c r="AA1001" i="13"/>
  <c r="AB1001" i="13"/>
  <c r="AD1001" i="13"/>
  <c r="AF1001" i="13"/>
  <c r="AG1001" i="13"/>
  <c r="AH1001" i="13"/>
  <c r="X1026" i="13" l="1"/>
  <c r="AC1026" i="13" s="1"/>
  <c r="Y1026" i="13"/>
  <c r="X1013" i="13"/>
  <c r="AC1013" i="13" s="1"/>
  <c r="X1025" i="13"/>
  <c r="AC1025" i="13" s="1"/>
  <c r="AF1025" i="13"/>
  <c r="Y1013" i="13"/>
  <c r="Y1025" i="13"/>
  <c r="X1030" i="13"/>
  <c r="AC1030" i="13" s="1"/>
  <c r="X1023" i="13"/>
  <c r="AC1023" i="13" s="1"/>
  <c r="X1028" i="13"/>
  <c r="AC1028" i="13" s="1"/>
  <c r="AF1030" i="13"/>
  <c r="X1007" i="13"/>
  <c r="AC1007" i="13" s="1"/>
  <c r="X1016" i="13"/>
  <c r="AC1016" i="13" s="1"/>
  <c r="X1027" i="13"/>
  <c r="AC1027" i="13" s="1"/>
  <c r="AF1028" i="13"/>
  <c r="X1029" i="13"/>
  <c r="AC1029" i="13" s="1"/>
  <c r="X1012" i="13"/>
  <c r="AC1012" i="13" s="1"/>
  <c r="Y1027" i="13"/>
  <c r="Y1029" i="13"/>
  <c r="Y1007" i="13"/>
  <c r="Y1030" i="13"/>
  <c r="Y1016" i="13"/>
  <c r="Y1028" i="13"/>
  <c r="Y1012" i="13"/>
  <c r="Y1023" i="13"/>
  <c r="X1011" i="13"/>
  <c r="AC1011" i="13" s="1"/>
  <c r="Y1011" i="13"/>
  <c r="X1008" i="13"/>
  <c r="AC1008" i="13" s="1"/>
  <c r="X1001" i="13"/>
  <c r="AC1001" i="13" s="1"/>
  <c r="X1003" i="13"/>
  <c r="AC1003" i="13" s="1"/>
  <c r="X1021" i="13"/>
  <c r="AC1021" i="13" s="1"/>
  <c r="Y1001" i="13"/>
  <c r="X1002" i="13"/>
  <c r="AC1002" i="13" s="1"/>
  <c r="AF1003" i="13"/>
  <c r="X1005" i="13"/>
  <c r="AC1005" i="13" s="1"/>
  <c r="Y1008" i="13"/>
  <c r="X1009" i="13"/>
  <c r="AC1009" i="13" s="1"/>
  <c r="X1019" i="13"/>
  <c r="AC1019" i="13" s="1"/>
  <c r="AF1021" i="13"/>
  <c r="Y1021" i="13" s="1"/>
  <c r="X1022" i="13"/>
  <c r="AC1022" i="13" s="1"/>
  <c r="Y1022" i="13"/>
  <c r="Y1003" i="13"/>
  <c r="Y1002" i="13"/>
  <c r="Y1004" i="13"/>
  <c r="Y1005" i="13"/>
  <c r="Y1009" i="13"/>
  <c r="Y1019" i="13"/>
  <c r="X1006" i="13"/>
  <c r="AC1006" i="13" s="1"/>
  <c r="X1017" i="13"/>
  <c r="AC1017" i="13" s="1"/>
  <c r="X1015" i="13"/>
  <c r="AC1015" i="13" s="1"/>
  <c r="AF1017" i="13"/>
  <c r="Y1017" i="13" s="1"/>
  <c r="X1018" i="13"/>
  <c r="AC1018" i="13" s="1"/>
  <c r="Y1006" i="13"/>
  <c r="Y1015" i="13"/>
  <c r="Y1018" i="13"/>
  <c r="X1014" i="13"/>
  <c r="AC1014" i="13" s="1"/>
  <c r="Y1014" i="13"/>
  <c r="X1020" i="13"/>
  <c r="AC1020" i="13" s="1"/>
  <c r="X1010" i="13"/>
  <c r="AC1010" i="13" s="1"/>
  <c r="X1024" i="13"/>
  <c r="AC1024" i="13" s="1"/>
  <c r="Y1020" i="13"/>
  <c r="Y1024" i="13"/>
  <c r="Y1010" i="13"/>
  <c r="X1004" i="13"/>
  <c r="AC1004" i="13" s="1"/>
  <c r="W1000" i="13"/>
  <c r="AE1000" i="13" s="1"/>
  <c r="Z1000" i="13"/>
  <c r="AA1000" i="13"/>
  <c r="AB1000" i="13"/>
  <c r="AD1000" i="13"/>
  <c r="AG1000" i="13"/>
  <c r="AH1000" i="13"/>
  <c r="W999" i="13"/>
  <c r="AE999" i="13" s="1"/>
  <c r="Z999" i="13"/>
  <c r="AA999" i="13"/>
  <c r="AB999" i="13"/>
  <c r="AD999" i="13"/>
  <c r="AF999" i="13"/>
  <c r="AG999" i="13"/>
  <c r="AH999" i="13"/>
  <c r="W998" i="13"/>
  <c r="AE998" i="13" s="1"/>
  <c r="Z998" i="13"/>
  <c r="AA998" i="13"/>
  <c r="AB998" i="13"/>
  <c r="AD998" i="13"/>
  <c r="AF998" i="13"/>
  <c r="AG998" i="13"/>
  <c r="AH998" i="13"/>
  <c r="W997" i="13"/>
  <c r="AE997" i="13" s="1"/>
  <c r="Z997" i="13"/>
  <c r="AA997" i="13"/>
  <c r="AB997" i="13"/>
  <c r="AD997" i="13"/>
  <c r="AF997" i="13"/>
  <c r="AG997" i="13"/>
  <c r="AH997" i="13"/>
  <c r="W996" i="13"/>
  <c r="AE996" i="13" s="1"/>
  <c r="Z996" i="13"/>
  <c r="AA996" i="13"/>
  <c r="AB996" i="13"/>
  <c r="AD996" i="13"/>
  <c r="AF996" i="13"/>
  <c r="AG996" i="13"/>
  <c r="AH996" i="13"/>
  <c r="W995" i="13"/>
  <c r="AE995" i="13" s="1"/>
  <c r="Z995" i="13"/>
  <c r="AA995" i="13"/>
  <c r="AB995" i="13"/>
  <c r="AD995" i="13"/>
  <c r="AG995" i="13"/>
  <c r="AH995" i="13"/>
  <c r="W994" i="13"/>
  <c r="AE994" i="13" s="1"/>
  <c r="Z994" i="13"/>
  <c r="AA994" i="13"/>
  <c r="AB994" i="13"/>
  <c r="AD994" i="13"/>
  <c r="AF994" i="13"/>
  <c r="AG994" i="13"/>
  <c r="AH994" i="13"/>
  <c r="W993" i="13"/>
  <c r="AE993" i="13" s="1"/>
  <c r="Z993" i="13"/>
  <c r="AA993" i="13"/>
  <c r="AB993" i="13"/>
  <c r="AD993" i="13"/>
  <c r="AF993" i="13"/>
  <c r="AG993" i="13"/>
  <c r="AH993" i="13"/>
  <c r="W992" i="13"/>
  <c r="AE992" i="13" s="1"/>
  <c r="Z992" i="13"/>
  <c r="AA992" i="13"/>
  <c r="AB992" i="13"/>
  <c r="AD992" i="13"/>
  <c r="AG992" i="13"/>
  <c r="AH992" i="13"/>
  <c r="W991" i="13"/>
  <c r="AE991" i="13" s="1"/>
  <c r="Z991" i="13"/>
  <c r="AA991" i="13"/>
  <c r="AB991" i="13"/>
  <c r="AD991" i="13"/>
  <c r="AF991" i="13"/>
  <c r="AG991" i="13"/>
  <c r="AH991" i="13"/>
  <c r="W990" i="13"/>
  <c r="AE990" i="13" s="1"/>
  <c r="Z990" i="13"/>
  <c r="AA990" i="13"/>
  <c r="AB990" i="13"/>
  <c r="AD990" i="13"/>
  <c r="AF990" i="13"/>
  <c r="AG990" i="13"/>
  <c r="AH990" i="13"/>
  <c r="W989" i="13"/>
  <c r="AE989" i="13" s="1"/>
  <c r="Z989" i="13"/>
  <c r="AA989" i="13"/>
  <c r="AB989" i="13"/>
  <c r="AD989" i="13"/>
  <c r="AF989" i="13"/>
  <c r="AG989" i="13"/>
  <c r="AH989" i="13"/>
  <c r="W988" i="13"/>
  <c r="AE988" i="13" s="1"/>
  <c r="Z988" i="13"/>
  <c r="AA988" i="13"/>
  <c r="AB988" i="13"/>
  <c r="AD988" i="13"/>
  <c r="AF988" i="13"/>
  <c r="AG988" i="13"/>
  <c r="AH988" i="13"/>
  <c r="W987" i="13"/>
  <c r="AE987" i="13" s="1"/>
  <c r="Z987" i="13"/>
  <c r="AA987" i="13"/>
  <c r="AB987" i="13"/>
  <c r="AD987" i="13"/>
  <c r="AF987" i="13"/>
  <c r="AG987" i="13"/>
  <c r="AH987" i="13"/>
  <c r="W986" i="13"/>
  <c r="AE986" i="13" s="1"/>
  <c r="Z986" i="13"/>
  <c r="AA986" i="13"/>
  <c r="AB986" i="13"/>
  <c r="AD986" i="13"/>
  <c r="AG986" i="13"/>
  <c r="AH986" i="13"/>
  <c r="W985" i="13"/>
  <c r="AE985" i="13" s="1"/>
  <c r="Z985" i="13"/>
  <c r="AA985" i="13"/>
  <c r="AB985" i="13"/>
  <c r="AD985" i="13"/>
  <c r="AF985" i="13"/>
  <c r="AG985" i="13"/>
  <c r="AH985" i="13"/>
  <c r="W984" i="13"/>
  <c r="AE984" i="13" s="1"/>
  <c r="Z984" i="13"/>
  <c r="AA984" i="13"/>
  <c r="AB984" i="13"/>
  <c r="AD984" i="13"/>
  <c r="AF984" i="13"/>
  <c r="AG984" i="13"/>
  <c r="AH984" i="13"/>
  <c r="W983" i="13"/>
  <c r="AE983" i="13" s="1"/>
  <c r="Z983" i="13"/>
  <c r="AA983" i="13"/>
  <c r="AB983" i="13"/>
  <c r="AD983" i="13"/>
  <c r="AG983" i="13"/>
  <c r="AH983" i="13"/>
  <c r="W982" i="13"/>
  <c r="AE982" i="13" s="1"/>
  <c r="Z982" i="13"/>
  <c r="AA982" i="13"/>
  <c r="AB982" i="13"/>
  <c r="AD982" i="13"/>
  <c r="AF982" i="13"/>
  <c r="AG982" i="13"/>
  <c r="AH982" i="13"/>
  <c r="W981" i="13"/>
  <c r="AE981" i="13" s="1"/>
  <c r="Z981" i="13"/>
  <c r="AA981" i="13"/>
  <c r="AB981" i="13"/>
  <c r="AD981" i="13"/>
  <c r="AF981" i="13"/>
  <c r="AG981" i="13"/>
  <c r="AH981" i="13"/>
  <c r="W980" i="13"/>
  <c r="AE980" i="13" s="1"/>
  <c r="Z980" i="13"/>
  <c r="AA980" i="13"/>
  <c r="AB980" i="13"/>
  <c r="AD980" i="13"/>
  <c r="AG980" i="13"/>
  <c r="AH980" i="13"/>
  <c r="W979" i="13"/>
  <c r="AE979" i="13" s="1"/>
  <c r="Z979" i="13"/>
  <c r="AA979" i="13"/>
  <c r="AB979" i="13"/>
  <c r="AD979" i="13"/>
  <c r="AF979" i="13"/>
  <c r="AG979" i="13"/>
  <c r="AH979" i="13"/>
  <c r="W978" i="13"/>
  <c r="AE978" i="13" s="1"/>
  <c r="Z978" i="13"/>
  <c r="AA978" i="13"/>
  <c r="AB978" i="13"/>
  <c r="AD978" i="13"/>
  <c r="AF978" i="13"/>
  <c r="AG978" i="13"/>
  <c r="AH978" i="13"/>
  <c r="W977" i="13"/>
  <c r="AE977" i="13" s="1"/>
  <c r="Z977" i="13"/>
  <c r="AA977" i="13"/>
  <c r="AB977" i="13"/>
  <c r="AD977" i="13"/>
  <c r="AF977" i="13"/>
  <c r="AG977" i="13"/>
  <c r="AH977" i="13"/>
  <c r="W976" i="13"/>
  <c r="AE976" i="13" s="1"/>
  <c r="Z976" i="13"/>
  <c r="AA976" i="13"/>
  <c r="AB976" i="13"/>
  <c r="AD976" i="13"/>
  <c r="AG976" i="13"/>
  <c r="AH976" i="13"/>
  <c r="W975" i="13"/>
  <c r="AE975" i="13" s="1"/>
  <c r="Z975" i="13"/>
  <c r="AA975" i="13"/>
  <c r="AB975" i="13"/>
  <c r="AD975" i="13"/>
  <c r="AF975" i="13"/>
  <c r="AG975" i="13"/>
  <c r="AH975" i="13"/>
  <c r="W974" i="13"/>
  <c r="AE974" i="13" s="1"/>
  <c r="Z974" i="13"/>
  <c r="AA974" i="13"/>
  <c r="AB974" i="13"/>
  <c r="AD974" i="13"/>
  <c r="AF974" i="13"/>
  <c r="AG974" i="13"/>
  <c r="AH974" i="13"/>
  <c r="W973" i="13"/>
  <c r="AE973" i="13" s="1"/>
  <c r="Z973" i="13"/>
  <c r="AA973" i="13"/>
  <c r="AB973" i="13"/>
  <c r="AD973" i="13"/>
  <c r="AF973" i="13"/>
  <c r="AG973" i="13"/>
  <c r="AH973" i="13"/>
  <c r="W972" i="13"/>
  <c r="AE972" i="13" s="1"/>
  <c r="Z972" i="13"/>
  <c r="AA972" i="13"/>
  <c r="AB972" i="13"/>
  <c r="AD972" i="13"/>
  <c r="AG972" i="13"/>
  <c r="AH972" i="13"/>
  <c r="W971" i="13"/>
  <c r="AE971" i="13" s="1"/>
  <c r="Z971" i="13"/>
  <c r="AA971" i="13"/>
  <c r="AB971" i="13"/>
  <c r="AD971" i="13"/>
  <c r="AF971" i="13"/>
  <c r="AG971" i="13"/>
  <c r="AH971" i="13"/>
  <c r="W970" i="13"/>
  <c r="AE970" i="13" s="1"/>
  <c r="Z970" i="13"/>
  <c r="AA970" i="13"/>
  <c r="AB970" i="13"/>
  <c r="AD970" i="13"/>
  <c r="AG970" i="13"/>
  <c r="AH970" i="13"/>
  <c r="W969" i="13"/>
  <c r="AE969" i="13" s="1"/>
  <c r="Z969" i="13"/>
  <c r="AA969" i="13"/>
  <c r="AB969" i="13"/>
  <c r="AD969" i="13"/>
  <c r="AF969" i="13"/>
  <c r="AG969" i="13"/>
  <c r="AH969" i="13"/>
  <c r="W968" i="13"/>
  <c r="AE968" i="13" s="1"/>
  <c r="Z968" i="13"/>
  <c r="AA968" i="13"/>
  <c r="AB968" i="13"/>
  <c r="AD968" i="13"/>
  <c r="AF968" i="13"/>
  <c r="AG968" i="13"/>
  <c r="AH968" i="13"/>
  <c r="W967" i="13"/>
  <c r="AE967" i="13" s="1"/>
  <c r="Z967" i="13"/>
  <c r="AA967" i="13"/>
  <c r="AB967" i="13"/>
  <c r="AD967" i="13"/>
  <c r="AF967" i="13"/>
  <c r="AG967" i="13"/>
  <c r="AH967" i="13"/>
  <c r="W966" i="13"/>
  <c r="AE966" i="13" s="1"/>
  <c r="Z966" i="13"/>
  <c r="AA966" i="13"/>
  <c r="AB966" i="13"/>
  <c r="AD966" i="13"/>
  <c r="AF966" i="13"/>
  <c r="AG966" i="13"/>
  <c r="AH966" i="13"/>
  <c r="W965" i="13"/>
  <c r="AE965" i="13" s="1"/>
  <c r="Z965" i="13"/>
  <c r="AA965" i="13"/>
  <c r="AB965" i="13"/>
  <c r="AD965" i="13"/>
  <c r="AF965" i="13"/>
  <c r="AG965" i="13"/>
  <c r="AH965" i="13"/>
  <c r="W964" i="13"/>
  <c r="AE964" i="13" s="1"/>
  <c r="Z964" i="13"/>
  <c r="AA964" i="13"/>
  <c r="AB964" i="13"/>
  <c r="AD964" i="13"/>
  <c r="AF964" i="13"/>
  <c r="AG964" i="13"/>
  <c r="AH964" i="13"/>
  <c r="W963" i="13"/>
  <c r="AE963" i="13" s="1"/>
  <c r="Z963" i="13"/>
  <c r="AA963" i="13"/>
  <c r="AB963" i="13"/>
  <c r="AD963" i="13"/>
  <c r="AF963" i="13"/>
  <c r="AG963" i="13"/>
  <c r="AH963" i="13"/>
  <c r="W962" i="13"/>
  <c r="AE962" i="13" s="1"/>
  <c r="Z962" i="13"/>
  <c r="AA962" i="13"/>
  <c r="AB962" i="13"/>
  <c r="AD962" i="13"/>
  <c r="AF962" i="13"/>
  <c r="AG962" i="13"/>
  <c r="AH962" i="13"/>
  <c r="W961" i="13"/>
  <c r="AE961" i="13" s="1"/>
  <c r="Z961" i="13"/>
  <c r="AA961" i="13"/>
  <c r="AB961" i="13"/>
  <c r="AD961" i="13"/>
  <c r="AF961" i="13"/>
  <c r="AG961" i="13"/>
  <c r="AH961" i="13"/>
  <c r="W960" i="13"/>
  <c r="AE960" i="13" s="1"/>
  <c r="Z960" i="13"/>
  <c r="AA960" i="13"/>
  <c r="AB960" i="13"/>
  <c r="AD960" i="13"/>
  <c r="AG960" i="13"/>
  <c r="AH960" i="13"/>
  <c r="W959" i="13"/>
  <c r="AE959" i="13" s="1"/>
  <c r="Z959" i="13"/>
  <c r="AA959" i="13"/>
  <c r="AB959" i="13"/>
  <c r="AD959" i="13"/>
  <c r="AF959" i="13"/>
  <c r="AG959" i="13"/>
  <c r="AH959" i="13"/>
  <c r="W958" i="13"/>
  <c r="AE958" i="13" s="1"/>
  <c r="Z958" i="13"/>
  <c r="AA958" i="13"/>
  <c r="AB958" i="13"/>
  <c r="AD958" i="13"/>
  <c r="AG958" i="13"/>
  <c r="AH958" i="13"/>
  <c r="W957" i="13"/>
  <c r="AE957" i="13" s="1"/>
  <c r="Z957" i="13"/>
  <c r="AA957" i="13"/>
  <c r="AB957" i="13"/>
  <c r="AD957" i="13"/>
  <c r="AF957" i="13"/>
  <c r="AG957" i="13"/>
  <c r="AH957" i="13"/>
  <c r="W956" i="13"/>
  <c r="AE956" i="13" s="1"/>
  <c r="Z956" i="13"/>
  <c r="AA956" i="13"/>
  <c r="AB956" i="13"/>
  <c r="AD956" i="13"/>
  <c r="AF956" i="13"/>
  <c r="AG956" i="13"/>
  <c r="AH956" i="13"/>
  <c r="W955" i="13"/>
  <c r="AE955" i="13" s="1"/>
  <c r="Z955" i="13"/>
  <c r="AF955" i="13" s="1"/>
  <c r="AA955" i="13"/>
  <c r="AB955" i="13"/>
  <c r="AD955" i="13"/>
  <c r="AG955" i="13"/>
  <c r="AH955" i="13"/>
  <c r="W954" i="13"/>
  <c r="AE954" i="13" s="1"/>
  <c r="Z954" i="13"/>
  <c r="AA954" i="13"/>
  <c r="AB954" i="13"/>
  <c r="AD954" i="13"/>
  <c r="AF954" i="13"/>
  <c r="AG954" i="13"/>
  <c r="AH954" i="13"/>
  <c r="W953" i="13"/>
  <c r="AE953" i="13" s="1"/>
  <c r="Z953" i="13"/>
  <c r="AA953" i="13"/>
  <c r="AB953" i="13"/>
  <c r="AD953" i="13"/>
  <c r="AG953" i="13"/>
  <c r="AH953" i="13"/>
  <c r="W952" i="13"/>
  <c r="AE952" i="13" s="1"/>
  <c r="Z952" i="13"/>
  <c r="AA952" i="13"/>
  <c r="AB952" i="13"/>
  <c r="AD952" i="13"/>
  <c r="AF952" i="13"/>
  <c r="AG952" i="13"/>
  <c r="AH952" i="13"/>
  <c r="W951" i="13"/>
  <c r="AE951" i="13" s="1"/>
  <c r="Z951" i="13"/>
  <c r="AA951" i="13"/>
  <c r="AB951" i="13"/>
  <c r="AD951" i="13"/>
  <c r="AF951" i="13"/>
  <c r="AG951" i="13"/>
  <c r="AH951" i="13"/>
  <c r="W950" i="13"/>
  <c r="AE950" i="13" s="1"/>
  <c r="Z950" i="13"/>
  <c r="AA950" i="13"/>
  <c r="AB950" i="13"/>
  <c r="AD950" i="13"/>
  <c r="AF950" i="13"/>
  <c r="AG950" i="13"/>
  <c r="AH950" i="13"/>
  <c r="W949" i="13"/>
  <c r="AE949" i="13" s="1"/>
  <c r="Z949" i="13"/>
  <c r="AA949" i="13"/>
  <c r="AB949" i="13"/>
  <c r="AD949" i="13"/>
  <c r="AF949" i="13"/>
  <c r="AG949" i="13"/>
  <c r="AH949" i="13"/>
  <c r="W948" i="13"/>
  <c r="AE948" i="13" s="1"/>
  <c r="Z948" i="13"/>
  <c r="AA948" i="13"/>
  <c r="AB948" i="13"/>
  <c r="AD948" i="13"/>
  <c r="AF948" i="13"/>
  <c r="AG948" i="13"/>
  <c r="AH948" i="13"/>
  <c r="W947" i="13"/>
  <c r="AE947" i="13" s="1"/>
  <c r="Z947" i="13"/>
  <c r="AA947" i="13"/>
  <c r="AB947" i="13"/>
  <c r="AD947" i="13"/>
  <c r="AF947" i="13"/>
  <c r="AG947" i="13"/>
  <c r="AH947" i="13"/>
  <c r="W946" i="13"/>
  <c r="AE946" i="13" s="1"/>
  <c r="Z946" i="13"/>
  <c r="AA946" i="13"/>
  <c r="AB946" i="13"/>
  <c r="AD946" i="13"/>
  <c r="AF946" i="13"/>
  <c r="AG946" i="13"/>
  <c r="AH946" i="13"/>
  <c r="W945" i="13"/>
  <c r="AE945" i="13" s="1"/>
  <c r="Z945" i="13"/>
  <c r="AA945" i="13"/>
  <c r="AB945" i="13"/>
  <c r="AD945" i="13"/>
  <c r="AF945" i="13"/>
  <c r="AG945" i="13"/>
  <c r="AH945" i="13"/>
  <c r="W944" i="13"/>
  <c r="AE944" i="13" s="1"/>
  <c r="Z944" i="13"/>
  <c r="AA944" i="13"/>
  <c r="AB944" i="13"/>
  <c r="AD944" i="13"/>
  <c r="AG944" i="13"/>
  <c r="AH944" i="13"/>
  <c r="W943" i="13"/>
  <c r="AE943" i="13" s="1"/>
  <c r="Z943" i="13"/>
  <c r="AA943" i="13"/>
  <c r="AB943" i="13"/>
  <c r="AD943" i="13"/>
  <c r="AF943" i="13"/>
  <c r="AG943" i="13"/>
  <c r="AH943" i="13"/>
  <c r="W942" i="13"/>
  <c r="AE942" i="13" s="1"/>
  <c r="Z942" i="13"/>
  <c r="AA942" i="13"/>
  <c r="AB942" i="13"/>
  <c r="AD942" i="13"/>
  <c r="AG942" i="13"/>
  <c r="AH942" i="13"/>
  <c r="W941" i="13"/>
  <c r="AE941" i="13" s="1"/>
  <c r="Z941" i="13"/>
  <c r="AA941" i="13"/>
  <c r="AB941" i="13"/>
  <c r="AD941" i="13"/>
  <c r="AF941" i="13"/>
  <c r="AG941" i="13"/>
  <c r="AH941" i="13"/>
  <c r="W940" i="13"/>
  <c r="AE940" i="13" s="1"/>
  <c r="Z940" i="13"/>
  <c r="AA940" i="13"/>
  <c r="AB940" i="13"/>
  <c r="AD940" i="13"/>
  <c r="AF940" i="13"/>
  <c r="AG940" i="13"/>
  <c r="AH940" i="13"/>
  <c r="W939" i="13"/>
  <c r="AE939" i="13" s="1"/>
  <c r="Z939" i="13"/>
  <c r="AA939" i="13"/>
  <c r="AB939" i="13"/>
  <c r="AD939" i="13"/>
  <c r="AF939" i="13"/>
  <c r="AG939" i="13"/>
  <c r="AH939" i="13"/>
  <c r="W938" i="13"/>
  <c r="AE938" i="13" s="1"/>
  <c r="Z938" i="13"/>
  <c r="AA938" i="13"/>
  <c r="AB938" i="13"/>
  <c r="AD938" i="13"/>
  <c r="AF938" i="13"/>
  <c r="AG938" i="13"/>
  <c r="AH938" i="13"/>
  <c r="W937" i="13"/>
  <c r="AE937" i="13" s="1"/>
  <c r="Z937" i="13"/>
  <c r="AA937" i="13"/>
  <c r="AB937" i="13"/>
  <c r="AD937" i="13"/>
  <c r="AF937" i="13"/>
  <c r="AG937" i="13"/>
  <c r="AH937" i="13"/>
  <c r="X948" i="13" l="1"/>
  <c r="AC948" i="13" s="1"/>
  <c r="X978" i="13"/>
  <c r="AC978" i="13" s="1"/>
  <c r="Y948" i="13"/>
  <c r="Y978" i="13"/>
  <c r="X982" i="13"/>
  <c r="AC982" i="13" s="1"/>
  <c r="Y982" i="13"/>
  <c r="X947" i="13"/>
  <c r="AC947" i="13" s="1"/>
  <c r="X956" i="13"/>
  <c r="AC956" i="13" s="1"/>
  <c r="X958" i="13"/>
  <c r="AC958" i="13" s="1"/>
  <c r="X968" i="13"/>
  <c r="AC968" i="13" s="1"/>
  <c r="X970" i="13"/>
  <c r="AC970" i="13" s="1"/>
  <c r="X1000" i="13"/>
  <c r="AC1000" i="13" s="1"/>
  <c r="X972" i="13"/>
  <c r="AC972" i="13" s="1"/>
  <c r="X989" i="13"/>
  <c r="AC989" i="13" s="1"/>
  <c r="X938" i="13"/>
  <c r="AC938" i="13" s="1"/>
  <c r="X963" i="13"/>
  <c r="AC963" i="13" s="1"/>
  <c r="X992" i="13"/>
  <c r="AC992" i="13" s="1"/>
  <c r="X940" i="13"/>
  <c r="AC940" i="13" s="1"/>
  <c r="X942" i="13"/>
  <c r="AC942" i="13" s="1"/>
  <c r="X944" i="13"/>
  <c r="AC944" i="13" s="1"/>
  <c r="X950" i="13"/>
  <c r="AC950" i="13" s="1"/>
  <c r="X953" i="13"/>
  <c r="AC953" i="13" s="1"/>
  <c r="X965" i="13"/>
  <c r="AC965" i="13" s="1"/>
  <c r="X974" i="13"/>
  <c r="AC974" i="13" s="1"/>
  <c r="X976" i="13"/>
  <c r="AC976" i="13" s="1"/>
  <c r="X980" i="13"/>
  <c r="AC980" i="13" s="1"/>
  <c r="X983" i="13"/>
  <c r="AC983" i="13" s="1"/>
  <c r="X986" i="13"/>
  <c r="AC986" i="13" s="1"/>
  <c r="X994" i="13"/>
  <c r="AC994" i="13" s="1"/>
  <c r="X997" i="13"/>
  <c r="AC997" i="13" s="1"/>
  <c r="AF1000" i="13"/>
  <c r="Y1000" i="13" s="1"/>
  <c r="X937" i="13"/>
  <c r="AC937" i="13" s="1"/>
  <c r="X939" i="13"/>
  <c r="AC939" i="13" s="1"/>
  <c r="X941" i="13"/>
  <c r="AC941" i="13" s="1"/>
  <c r="AF942" i="13"/>
  <c r="Y942" i="13" s="1"/>
  <c r="X943" i="13"/>
  <c r="AC943" i="13" s="1"/>
  <c r="AF944" i="13"/>
  <c r="Y944" i="13" s="1"/>
  <c r="X945" i="13"/>
  <c r="AC945" i="13" s="1"/>
  <c r="X949" i="13"/>
  <c r="AC949" i="13" s="1"/>
  <c r="X951" i="13"/>
  <c r="AC951" i="13" s="1"/>
  <c r="AF953" i="13"/>
  <c r="Y953" i="13" s="1"/>
  <c r="X955" i="13"/>
  <c r="AC955" i="13" s="1"/>
  <c r="Y956" i="13"/>
  <c r="X957" i="13"/>
  <c r="AC957" i="13" s="1"/>
  <c r="AF958" i="13"/>
  <c r="X959" i="13"/>
  <c r="AC959" i="13" s="1"/>
  <c r="X961" i="13"/>
  <c r="AC961" i="13" s="1"/>
  <c r="X964" i="13"/>
  <c r="AC964" i="13" s="1"/>
  <c r="X966" i="13"/>
  <c r="AC966" i="13" s="1"/>
  <c r="X969" i="13"/>
  <c r="AC969" i="13" s="1"/>
  <c r="AF970" i="13"/>
  <c r="Y970" i="13" s="1"/>
  <c r="X971" i="13"/>
  <c r="AC971" i="13" s="1"/>
  <c r="AF972" i="13"/>
  <c r="Y972" i="13" s="1"/>
  <c r="X973" i="13"/>
  <c r="AC973" i="13" s="1"/>
  <c r="X975" i="13"/>
  <c r="AC975" i="13" s="1"/>
  <c r="AF976" i="13"/>
  <c r="Y976" i="13" s="1"/>
  <c r="X979" i="13"/>
  <c r="AC979" i="13" s="1"/>
  <c r="AF980" i="13"/>
  <c r="Y980" i="13" s="1"/>
  <c r="X981" i="13"/>
  <c r="AC981" i="13" s="1"/>
  <c r="AF983" i="13"/>
  <c r="Y983" i="13" s="1"/>
  <c r="X984" i="13"/>
  <c r="AC984" i="13" s="1"/>
  <c r="AF986" i="13"/>
  <c r="Y986" i="13" s="1"/>
  <c r="X988" i="13"/>
  <c r="AC988" i="13" s="1"/>
  <c r="X990" i="13"/>
  <c r="AC990" i="13" s="1"/>
  <c r="AF992" i="13"/>
  <c r="Y992" i="13" s="1"/>
  <c r="X993" i="13"/>
  <c r="AC993" i="13" s="1"/>
  <c r="Y997" i="13"/>
  <c r="X999" i="13"/>
  <c r="AC999" i="13" s="1"/>
  <c r="Y939" i="13"/>
  <c r="Y943" i="13"/>
  <c r="Y945" i="13"/>
  <c r="Y949" i="13"/>
  <c r="Y940" i="13"/>
  <c r="Y947" i="13"/>
  <c r="Y979" i="13"/>
  <c r="Y981" i="13"/>
  <c r="Y937" i="13"/>
  <c r="Y951" i="13"/>
  <c r="Y950" i="13"/>
  <c r="Y955" i="13"/>
  <c r="Y958" i="13"/>
  <c r="Y963" i="13"/>
  <c r="Y965" i="13"/>
  <c r="Y968" i="13"/>
  <c r="Y974" i="13"/>
  <c r="Y984" i="13"/>
  <c r="Y988" i="13"/>
  <c r="Y990" i="13"/>
  <c r="Y993" i="13"/>
  <c r="Y938" i="13"/>
  <c r="Y941" i="13"/>
  <c r="Y957" i="13"/>
  <c r="Y959" i="13"/>
  <c r="Y961" i="13"/>
  <c r="Y964" i="13"/>
  <c r="Y966" i="13"/>
  <c r="Y969" i="13"/>
  <c r="Y971" i="13"/>
  <c r="Y973" i="13"/>
  <c r="Y975" i="13"/>
  <c r="Y989" i="13"/>
  <c r="Y991" i="13"/>
  <c r="Y994" i="13"/>
  <c r="Y999" i="13"/>
  <c r="X987" i="13"/>
  <c r="AC987" i="13" s="1"/>
  <c r="X946" i="13"/>
  <c r="AC946" i="13" s="1"/>
  <c r="X960" i="13"/>
  <c r="AC960" i="13" s="1"/>
  <c r="X954" i="13"/>
  <c r="AC954" i="13" s="1"/>
  <c r="AF960" i="13"/>
  <c r="X962" i="13"/>
  <c r="AC962" i="13" s="1"/>
  <c r="X998" i="13"/>
  <c r="AC998" i="13" s="1"/>
  <c r="Y946" i="13"/>
  <c r="Y954" i="13"/>
  <c r="Y962" i="13"/>
  <c r="Y960" i="13"/>
  <c r="Y987" i="13"/>
  <c r="Y998" i="13"/>
  <c r="X967" i="13"/>
  <c r="AC967" i="13" s="1"/>
  <c r="X985" i="13"/>
  <c r="AC985" i="13" s="1"/>
  <c r="Y967" i="13"/>
  <c r="Y985" i="13"/>
  <c r="X995" i="13"/>
  <c r="AC995" i="13" s="1"/>
  <c r="AF995" i="13"/>
  <c r="X996" i="13"/>
  <c r="AC996" i="13" s="1"/>
  <c r="X977" i="13"/>
  <c r="AC977" i="13" s="1"/>
  <c r="Y977" i="13"/>
  <c r="Y952" i="13"/>
  <c r="Y996" i="13"/>
  <c r="Y995" i="13"/>
  <c r="X991" i="13"/>
  <c r="AC991" i="13" s="1"/>
  <c r="X952" i="13"/>
  <c r="AC952" i="13" s="1"/>
  <c r="W936" i="13"/>
  <c r="AE936" i="13" s="1"/>
  <c r="Z936" i="13"/>
  <c r="AA936" i="13"/>
  <c r="AB936" i="13"/>
  <c r="AD936" i="13"/>
  <c r="AG936" i="13"/>
  <c r="AH936" i="13"/>
  <c r="W935" i="13"/>
  <c r="AE935" i="13" s="1"/>
  <c r="Z935" i="13"/>
  <c r="AA935" i="13"/>
  <c r="AB935" i="13"/>
  <c r="AD935" i="13"/>
  <c r="AF935" i="13"/>
  <c r="AG935" i="13"/>
  <c r="AH935" i="13"/>
  <c r="W934" i="13"/>
  <c r="AE934" i="13" s="1"/>
  <c r="Z934" i="13"/>
  <c r="AA934" i="13"/>
  <c r="AB934" i="13"/>
  <c r="AD934" i="13"/>
  <c r="AF934" i="13"/>
  <c r="AG934" i="13"/>
  <c r="AH934" i="13"/>
  <c r="W933" i="13"/>
  <c r="AE933" i="13" s="1"/>
  <c r="Z933" i="13"/>
  <c r="AA933" i="13"/>
  <c r="AB933" i="13"/>
  <c r="AD933" i="13"/>
  <c r="AF933" i="13"/>
  <c r="AG933" i="13"/>
  <c r="AH933" i="13"/>
  <c r="W932" i="13"/>
  <c r="AE932" i="13" s="1"/>
  <c r="Z932" i="13"/>
  <c r="AF932" i="13" s="1"/>
  <c r="AA932" i="13"/>
  <c r="AB932" i="13"/>
  <c r="AD932" i="13"/>
  <c r="AG932" i="13"/>
  <c r="AH932" i="13"/>
  <c r="W931" i="13"/>
  <c r="AE931" i="13" s="1"/>
  <c r="Z931" i="13"/>
  <c r="AA931" i="13"/>
  <c r="AB931" i="13"/>
  <c r="AD931" i="13"/>
  <c r="AF931" i="13"/>
  <c r="AG931" i="13"/>
  <c r="AH931" i="13"/>
  <c r="W930" i="13"/>
  <c r="AE930" i="13" s="1"/>
  <c r="Z930" i="13"/>
  <c r="AA930" i="13"/>
  <c r="AB930" i="13"/>
  <c r="AD930" i="13"/>
  <c r="AG930" i="13"/>
  <c r="AH930" i="13"/>
  <c r="AH929" i="13"/>
  <c r="AG929" i="13"/>
  <c r="AF929" i="13"/>
  <c r="AD929" i="13"/>
  <c r="AB929" i="13"/>
  <c r="AA929" i="13"/>
  <c r="Z929" i="13"/>
  <c r="W929" i="13"/>
  <c r="W928" i="13"/>
  <c r="AE928" i="13" s="1"/>
  <c r="Z928" i="13"/>
  <c r="AA928" i="13"/>
  <c r="AB928" i="13"/>
  <c r="AD928" i="13"/>
  <c r="AF928" i="13"/>
  <c r="AG928" i="13"/>
  <c r="AH928" i="13"/>
  <c r="W927" i="13"/>
  <c r="AE927" i="13" s="1"/>
  <c r="Z927" i="13"/>
  <c r="AA927" i="13"/>
  <c r="AB927" i="13"/>
  <c r="AD927" i="13"/>
  <c r="AF927" i="13"/>
  <c r="AG927" i="13"/>
  <c r="AH927" i="13"/>
  <c r="W926" i="13"/>
  <c r="AE926" i="13" s="1"/>
  <c r="Z926" i="13"/>
  <c r="AA926" i="13"/>
  <c r="AB926" i="13"/>
  <c r="AD926" i="13"/>
  <c r="AF926" i="13"/>
  <c r="AG926" i="13"/>
  <c r="AH926" i="13"/>
  <c r="W925" i="13"/>
  <c r="AE925" i="13" s="1"/>
  <c r="Z925" i="13"/>
  <c r="AA925" i="13"/>
  <c r="AB925" i="13"/>
  <c r="AD925" i="13"/>
  <c r="AF925" i="13"/>
  <c r="AG925" i="13"/>
  <c r="AH925" i="13"/>
  <c r="W924" i="13"/>
  <c r="AE924" i="13" s="1"/>
  <c r="Z924" i="13"/>
  <c r="AF924" i="13" s="1"/>
  <c r="AA924" i="13"/>
  <c r="AB924" i="13"/>
  <c r="AD924" i="13"/>
  <c r="AG924" i="13"/>
  <c r="AH924" i="13"/>
  <c r="W923" i="13"/>
  <c r="AE923" i="13" s="1"/>
  <c r="Z923" i="13"/>
  <c r="AA923" i="13"/>
  <c r="AB923" i="13"/>
  <c r="AD923" i="13"/>
  <c r="AF923" i="13"/>
  <c r="AG923" i="13"/>
  <c r="AH923" i="13"/>
  <c r="W922" i="13"/>
  <c r="AE922" i="13" s="1"/>
  <c r="Z922" i="13"/>
  <c r="AA922" i="13"/>
  <c r="AB922" i="13"/>
  <c r="AD922" i="13"/>
  <c r="AF922" i="13"/>
  <c r="AG922" i="13"/>
  <c r="AH922" i="13"/>
  <c r="W921" i="13"/>
  <c r="AE921" i="13" s="1"/>
  <c r="Z921" i="13"/>
  <c r="AA921" i="13"/>
  <c r="AB921" i="13"/>
  <c r="AD921" i="13"/>
  <c r="AF921" i="13"/>
  <c r="AG921" i="13"/>
  <c r="AH921" i="13"/>
  <c r="W920" i="13"/>
  <c r="AE920" i="13" s="1"/>
  <c r="Z920" i="13"/>
  <c r="AA920" i="13"/>
  <c r="AB920" i="13"/>
  <c r="AD920" i="13"/>
  <c r="AG920" i="13"/>
  <c r="AH920" i="13"/>
  <c r="W919" i="13"/>
  <c r="AE919" i="13" s="1"/>
  <c r="Z919" i="13"/>
  <c r="AA919" i="13"/>
  <c r="AB919" i="13"/>
  <c r="AD919" i="13"/>
  <c r="AG919" i="13"/>
  <c r="AH919" i="13"/>
  <c r="W918" i="13"/>
  <c r="AE918" i="13" s="1"/>
  <c r="Z918" i="13"/>
  <c r="AA918" i="13"/>
  <c r="AB918" i="13"/>
  <c r="AD918" i="13"/>
  <c r="AF918" i="13"/>
  <c r="AG918" i="13"/>
  <c r="AH918" i="13"/>
  <c r="W917" i="13"/>
  <c r="AE917" i="13" s="1"/>
  <c r="Z917" i="13"/>
  <c r="AF917" i="13" s="1"/>
  <c r="AA917" i="13"/>
  <c r="AB917" i="13"/>
  <c r="AD917" i="13"/>
  <c r="AG917" i="13"/>
  <c r="AH917" i="13"/>
  <c r="W916" i="13"/>
  <c r="AE916" i="13" s="1"/>
  <c r="Z916" i="13"/>
  <c r="AA916" i="13"/>
  <c r="AB916" i="13"/>
  <c r="AD916" i="13"/>
  <c r="AF916" i="13"/>
  <c r="AG916" i="13"/>
  <c r="AH916" i="13"/>
  <c r="W915" i="13"/>
  <c r="AE915" i="13" s="1"/>
  <c r="Z915" i="13"/>
  <c r="AA915" i="13"/>
  <c r="AB915" i="13"/>
  <c r="AD915" i="13"/>
  <c r="AF915" i="13"/>
  <c r="AG915" i="13"/>
  <c r="AH915" i="13"/>
  <c r="W914" i="13"/>
  <c r="AE914" i="13" s="1"/>
  <c r="Z914" i="13"/>
  <c r="AA914" i="13"/>
  <c r="AB914" i="13"/>
  <c r="AD914" i="13"/>
  <c r="AG914" i="13"/>
  <c r="AH914" i="13"/>
  <c r="W913" i="13"/>
  <c r="AE913" i="13" s="1"/>
  <c r="Z913" i="13"/>
  <c r="AA913" i="13"/>
  <c r="AB913" i="13"/>
  <c r="AD913" i="13"/>
  <c r="AF913" i="13"/>
  <c r="AG913" i="13"/>
  <c r="AH913" i="13"/>
  <c r="W912" i="13"/>
  <c r="AE912" i="13" s="1"/>
  <c r="Z912" i="13"/>
  <c r="AA912" i="13"/>
  <c r="AB912" i="13"/>
  <c r="AD912" i="13"/>
  <c r="AF912" i="13"/>
  <c r="AG912" i="13"/>
  <c r="AH912" i="13"/>
  <c r="Y929" i="13" l="1"/>
  <c r="X930" i="13"/>
  <c r="AC930" i="13" s="1"/>
  <c r="X914" i="13"/>
  <c r="AC914" i="13" s="1"/>
  <c r="X919" i="13"/>
  <c r="AC919" i="13" s="1"/>
  <c r="X923" i="13"/>
  <c r="AC923" i="13" s="1"/>
  <c r="X925" i="13"/>
  <c r="AC925" i="13" s="1"/>
  <c r="X929" i="13"/>
  <c r="AC929" i="13" s="1"/>
  <c r="AF930" i="13"/>
  <c r="Y930" i="13" s="1"/>
  <c r="X916" i="13"/>
  <c r="AC916" i="13" s="1"/>
  <c r="AF919" i="13"/>
  <c r="Y919" i="13" s="1"/>
  <c r="X926" i="13"/>
  <c r="AC926" i="13" s="1"/>
  <c r="X933" i="13"/>
  <c r="AC933" i="13" s="1"/>
  <c r="X936" i="13"/>
  <c r="AC936" i="13" s="1"/>
  <c r="X913" i="13"/>
  <c r="AC913" i="13" s="1"/>
  <c r="AF914" i="13"/>
  <c r="Y914" i="13" s="1"/>
  <c r="X915" i="13"/>
  <c r="AC915" i="13" s="1"/>
  <c r="X918" i="13"/>
  <c r="AC918" i="13" s="1"/>
  <c r="X931" i="13"/>
  <c r="AC931" i="13" s="1"/>
  <c r="X934" i="13"/>
  <c r="AC934" i="13" s="1"/>
  <c r="AF936" i="13"/>
  <c r="Y936" i="13" s="1"/>
  <c r="Y915" i="13"/>
  <c r="Y931" i="13"/>
  <c r="Y923" i="13"/>
  <c r="Y925" i="13"/>
  <c r="Y926" i="13"/>
  <c r="Y933" i="13"/>
  <c r="Y916" i="13"/>
  <c r="Y913" i="13"/>
  <c r="Y934" i="13"/>
  <c r="X935" i="13"/>
  <c r="AC935" i="13" s="1"/>
  <c r="X912" i="13"/>
  <c r="AC912" i="13" s="1"/>
  <c r="Y912" i="13"/>
  <c r="Y918" i="13"/>
  <c r="Y935" i="13"/>
  <c r="X920" i="13"/>
  <c r="AC920" i="13" s="1"/>
  <c r="AF920" i="13"/>
  <c r="Y920" i="13" s="1"/>
  <c r="X928" i="13"/>
  <c r="AC928" i="13" s="1"/>
  <c r="X922" i="13"/>
  <c r="AC922" i="13" s="1"/>
  <c r="X921" i="13"/>
  <c r="AC921" i="13" s="1"/>
  <c r="X924" i="13"/>
  <c r="AC924" i="13" s="1"/>
  <c r="X932" i="13"/>
  <c r="AC932" i="13" s="1"/>
  <c r="X917" i="13"/>
  <c r="AC917" i="13" s="1"/>
  <c r="X927" i="13"/>
  <c r="AC927" i="13" s="1"/>
  <c r="Y917" i="13"/>
  <c r="Y922" i="13"/>
  <c r="Y927" i="13"/>
  <c r="Y921" i="13"/>
  <c r="Y924" i="13"/>
  <c r="Y928" i="13"/>
  <c r="Y932" i="13"/>
  <c r="AE929" i="13"/>
  <c r="W911" i="13"/>
  <c r="AE911" i="13" s="1"/>
  <c r="Z911" i="13"/>
  <c r="AA911" i="13"/>
  <c r="AB911" i="13"/>
  <c r="AD911" i="13"/>
  <c r="AG911" i="13"/>
  <c r="AH911" i="13"/>
  <c r="W910" i="13"/>
  <c r="AE910" i="13" s="1"/>
  <c r="Z910" i="13"/>
  <c r="AA910" i="13"/>
  <c r="AB910" i="13"/>
  <c r="AD910" i="13"/>
  <c r="AG910" i="13"/>
  <c r="AH910" i="13"/>
  <c r="W909" i="13"/>
  <c r="AE909" i="13" s="1"/>
  <c r="Z909" i="13"/>
  <c r="AA909" i="13"/>
  <c r="AB909" i="13"/>
  <c r="AD909" i="13"/>
  <c r="AF909" i="13"/>
  <c r="AG909" i="13"/>
  <c r="AH909" i="13"/>
  <c r="W908" i="13"/>
  <c r="AE908" i="13" s="1"/>
  <c r="Z908" i="13"/>
  <c r="AA908" i="13"/>
  <c r="AB908" i="13"/>
  <c r="AD908" i="13"/>
  <c r="AF908" i="13"/>
  <c r="AG908" i="13"/>
  <c r="AH908" i="13"/>
  <c r="W907" i="13"/>
  <c r="AE907" i="13" s="1"/>
  <c r="Z907" i="13"/>
  <c r="AA907" i="13"/>
  <c r="AB907" i="13"/>
  <c r="AD907" i="13"/>
  <c r="AF907" i="13"/>
  <c r="AG907" i="13"/>
  <c r="AH907" i="13"/>
  <c r="W906" i="13"/>
  <c r="AE906" i="13" s="1"/>
  <c r="Z906" i="13"/>
  <c r="AA906" i="13"/>
  <c r="AB906" i="13"/>
  <c r="AD906" i="13"/>
  <c r="AG906" i="13"/>
  <c r="AH906" i="13"/>
  <c r="X910" i="13" l="1"/>
  <c r="AC910" i="13" s="1"/>
  <c r="AF910" i="13"/>
  <c r="Y907" i="13"/>
  <c r="Y910" i="13"/>
  <c r="X906" i="13"/>
  <c r="AC906" i="13" s="1"/>
  <c r="AF906" i="13"/>
  <c r="Y906" i="13" s="1"/>
  <c r="X911" i="13"/>
  <c r="AC911" i="13" s="1"/>
  <c r="AF911" i="13"/>
  <c r="X908" i="13"/>
  <c r="AC908" i="13" s="1"/>
  <c r="X909" i="13"/>
  <c r="AC909" i="13" s="1"/>
  <c r="Y908" i="13"/>
  <c r="Y911" i="13"/>
  <c r="Y909" i="13"/>
  <c r="X907" i="13"/>
  <c r="AC907" i="13" s="1"/>
  <c r="W905" i="13"/>
  <c r="AE905" i="13" s="1"/>
  <c r="Z905" i="13"/>
  <c r="AA905" i="13"/>
  <c r="AB905" i="13"/>
  <c r="AD905" i="13"/>
  <c r="AF905" i="13"/>
  <c r="AG905" i="13"/>
  <c r="AH905" i="13"/>
  <c r="W904" i="13"/>
  <c r="AE904" i="13" s="1"/>
  <c r="Z904" i="13"/>
  <c r="AA904" i="13"/>
  <c r="AB904" i="13"/>
  <c r="AD904" i="13"/>
  <c r="AF904" i="13"/>
  <c r="AG904" i="13"/>
  <c r="AH904" i="13"/>
  <c r="W903" i="13"/>
  <c r="AE903" i="13" s="1"/>
  <c r="Z903" i="13"/>
  <c r="AA903" i="13"/>
  <c r="AB903" i="13"/>
  <c r="AD903" i="13"/>
  <c r="AF903" i="13"/>
  <c r="AG903" i="13"/>
  <c r="AH903" i="13"/>
  <c r="W902" i="13"/>
  <c r="AE902" i="13" s="1"/>
  <c r="Z902" i="13"/>
  <c r="AA902" i="13"/>
  <c r="AB902" i="13"/>
  <c r="AD902" i="13"/>
  <c r="AF902" i="13"/>
  <c r="AG902" i="13"/>
  <c r="AH902" i="13"/>
  <c r="W901" i="13"/>
  <c r="AE901" i="13" s="1"/>
  <c r="Z901" i="13"/>
  <c r="AA901" i="13"/>
  <c r="AB901" i="13"/>
  <c r="AD901" i="13"/>
  <c r="AF901" i="13"/>
  <c r="AG901" i="13"/>
  <c r="AH901" i="13"/>
  <c r="W900" i="13"/>
  <c r="AE900" i="13" s="1"/>
  <c r="Z900" i="13"/>
  <c r="AA900" i="13"/>
  <c r="AB900" i="13"/>
  <c r="AD900" i="13"/>
  <c r="AG900" i="13"/>
  <c r="AH900" i="13"/>
  <c r="W899" i="13"/>
  <c r="AE899" i="13" s="1"/>
  <c r="Z899" i="13"/>
  <c r="AA899" i="13"/>
  <c r="AB899" i="13"/>
  <c r="AD899" i="13"/>
  <c r="AG899" i="13"/>
  <c r="AH899" i="13"/>
  <c r="W898" i="13"/>
  <c r="AE898" i="13" s="1"/>
  <c r="Z898" i="13"/>
  <c r="AA898" i="13"/>
  <c r="AB898" i="13"/>
  <c r="AD898" i="13"/>
  <c r="AF898" i="13"/>
  <c r="AG898" i="13"/>
  <c r="AH898" i="13"/>
  <c r="W897" i="13"/>
  <c r="AE897" i="13" s="1"/>
  <c r="Z897" i="13"/>
  <c r="AA897" i="13"/>
  <c r="AB897" i="13"/>
  <c r="AD897" i="13"/>
  <c r="AF897" i="13"/>
  <c r="AG897" i="13"/>
  <c r="AH897" i="13"/>
  <c r="W896" i="13"/>
  <c r="AE896" i="13" s="1"/>
  <c r="Z896" i="13"/>
  <c r="AA896" i="13"/>
  <c r="AB896" i="13"/>
  <c r="AD896" i="13"/>
  <c r="AG896" i="13"/>
  <c r="AH896" i="13"/>
  <c r="W895" i="13"/>
  <c r="AE895" i="13" s="1"/>
  <c r="Z895" i="13"/>
  <c r="AA895" i="13"/>
  <c r="AB895" i="13"/>
  <c r="AD895" i="13"/>
  <c r="AG895" i="13"/>
  <c r="AH895" i="13"/>
  <c r="W894" i="13"/>
  <c r="AE894" i="13" s="1"/>
  <c r="Z894" i="13"/>
  <c r="AA894" i="13"/>
  <c r="AB894" i="13"/>
  <c r="AD894" i="13"/>
  <c r="AF894" i="13"/>
  <c r="AG894" i="13"/>
  <c r="AH894" i="13"/>
  <c r="W893" i="13"/>
  <c r="AE893" i="13" s="1"/>
  <c r="Z893" i="13"/>
  <c r="AA893" i="13"/>
  <c r="AB893" i="13"/>
  <c r="AD893" i="13"/>
  <c r="AF893" i="13"/>
  <c r="AG893" i="13"/>
  <c r="AH893" i="13"/>
  <c r="W892" i="13"/>
  <c r="AE892" i="13" s="1"/>
  <c r="Z892" i="13"/>
  <c r="AA892" i="13"/>
  <c r="AB892" i="13"/>
  <c r="AD892" i="13"/>
  <c r="AF892" i="13"/>
  <c r="AG892" i="13"/>
  <c r="AH892" i="13"/>
  <c r="W891" i="13"/>
  <c r="AE891" i="13" s="1"/>
  <c r="Z891" i="13"/>
  <c r="AA891" i="13"/>
  <c r="AB891" i="13"/>
  <c r="AD891" i="13"/>
  <c r="AF891" i="13"/>
  <c r="AG891" i="13"/>
  <c r="AH891" i="13"/>
  <c r="W890" i="13"/>
  <c r="AE890" i="13" s="1"/>
  <c r="Z890" i="13"/>
  <c r="AA890" i="13"/>
  <c r="AB890" i="13"/>
  <c r="AD890" i="13"/>
  <c r="AF890" i="13"/>
  <c r="AG890" i="13"/>
  <c r="AH890" i="13"/>
  <c r="W889" i="13"/>
  <c r="AE889" i="13" s="1"/>
  <c r="Z889" i="13"/>
  <c r="AA889" i="13"/>
  <c r="AB889" i="13"/>
  <c r="AD889" i="13"/>
  <c r="AF889" i="13"/>
  <c r="AG889" i="13"/>
  <c r="AH889" i="13"/>
  <c r="W888" i="13"/>
  <c r="AE888" i="13" s="1"/>
  <c r="Z888" i="13"/>
  <c r="AA888" i="13"/>
  <c r="AB888" i="13"/>
  <c r="AD888" i="13"/>
  <c r="AF888" i="13"/>
  <c r="AG888" i="13"/>
  <c r="AH888" i="13"/>
  <c r="W887" i="13"/>
  <c r="AE887" i="13" s="1"/>
  <c r="Z887" i="13"/>
  <c r="AA887" i="13"/>
  <c r="AB887" i="13"/>
  <c r="AD887" i="13"/>
  <c r="AF887" i="13"/>
  <c r="AG887" i="13"/>
  <c r="AH887" i="13"/>
  <c r="W886" i="13"/>
  <c r="AE886" i="13" s="1"/>
  <c r="Z886" i="13"/>
  <c r="AA886" i="13"/>
  <c r="AB886" i="13"/>
  <c r="AD886" i="13"/>
  <c r="AF886" i="13"/>
  <c r="AG886" i="13"/>
  <c r="AH886" i="13"/>
  <c r="W885" i="13"/>
  <c r="AE885" i="13" s="1"/>
  <c r="Z885" i="13"/>
  <c r="AA885" i="13"/>
  <c r="AB885" i="13"/>
  <c r="AD885" i="13"/>
  <c r="AF885" i="13"/>
  <c r="AG885" i="13"/>
  <c r="AH885" i="13"/>
  <c r="W884" i="13"/>
  <c r="AE884" i="13" s="1"/>
  <c r="Z884" i="13"/>
  <c r="AA884" i="13"/>
  <c r="AB884" i="13"/>
  <c r="AD884" i="13"/>
  <c r="AG884" i="13"/>
  <c r="AH884" i="13"/>
  <c r="W883" i="13"/>
  <c r="AE883" i="13" s="1"/>
  <c r="Z883" i="13"/>
  <c r="AA883" i="13"/>
  <c r="AB883" i="13"/>
  <c r="AD883" i="13"/>
  <c r="AF883" i="13"/>
  <c r="AG883" i="13"/>
  <c r="AH883" i="13"/>
  <c r="W882" i="13"/>
  <c r="AE882" i="13" s="1"/>
  <c r="Z882" i="13"/>
  <c r="AA882" i="13"/>
  <c r="AB882" i="13"/>
  <c r="AD882" i="13"/>
  <c r="AF882" i="13"/>
  <c r="AG882" i="13"/>
  <c r="AH882" i="13"/>
  <c r="W881" i="13"/>
  <c r="AE881" i="13" s="1"/>
  <c r="Z881" i="13"/>
  <c r="AA881" i="13"/>
  <c r="AB881" i="13"/>
  <c r="AD881" i="13"/>
  <c r="AF881" i="13"/>
  <c r="AG881" i="13"/>
  <c r="AH881" i="13"/>
  <c r="W880" i="13"/>
  <c r="AE880" i="13" s="1"/>
  <c r="Z880" i="13"/>
  <c r="AA880" i="13"/>
  <c r="AB880" i="13"/>
  <c r="AD880" i="13"/>
  <c r="AF880" i="13"/>
  <c r="AG880" i="13"/>
  <c r="AH880" i="13"/>
  <c r="W879" i="13"/>
  <c r="AE879" i="13" s="1"/>
  <c r="Z879" i="13"/>
  <c r="AA879" i="13"/>
  <c r="AB879" i="13"/>
  <c r="AD879" i="13"/>
  <c r="AF879" i="13"/>
  <c r="AG879" i="13"/>
  <c r="AH879" i="13"/>
  <c r="W878" i="13"/>
  <c r="AE878" i="13" s="1"/>
  <c r="Z878" i="13"/>
  <c r="AA878" i="13"/>
  <c r="AB878" i="13"/>
  <c r="AD878" i="13"/>
  <c r="AF878" i="13"/>
  <c r="AG878" i="13"/>
  <c r="AH878" i="13"/>
  <c r="W877" i="13"/>
  <c r="AE877" i="13" s="1"/>
  <c r="Z877" i="13"/>
  <c r="AA877" i="13"/>
  <c r="AB877" i="13"/>
  <c r="AD877" i="13"/>
  <c r="AG877" i="13"/>
  <c r="AH877" i="13"/>
  <c r="W876" i="13"/>
  <c r="AE876" i="13" s="1"/>
  <c r="Z876" i="13"/>
  <c r="AA876" i="13"/>
  <c r="AB876" i="13"/>
  <c r="AD876" i="13"/>
  <c r="AF876" i="13"/>
  <c r="AG876" i="13"/>
  <c r="AH876" i="13"/>
  <c r="W875" i="13"/>
  <c r="AE875" i="13" s="1"/>
  <c r="Z875" i="13"/>
  <c r="AA875" i="13"/>
  <c r="AB875" i="13"/>
  <c r="AD875" i="13"/>
  <c r="AF875" i="13"/>
  <c r="AG875" i="13"/>
  <c r="AH875" i="13"/>
  <c r="W874" i="13"/>
  <c r="AE874" i="13" s="1"/>
  <c r="Z874" i="13"/>
  <c r="AA874" i="13"/>
  <c r="AB874" i="13"/>
  <c r="AD874" i="13"/>
  <c r="AG874" i="13"/>
  <c r="AH874" i="13"/>
  <c r="W873" i="13"/>
  <c r="AE873" i="13" s="1"/>
  <c r="Z873" i="13"/>
  <c r="AA873" i="13"/>
  <c r="AB873" i="13"/>
  <c r="AD873" i="13"/>
  <c r="AF873" i="13"/>
  <c r="AG873" i="13"/>
  <c r="AH873" i="13"/>
  <c r="W872" i="13"/>
  <c r="AE872" i="13" s="1"/>
  <c r="Z872" i="13"/>
  <c r="AA872" i="13"/>
  <c r="AB872" i="13"/>
  <c r="AD872" i="13"/>
  <c r="AG872" i="13"/>
  <c r="AH872" i="13"/>
  <c r="W871" i="13"/>
  <c r="AE871" i="13" s="1"/>
  <c r="Z871" i="13"/>
  <c r="AA871" i="13"/>
  <c r="AB871" i="13"/>
  <c r="AD871" i="13"/>
  <c r="AF871" i="13"/>
  <c r="AG871" i="13"/>
  <c r="AH871" i="13"/>
  <c r="W870" i="13"/>
  <c r="AE870" i="13" s="1"/>
  <c r="Z870" i="13"/>
  <c r="AA870" i="13"/>
  <c r="AB870" i="13"/>
  <c r="AD870" i="13"/>
  <c r="AF870" i="13"/>
  <c r="AG870" i="13"/>
  <c r="AH870" i="13"/>
  <c r="W869" i="13"/>
  <c r="AE869" i="13" s="1"/>
  <c r="Z869" i="13"/>
  <c r="AA869" i="13"/>
  <c r="AB869" i="13"/>
  <c r="AD869" i="13"/>
  <c r="AF869" i="13"/>
  <c r="AG869" i="13"/>
  <c r="AH869" i="13"/>
  <c r="W868" i="13"/>
  <c r="AE868" i="13" s="1"/>
  <c r="Z868" i="13"/>
  <c r="AA868" i="13"/>
  <c r="AB868" i="13"/>
  <c r="AD868" i="13"/>
  <c r="AF868" i="13"/>
  <c r="AG868" i="13"/>
  <c r="AH868" i="13"/>
  <c r="W867" i="13"/>
  <c r="AE867" i="13" s="1"/>
  <c r="Z867" i="13"/>
  <c r="AA867" i="13"/>
  <c r="AB867" i="13"/>
  <c r="AD867" i="13"/>
  <c r="AF867" i="13"/>
  <c r="AG867" i="13"/>
  <c r="AH867" i="13"/>
  <c r="W866" i="13"/>
  <c r="AE866" i="13" s="1"/>
  <c r="Z866" i="13"/>
  <c r="AA866" i="13"/>
  <c r="AB866" i="13"/>
  <c r="AD866" i="13"/>
  <c r="AF866" i="13"/>
  <c r="AG866" i="13"/>
  <c r="AH866" i="13"/>
  <c r="W865" i="13"/>
  <c r="AE865" i="13" s="1"/>
  <c r="Z865" i="13"/>
  <c r="AA865" i="13"/>
  <c r="AB865" i="13"/>
  <c r="AD865" i="13"/>
  <c r="AF865" i="13"/>
  <c r="AG865" i="13"/>
  <c r="AH865" i="13"/>
  <c r="W864" i="13"/>
  <c r="AE864" i="13" s="1"/>
  <c r="Z864" i="13"/>
  <c r="AA864" i="13"/>
  <c r="AB864" i="13"/>
  <c r="AD864" i="13"/>
  <c r="AF864" i="13"/>
  <c r="AG864" i="13"/>
  <c r="AH864" i="13"/>
  <c r="W863" i="13"/>
  <c r="AE863" i="13" s="1"/>
  <c r="Z863" i="13"/>
  <c r="AA863" i="13"/>
  <c r="AB863" i="13"/>
  <c r="AD863" i="13"/>
  <c r="AG863" i="13"/>
  <c r="AH863" i="13"/>
  <c r="W862" i="13"/>
  <c r="AE862" i="13" s="1"/>
  <c r="Z862" i="13"/>
  <c r="AA862" i="13"/>
  <c r="AB862" i="13"/>
  <c r="AD862" i="13"/>
  <c r="AF862" i="13"/>
  <c r="AG862" i="13"/>
  <c r="AH862" i="13"/>
  <c r="W861" i="13"/>
  <c r="AE861" i="13" s="1"/>
  <c r="Z861" i="13"/>
  <c r="AA861" i="13"/>
  <c r="AB861" i="13"/>
  <c r="AD861" i="13"/>
  <c r="AG861" i="13"/>
  <c r="AH861" i="13"/>
  <c r="W860" i="13"/>
  <c r="AE860" i="13" s="1"/>
  <c r="Z860" i="13"/>
  <c r="AA860" i="13"/>
  <c r="AB860" i="13"/>
  <c r="AD860" i="13"/>
  <c r="AF860" i="13"/>
  <c r="AG860" i="13"/>
  <c r="AH860" i="13"/>
  <c r="W859" i="13"/>
  <c r="AE859" i="13" s="1"/>
  <c r="Z859" i="13"/>
  <c r="AA859" i="13"/>
  <c r="AB859" i="13"/>
  <c r="AD859" i="13"/>
  <c r="AG859" i="13"/>
  <c r="AH859" i="13"/>
  <c r="W858" i="13"/>
  <c r="AE858" i="13" s="1"/>
  <c r="Z858" i="13"/>
  <c r="AA858" i="13"/>
  <c r="AB858" i="13"/>
  <c r="AD858" i="13"/>
  <c r="AF858" i="13"/>
  <c r="AG858" i="13"/>
  <c r="AH858" i="13"/>
  <c r="W857" i="13"/>
  <c r="AE857" i="13" s="1"/>
  <c r="Z857" i="13"/>
  <c r="AA857" i="13"/>
  <c r="AB857" i="13"/>
  <c r="AD857" i="13"/>
  <c r="AF857" i="13"/>
  <c r="AG857" i="13"/>
  <c r="AH857" i="13"/>
  <c r="W856" i="13"/>
  <c r="AE856" i="13" s="1"/>
  <c r="Z856" i="13"/>
  <c r="AA856" i="13"/>
  <c r="AB856" i="13"/>
  <c r="AD856" i="13"/>
  <c r="AF856" i="13"/>
  <c r="AG856" i="13"/>
  <c r="AH856" i="13"/>
  <c r="W855" i="13"/>
  <c r="AE855" i="13" s="1"/>
  <c r="Z855" i="13"/>
  <c r="AA855" i="13"/>
  <c r="AB855" i="13"/>
  <c r="AD855" i="13"/>
  <c r="AF855" i="13"/>
  <c r="AG855" i="13"/>
  <c r="AH855" i="13"/>
  <c r="W854" i="13"/>
  <c r="AE854" i="13" s="1"/>
  <c r="Z854" i="13"/>
  <c r="AA854" i="13"/>
  <c r="AB854" i="13"/>
  <c r="AD854" i="13"/>
  <c r="AF854" i="13"/>
  <c r="AG854" i="13"/>
  <c r="AH854" i="13"/>
  <c r="W853" i="13"/>
  <c r="AE853" i="13" s="1"/>
  <c r="Z853" i="13"/>
  <c r="AA853" i="13"/>
  <c r="AB853" i="13"/>
  <c r="AD853" i="13"/>
  <c r="AF853" i="13"/>
  <c r="AG853" i="13"/>
  <c r="AH853" i="13"/>
  <c r="W852" i="13"/>
  <c r="AE852" i="13" s="1"/>
  <c r="Z852" i="13"/>
  <c r="AA852" i="13"/>
  <c r="AB852" i="13"/>
  <c r="AD852" i="13"/>
  <c r="AF852" i="13"/>
  <c r="AG852" i="13"/>
  <c r="AH852" i="13"/>
  <c r="W851" i="13"/>
  <c r="AE851" i="13" s="1"/>
  <c r="Z851" i="13"/>
  <c r="AA851" i="13"/>
  <c r="AB851" i="13"/>
  <c r="AD851" i="13"/>
  <c r="AG851" i="13"/>
  <c r="AH851" i="13"/>
  <c r="W850" i="13"/>
  <c r="AE850" i="13" s="1"/>
  <c r="Z850" i="13"/>
  <c r="AA850" i="13"/>
  <c r="AB850" i="13"/>
  <c r="AD850" i="13"/>
  <c r="AF850" i="13"/>
  <c r="AG850" i="13"/>
  <c r="AH850" i="13"/>
  <c r="W849" i="13"/>
  <c r="AE849" i="13" s="1"/>
  <c r="Z849" i="13"/>
  <c r="AA849" i="13"/>
  <c r="AB849" i="13"/>
  <c r="AD849" i="13"/>
  <c r="AF849" i="13"/>
  <c r="AG849" i="13"/>
  <c r="AH849" i="13"/>
  <c r="W848" i="13"/>
  <c r="AE848" i="13" s="1"/>
  <c r="Z848" i="13"/>
  <c r="AA848" i="13"/>
  <c r="AB848" i="13"/>
  <c r="AD848" i="13"/>
  <c r="AF848" i="13"/>
  <c r="AG848" i="13"/>
  <c r="AH848" i="13"/>
  <c r="W847" i="13"/>
  <c r="AE847" i="13" s="1"/>
  <c r="Z847" i="13"/>
  <c r="AA847" i="13"/>
  <c r="AB847" i="13"/>
  <c r="AD847" i="13"/>
  <c r="AG847" i="13"/>
  <c r="AH847" i="13"/>
  <c r="W846" i="13"/>
  <c r="AE846" i="13" s="1"/>
  <c r="Z846" i="13"/>
  <c r="AA846" i="13"/>
  <c r="AB846" i="13"/>
  <c r="AD846" i="13"/>
  <c r="AF846" i="13"/>
  <c r="AG846" i="13"/>
  <c r="AH846" i="13"/>
  <c r="W845" i="13"/>
  <c r="AE845" i="13" s="1"/>
  <c r="Z845" i="13"/>
  <c r="AA845" i="13"/>
  <c r="AB845" i="13"/>
  <c r="AD845" i="13"/>
  <c r="AF845" i="13"/>
  <c r="AG845" i="13"/>
  <c r="AH845" i="13"/>
  <c r="W844" i="13"/>
  <c r="AE844" i="13" s="1"/>
  <c r="Z844" i="13"/>
  <c r="AA844" i="13"/>
  <c r="AB844" i="13"/>
  <c r="AD844" i="13"/>
  <c r="AF844" i="13"/>
  <c r="AG844" i="13"/>
  <c r="AH844" i="13"/>
  <c r="W843" i="13"/>
  <c r="AE843" i="13" s="1"/>
  <c r="Z843" i="13"/>
  <c r="AA843" i="13"/>
  <c r="AB843" i="13"/>
  <c r="AD843" i="13"/>
  <c r="AF843" i="13"/>
  <c r="AG843" i="13"/>
  <c r="AH843" i="13"/>
  <c r="W842" i="13"/>
  <c r="AE842" i="13" s="1"/>
  <c r="Z842" i="13"/>
  <c r="AA842" i="13"/>
  <c r="AB842" i="13"/>
  <c r="AD842" i="13"/>
  <c r="AF842" i="13"/>
  <c r="AG842" i="13"/>
  <c r="AH842" i="13"/>
  <c r="W841" i="13"/>
  <c r="AE841" i="13" s="1"/>
  <c r="Z841" i="13"/>
  <c r="AA841" i="13"/>
  <c r="AB841" i="13"/>
  <c r="AD841" i="13"/>
  <c r="AF841" i="13"/>
  <c r="AG841" i="13"/>
  <c r="AH841" i="13"/>
  <c r="W840" i="13"/>
  <c r="AE840" i="13" s="1"/>
  <c r="Z840" i="13"/>
  <c r="AA840" i="13"/>
  <c r="AB840" i="13"/>
  <c r="AD840" i="13"/>
  <c r="AF840" i="13"/>
  <c r="AG840" i="13"/>
  <c r="AH840" i="13"/>
  <c r="W839" i="13"/>
  <c r="AE839" i="13" s="1"/>
  <c r="Z839" i="13"/>
  <c r="AA839" i="13"/>
  <c r="AB839" i="13"/>
  <c r="AD839" i="13"/>
  <c r="AF839" i="13"/>
  <c r="AG839" i="13"/>
  <c r="AH839" i="13"/>
  <c r="W838" i="13"/>
  <c r="AE838" i="13" s="1"/>
  <c r="Z838" i="13"/>
  <c r="AA838" i="13"/>
  <c r="AB838" i="13"/>
  <c r="AD838" i="13"/>
  <c r="AF838" i="13"/>
  <c r="AG838" i="13"/>
  <c r="AH838" i="13"/>
  <c r="W837" i="13"/>
  <c r="AE837" i="13" s="1"/>
  <c r="Z837" i="13"/>
  <c r="AA837" i="13"/>
  <c r="AB837" i="13"/>
  <c r="AD837" i="13"/>
  <c r="AF837" i="13"/>
  <c r="AG837" i="13"/>
  <c r="AH837" i="13"/>
  <c r="W836" i="13"/>
  <c r="AE836" i="13" s="1"/>
  <c r="Z836" i="13"/>
  <c r="AA836" i="13"/>
  <c r="AB836" i="13"/>
  <c r="AD836" i="13"/>
  <c r="AG836" i="13"/>
  <c r="AH836" i="13"/>
  <c r="W835" i="13"/>
  <c r="AE835" i="13" s="1"/>
  <c r="Z835" i="13"/>
  <c r="AA835" i="13"/>
  <c r="AB835" i="13"/>
  <c r="AD835" i="13"/>
  <c r="AF835" i="13"/>
  <c r="AG835" i="13"/>
  <c r="AH835" i="13"/>
  <c r="W834" i="13"/>
  <c r="AE834" i="13" s="1"/>
  <c r="Z834" i="13"/>
  <c r="AA834" i="13"/>
  <c r="AB834" i="13"/>
  <c r="AD834" i="13"/>
  <c r="AG834" i="13"/>
  <c r="AH834" i="13"/>
  <c r="W833" i="13"/>
  <c r="AE833" i="13" s="1"/>
  <c r="Z833" i="13"/>
  <c r="AA833" i="13"/>
  <c r="AB833" i="13"/>
  <c r="AD833" i="13"/>
  <c r="AF833" i="13"/>
  <c r="AG833" i="13"/>
  <c r="AH833" i="13"/>
  <c r="W832" i="13"/>
  <c r="AE832" i="13" s="1"/>
  <c r="Z832" i="13"/>
  <c r="AA832" i="13"/>
  <c r="AB832" i="13"/>
  <c r="AD832" i="13"/>
  <c r="AF832" i="13"/>
  <c r="AG832" i="13"/>
  <c r="AH832" i="13"/>
  <c r="W831" i="13"/>
  <c r="AE831" i="13" s="1"/>
  <c r="Z831" i="13"/>
  <c r="AA831" i="13"/>
  <c r="AB831" i="13"/>
  <c r="AD831" i="13"/>
  <c r="AF831" i="13"/>
  <c r="AG831" i="13"/>
  <c r="AH831" i="13"/>
  <c r="W830" i="13"/>
  <c r="AE830" i="13" s="1"/>
  <c r="Z830" i="13"/>
  <c r="AA830" i="13"/>
  <c r="AB830" i="13"/>
  <c r="AD830" i="13"/>
  <c r="AF830" i="13"/>
  <c r="AG830" i="13"/>
  <c r="AH830" i="13"/>
  <c r="W829" i="13"/>
  <c r="AE829" i="13" s="1"/>
  <c r="Z829" i="13"/>
  <c r="AA829" i="13"/>
  <c r="AB829" i="13"/>
  <c r="AD829" i="13"/>
  <c r="AF829" i="13"/>
  <c r="AG829" i="13"/>
  <c r="AH829" i="13"/>
  <c r="W828" i="13"/>
  <c r="AE828" i="13" s="1"/>
  <c r="Z828" i="13"/>
  <c r="AA828" i="13"/>
  <c r="AB828" i="13"/>
  <c r="AD828" i="13"/>
  <c r="AF828" i="13"/>
  <c r="AG828" i="13"/>
  <c r="AH828" i="13"/>
  <c r="W827" i="13"/>
  <c r="AE827" i="13" s="1"/>
  <c r="Z827" i="13"/>
  <c r="AA827" i="13"/>
  <c r="AB827" i="13"/>
  <c r="AD827" i="13"/>
  <c r="AF827" i="13"/>
  <c r="AG827" i="13"/>
  <c r="AH827" i="13"/>
  <c r="W826" i="13"/>
  <c r="AE826" i="13" s="1"/>
  <c r="Z826" i="13"/>
  <c r="AA826" i="13"/>
  <c r="AB826" i="13"/>
  <c r="AD826" i="13"/>
  <c r="AF826" i="13"/>
  <c r="AG826" i="13"/>
  <c r="AH826" i="13"/>
  <c r="W825" i="13"/>
  <c r="AE825" i="13" s="1"/>
  <c r="Z825" i="13"/>
  <c r="AA825" i="13"/>
  <c r="AB825" i="13"/>
  <c r="AD825" i="13"/>
  <c r="AF825" i="13"/>
  <c r="AG825" i="13"/>
  <c r="AH825" i="13"/>
  <c r="W824" i="13"/>
  <c r="AE824" i="13" s="1"/>
  <c r="Z824" i="13"/>
  <c r="AA824" i="13"/>
  <c r="AB824" i="13"/>
  <c r="AD824" i="13"/>
  <c r="AG824" i="13"/>
  <c r="AH824" i="13"/>
  <c r="W823" i="13"/>
  <c r="AE823" i="13" s="1"/>
  <c r="Z823" i="13"/>
  <c r="AA823" i="13"/>
  <c r="AB823" i="13"/>
  <c r="AD823" i="13"/>
  <c r="AF823" i="13"/>
  <c r="AG823" i="13"/>
  <c r="AH823" i="13"/>
  <c r="W822" i="13"/>
  <c r="AE822" i="13" s="1"/>
  <c r="Z822" i="13"/>
  <c r="AF822" i="13" s="1"/>
  <c r="AA822" i="13"/>
  <c r="AB822" i="13"/>
  <c r="AD822" i="13"/>
  <c r="AG822" i="13"/>
  <c r="AH822" i="13"/>
  <c r="W821" i="13"/>
  <c r="AE821" i="13" s="1"/>
  <c r="Z821" i="13"/>
  <c r="AA821" i="13"/>
  <c r="AB821" i="13"/>
  <c r="AD821" i="13"/>
  <c r="AF821" i="13"/>
  <c r="AG821" i="13"/>
  <c r="AH821" i="13"/>
  <c r="W820" i="13"/>
  <c r="AE820" i="13" s="1"/>
  <c r="Z820" i="13"/>
  <c r="AA820" i="13"/>
  <c r="AB820" i="13"/>
  <c r="AD820" i="13"/>
  <c r="AG820" i="13"/>
  <c r="AH820" i="13"/>
  <c r="W819" i="13"/>
  <c r="AE819" i="13" s="1"/>
  <c r="Z819" i="13"/>
  <c r="AA819" i="13"/>
  <c r="AB819" i="13"/>
  <c r="AD819" i="13"/>
  <c r="AF819" i="13"/>
  <c r="AG819" i="13"/>
  <c r="AH819" i="13"/>
  <c r="W818" i="13"/>
  <c r="AE818" i="13" s="1"/>
  <c r="Z818" i="13"/>
  <c r="AA818" i="13"/>
  <c r="AB818" i="13"/>
  <c r="AD818" i="13"/>
  <c r="AG818" i="13"/>
  <c r="AH818" i="13"/>
  <c r="W817" i="13"/>
  <c r="AE817" i="13" s="1"/>
  <c r="Z817" i="13"/>
  <c r="AA817" i="13"/>
  <c r="AB817" i="13"/>
  <c r="AD817" i="13"/>
  <c r="AF817" i="13"/>
  <c r="AG817" i="13"/>
  <c r="AH817" i="13"/>
  <c r="W816" i="13"/>
  <c r="AE816" i="13" s="1"/>
  <c r="Z816" i="13"/>
  <c r="AA816" i="13"/>
  <c r="AB816" i="13"/>
  <c r="AD816" i="13"/>
  <c r="AF816" i="13"/>
  <c r="AG816" i="13"/>
  <c r="AH816" i="13"/>
  <c r="W815" i="13"/>
  <c r="AE815" i="13" s="1"/>
  <c r="Z815" i="13"/>
  <c r="AA815" i="13"/>
  <c r="AB815" i="13"/>
  <c r="AD815" i="13"/>
  <c r="AF815" i="13"/>
  <c r="AG815" i="13"/>
  <c r="AH815" i="13"/>
  <c r="W814" i="13"/>
  <c r="AE814" i="13" s="1"/>
  <c r="Z814" i="13"/>
  <c r="AA814" i="13"/>
  <c r="AB814" i="13"/>
  <c r="AD814" i="13"/>
  <c r="AF814" i="13"/>
  <c r="AG814" i="13"/>
  <c r="AH814" i="13"/>
  <c r="W813" i="13"/>
  <c r="AE813" i="13" s="1"/>
  <c r="Z813" i="13"/>
  <c r="AA813" i="13"/>
  <c r="AB813" i="13"/>
  <c r="AD813" i="13"/>
  <c r="AF813" i="13"/>
  <c r="AG813" i="13"/>
  <c r="AH813" i="13"/>
  <c r="W812" i="13"/>
  <c r="AE812" i="13" s="1"/>
  <c r="Z812" i="13"/>
  <c r="AA812" i="13"/>
  <c r="AB812" i="13"/>
  <c r="AD812" i="13"/>
  <c r="AF812" i="13"/>
  <c r="AG812" i="13"/>
  <c r="AH812" i="13"/>
  <c r="W811" i="13"/>
  <c r="AE811" i="13" s="1"/>
  <c r="Z811" i="13"/>
  <c r="AA811" i="13"/>
  <c r="AB811" i="13"/>
  <c r="AD811" i="13"/>
  <c r="AF811" i="13"/>
  <c r="AG811" i="13"/>
  <c r="AH811" i="13"/>
  <c r="W810" i="13"/>
  <c r="AE810" i="13" s="1"/>
  <c r="Z810" i="13"/>
  <c r="AA810" i="13"/>
  <c r="AB810" i="13"/>
  <c r="AD810" i="13"/>
  <c r="AF810" i="13"/>
  <c r="AG810" i="13"/>
  <c r="AH810" i="13"/>
  <c r="W809" i="13"/>
  <c r="AE809" i="13" s="1"/>
  <c r="Z809" i="13"/>
  <c r="AA809" i="13"/>
  <c r="AB809" i="13"/>
  <c r="AD809" i="13"/>
  <c r="AF809" i="13"/>
  <c r="AG809" i="13"/>
  <c r="AH809" i="13"/>
  <c r="W808" i="13"/>
  <c r="AE808" i="13" s="1"/>
  <c r="Z808" i="13"/>
  <c r="AA808" i="13"/>
  <c r="AB808" i="13"/>
  <c r="AD808" i="13"/>
  <c r="AG808" i="13"/>
  <c r="AH808" i="13"/>
  <c r="W807" i="13"/>
  <c r="AE807" i="13" s="1"/>
  <c r="Z807" i="13"/>
  <c r="AA807" i="13"/>
  <c r="AB807" i="13"/>
  <c r="AD807" i="13"/>
  <c r="AF807" i="13"/>
  <c r="AG807" i="13"/>
  <c r="AH807" i="13"/>
  <c r="W806" i="13"/>
  <c r="AE806" i="13" s="1"/>
  <c r="Z806" i="13"/>
  <c r="AA806" i="13"/>
  <c r="AB806" i="13"/>
  <c r="AD806" i="13"/>
  <c r="AF806" i="13"/>
  <c r="AG806" i="13"/>
  <c r="AH806" i="13"/>
  <c r="W805" i="13"/>
  <c r="AE805" i="13" s="1"/>
  <c r="Z805" i="13"/>
  <c r="AA805" i="13"/>
  <c r="AB805" i="13"/>
  <c r="AD805" i="13"/>
  <c r="AF805" i="13"/>
  <c r="AG805" i="13"/>
  <c r="AH805" i="13"/>
  <c r="W804" i="13"/>
  <c r="AE804" i="13" s="1"/>
  <c r="Z804" i="13"/>
  <c r="AA804" i="13"/>
  <c r="AB804" i="13"/>
  <c r="AD804" i="13"/>
  <c r="AG804" i="13"/>
  <c r="AH804" i="13"/>
  <c r="W803" i="13"/>
  <c r="AE803" i="13" s="1"/>
  <c r="Z803" i="13"/>
  <c r="AA803" i="13"/>
  <c r="AB803" i="13"/>
  <c r="AD803" i="13"/>
  <c r="AF803" i="13"/>
  <c r="AG803" i="13"/>
  <c r="AH803" i="13"/>
  <c r="W802" i="13"/>
  <c r="AE802" i="13" s="1"/>
  <c r="Z802" i="13"/>
  <c r="AA802" i="13"/>
  <c r="AB802" i="13"/>
  <c r="AD802" i="13"/>
  <c r="AF802" i="13"/>
  <c r="AG802" i="13"/>
  <c r="AH802" i="13"/>
  <c r="W801" i="13"/>
  <c r="AE801" i="13" s="1"/>
  <c r="Z801" i="13"/>
  <c r="AA801" i="13"/>
  <c r="AB801" i="13"/>
  <c r="AD801" i="13"/>
  <c r="AG801" i="13"/>
  <c r="AH801" i="13"/>
  <c r="W800" i="13"/>
  <c r="AE800" i="13" s="1"/>
  <c r="Z800" i="13"/>
  <c r="AA800" i="13"/>
  <c r="AB800" i="13"/>
  <c r="AD800" i="13"/>
  <c r="AF800" i="13"/>
  <c r="AG800" i="13"/>
  <c r="AH800" i="13"/>
  <c r="X858" i="13" l="1"/>
  <c r="AC858" i="13" s="1"/>
  <c r="X872" i="13"/>
  <c r="AC872" i="13" s="1"/>
  <c r="X875" i="13"/>
  <c r="AC875" i="13" s="1"/>
  <c r="X899" i="13"/>
  <c r="AC899" i="13" s="1"/>
  <c r="X839" i="13"/>
  <c r="AC839" i="13" s="1"/>
  <c r="X879" i="13"/>
  <c r="AC879" i="13" s="1"/>
  <c r="X888" i="13"/>
  <c r="AC888" i="13" s="1"/>
  <c r="X891" i="13"/>
  <c r="AC891" i="13" s="1"/>
  <c r="AF899" i="13"/>
  <c r="Y899" i="13" s="1"/>
  <c r="X853" i="13"/>
  <c r="AC853" i="13" s="1"/>
  <c r="AF872" i="13"/>
  <c r="Y872" i="13" s="1"/>
  <c r="X880" i="13"/>
  <c r="AC880" i="13" s="1"/>
  <c r="X889" i="13"/>
  <c r="AC889" i="13" s="1"/>
  <c r="X902" i="13"/>
  <c r="AC902" i="13" s="1"/>
  <c r="X898" i="13"/>
  <c r="AC898" i="13" s="1"/>
  <c r="Y839" i="13"/>
  <c r="Y858" i="13"/>
  <c r="Y881" i="13"/>
  <c r="Y891" i="13"/>
  <c r="Y902" i="13"/>
  <c r="Y888" i="13"/>
  <c r="Y853" i="13"/>
  <c r="Y875" i="13"/>
  <c r="Y879" i="13"/>
  <c r="Y889" i="13"/>
  <c r="Y898" i="13"/>
  <c r="Y880" i="13"/>
  <c r="X896" i="13"/>
  <c r="AC896" i="13" s="1"/>
  <c r="X894" i="13"/>
  <c r="AC894" i="13" s="1"/>
  <c r="X890" i="13"/>
  <c r="AC890" i="13" s="1"/>
  <c r="AF896" i="13"/>
  <c r="Y890" i="13"/>
  <c r="Y896" i="13"/>
  <c r="Y894" i="13"/>
  <c r="X854" i="13"/>
  <c r="AC854" i="13" s="1"/>
  <c r="X816" i="13"/>
  <c r="AC816" i="13" s="1"/>
  <c r="X824" i="13"/>
  <c r="AC824" i="13" s="1"/>
  <c r="X845" i="13"/>
  <c r="AC845" i="13" s="1"/>
  <c r="X847" i="13"/>
  <c r="AC847" i="13" s="1"/>
  <c r="X865" i="13"/>
  <c r="AC865" i="13" s="1"/>
  <c r="X903" i="13"/>
  <c r="AC903" i="13" s="1"/>
  <c r="X806" i="13"/>
  <c r="AC806" i="13" s="1"/>
  <c r="X808" i="13"/>
  <c r="AC808" i="13" s="1"/>
  <c r="X832" i="13"/>
  <c r="AC832" i="13" s="1"/>
  <c r="X834" i="13"/>
  <c r="AC834" i="13" s="1"/>
  <c r="X836" i="13"/>
  <c r="AC836" i="13" s="1"/>
  <c r="X841" i="13"/>
  <c r="AC841" i="13" s="1"/>
  <c r="X869" i="13"/>
  <c r="AC869" i="13" s="1"/>
  <c r="X886" i="13"/>
  <c r="AC886" i="13" s="1"/>
  <c r="X905" i="13"/>
  <c r="AC905" i="13" s="1"/>
  <c r="X801" i="13"/>
  <c r="AC801" i="13" s="1"/>
  <c r="X804" i="13"/>
  <c r="AC804" i="13" s="1"/>
  <c r="X810" i="13"/>
  <c r="AC810" i="13" s="1"/>
  <c r="X814" i="13"/>
  <c r="AC814" i="13" s="1"/>
  <c r="X826" i="13"/>
  <c r="AC826" i="13" s="1"/>
  <c r="X830" i="13"/>
  <c r="AC830" i="13" s="1"/>
  <c r="X838" i="13"/>
  <c r="AC838" i="13" s="1"/>
  <c r="X843" i="13"/>
  <c r="AC843" i="13" s="1"/>
  <c r="X849" i="13"/>
  <c r="AC849" i="13" s="1"/>
  <c r="X851" i="13"/>
  <c r="AC851" i="13" s="1"/>
  <c r="X856" i="13"/>
  <c r="AC856" i="13" s="1"/>
  <c r="X859" i="13"/>
  <c r="AC859" i="13" s="1"/>
  <c r="X861" i="13"/>
  <c r="AC861" i="13" s="1"/>
  <c r="X863" i="13"/>
  <c r="AC863" i="13" s="1"/>
  <c r="X867" i="13"/>
  <c r="AC867" i="13" s="1"/>
  <c r="X871" i="13"/>
  <c r="AC871" i="13" s="1"/>
  <c r="X874" i="13"/>
  <c r="AC874" i="13" s="1"/>
  <c r="X877" i="13"/>
  <c r="AC877" i="13" s="1"/>
  <c r="X882" i="13"/>
  <c r="AC882" i="13" s="1"/>
  <c r="X884" i="13"/>
  <c r="AC884" i="13" s="1"/>
  <c r="X892" i="13"/>
  <c r="AC892" i="13" s="1"/>
  <c r="X895" i="13"/>
  <c r="AC895" i="13" s="1"/>
  <c r="X900" i="13"/>
  <c r="AC900" i="13" s="1"/>
  <c r="X904" i="13"/>
  <c r="AC904" i="13" s="1"/>
  <c r="X818" i="13"/>
  <c r="AC818" i="13" s="1"/>
  <c r="AF818" i="13"/>
  <c r="Y818" i="13" s="1"/>
  <c r="X820" i="13"/>
  <c r="AC820" i="13" s="1"/>
  <c r="AF820" i="13"/>
  <c r="Y820" i="13" s="1"/>
  <c r="X800" i="13"/>
  <c r="AC800" i="13" s="1"/>
  <c r="AF801" i="13"/>
  <c r="Y801" i="13" s="1"/>
  <c r="X802" i="13"/>
  <c r="AC802" i="13" s="1"/>
  <c r="AF804" i="13"/>
  <c r="X807" i="13"/>
  <c r="AC807" i="13" s="1"/>
  <c r="AF808" i="13"/>
  <c r="X809" i="13"/>
  <c r="AC809" i="13" s="1"/>
  <c r="X811" i="13"/>
  <c r="AC811" i="13" s="1"/>
  <c r="X813" i="13"/>
  <c r="AC813" i="13" s="1"/>
  <c r="X815" i="13"/>
  <c r="AC815" i="13" s="1"/>
  <c r="X819" i="13"/>
  <c r="AC819" i="13" s="1"/>
  <c r="X821" i="13"/>
  <c r="AC821" i="13" s="1"/>
  <c r="X823" i="13"/>
  <c r="AC823" i="13" s="1"/>
  <c r="AF824" i="13"/>
  <c r="Y824" i="13" s="1"/>
  <c r="X827" i="13"/>
  <c r="AC827" i="13" s="1"/>
  <c r="X829" i="13"/>
  <c r="AC829" i="13" s="1"/>
  <c r="X831" i="13"/>
  <c r="AC831" i="13" s="1"/>
  <c r="X833" i="13"/>
  <c r="AC833" i="13" s="1"/>
  <c r="AF834" i="13"/>
  <c r="Y834" i="13" s="1"/>
  <c r="X835" i="13"/>
  <c r="AC835" i="13" s="1"/>
  <c r="AF836" i="13"/>
  <c r="Y836" i="13" s="1"/>
  <c r="X837" i="13"/>
  <c r="AC837" i="13" s="1"/>
  <c r="X840" i="13"/>
  <c r="AC840" i="13" s="1"/>
  <c r="X842" i="13"/>
  <c r="AC842" i="13" s="1"/>
  <c r="X844" i="13"/>
  <c r="AC844" i="13" s="1"/>
  <c r="X846" i="13"/>
  <c r="AC846" i="13" s="1"/>
  <c r="AF847" i="13"/>
  <c r="Y847" i="13" s="1"/>
  <c r="X848" i="13"/>
  <c r="AC848" i="13" s="1"/>
  <c r="X850" i="13"/>
  <c r="AC850" i="13" s="1"/>
  <c r="AF851" i="13"/>
  <c r="Y851" i="13" s="1"/>
  <c r="X852" i="13"/>
  <c r="AC852" i="13" s="1"/>
  <c r="X855" i="13"/>
  <c r="AC855" i="13" s="1"/>
  <c r="X857" i="13"/>
  <c r="AC857" i="13" s="1"/>
  <c r="AF859" i="13"/>
  <c r="Y859" i="13" s="1"/>
  <c r="X860" i="13"/>
  <c r="AC860" i="13" s="1"/>
  <c r="AF861" i="13"/>
  <c r="Y861" i="13" s="1"/>
  <c r="X862" i="13"/>
  <c r="AC862" i="13" s="1"/>
  <c r="AF863" i="13"/>
  <c r="Y863" i="13" s="1"/>
  <c r="X864" i="13"/>
  <c r="AC864" i="13" s="1"/>
  <c r="X866" i="13"/>
  <c r="AC866" i="13" s="1"/>
  <c r="X868" i="13"/>
  <c r="AC868" i="13" s="1"/>
  <c r="X870" i="13"/>
  <c r="AC870" i="13" s="1"/>
  <c r="X873" i="13"/>
  <c r="AC873" i="13" s="1"/>
  <c r="AF874" i="13"/>
  <c r="Y874" i="13" s="1"/>
  <c r="X876" i="13"/>
  <c r="AC876" i="13" s="1"/>
  <c r="AF877" i="13"/>
  <c r="Y877" i="13" s="1"/>
  <c r="X878" i="13"/>
  <c r="AC878" i="13" s="1"/>
  <c r="X883" i="13"/>
  <c r="AC883" i="13" s="1"/>
  <c r="AF884" i="13"/>
  <c r="Y884" i="13" s="1"/>
  <c r="X885" i="13"/>
  <c r="AC885" i="13" s="1"/>
  <c r="X887" i="13"/>
  <c r="AC887" i="13" s="1"/>
  <c r="X893" i="13"/>
  <c r="AC893" i="13" s="1"/>
  <c r="AF895" i="13"/>
  <c r="Y895" i="13" s="1"/>
  <c r="X897" i="13"/>
  <c r="AC897" i="13" s="1"/>
  <c r="AF900" i="13"/>
  <c r="Y900" i="13" s="1"/>
  <c r="X901" i="13"/>
  <c r="AC901" i="13" s="1"/>
  <c r="Y814" i="13"/>
  <c r="Y804" i="13"/>
  <c r="Y806" i="13"/>
  <c r="Y808" i="13"/>
  <c r="Y810" i="13"/>
  <c r="Y812" i="13"/>
  <c r="Y803" i="13"/>
  <c r="Y800" i="13"/>
  <c r="Y802" i="13"/>
  <c r="Y805" i="13"/>
  <c r="Y807" i="13"/>
  <c r="Y809" i="13"/>
  <c r="Y811" i="13"/>
  <c r="Y813" i="13"/>
  <c r="Y815" i="13"/>
  <c r="Y817" i="13"/>
  <c r="Y819" i="13"/>
  <c r="Y821" i="13"/>
  <c r="Y823" i="13"/>
  <c r="Y825" i="13"/>
  <c r="Y827" i="13"/>
  <c r="Y829" i="13"/>
  <c r="Y831" i="13"/>
  <c r="Y833" i="13"/>
  <c r="Y835" i="13"/>
  <c r="Y837" i="13"/>
  <c r="Y840" i="13"/>
  <c r="Y842" i="13"/>
  <c r="Y844" i="13"/>
  <c r="Y846" i="13"/>
  <c r="Y848" i="13"/>
  <c r="Y850" i="13"/>
  <c r="Y852" i="13"/>
  <c r="Y855" i="13"/>
  <c r="Y857" i="13"/>
  <c r="Y860" i="13"/>
  <c r="Y862" i="13"/>
  <c r="Y864" i="13"/>
  <c r="Y866" i="13"/>
  <c r="Y868" i="13"/>
  <c r="Y870" i="13"/>
  <c r="Y873" i="13"/>
  <c r="Y876" i="13"/>
  <c r="Y878" i="13"/>
  <c r="Y883" i="13"/>
  <c r="Y885" i="13"/>
  <c r="Y887" i="13"/>
  <c r="Y893" i="13"/>
  <c r="Y897" i="13"/>
  <c r="Y901" i="13"/>
  <c r="Y904" i="13"/>
  <c r="Y816" i="13"/>
  <c r="Y822" i="13"/>
  <c r="Y826" i="13"/>
  <c r="Y828" i="13"/>
  <c r="Y830" i="13"/>
  <c r="Y832" i="13"/>
  <c r="Y838" i="13"/>
  <c r="Y841" i="13"/>
  <c r="Y843" i="13"/>
  <c r="Y845" i="13"/>
  <c r="Y849" i="13"/>
  <c r="Y854" i="13"/>
  <c r="Y856" i="13"/>
  <c r="Y865" i="13"/>
  <c r="Y867" i="13"/>
  <c r="Y869" i="13"/>
  <c r="Y871" i="13"/>
  <c r="Y882" i="13"/>
  <c r="Y886" i="13"/>
  <c r="Y892" i="13"/>
  <c r="Y903" i="13"/>
  <c r="Y905" i="13"/>
  <c r="X828" i="13"/>
  <c r="AC828" i="13" s="1"/>
  <c r="X881" i="13"/>
  <c r="AC881" i="13" s="1"/>
  <c r="X803" i="13"/>
  <c r="AC803" i="13" s="1"/>
  <c r="X822" i="13"/>
  <c r="AC822" i="13" s="1"/>
  <c r="X825" i="13"/>
  <c r="AC825" i="13" s="1"/>
  <c r="X817" i="13"/>
  <c r="AC817" i="13" s="1"/>
  <c r="X812" i="13"/>
  <c r="AC812" i="13" s="1"/>
  <c r="X805" i="13"/>
  <c r="AC805" i="13" s="1"/>
  <c r="W799" i="13"/>
  <c r="AE799" i="13" s="1"/>
  <c r="Z799" i="13"/>
  <c r="AA799" i="13"/>
  <c r="AB799" i="13"/>
  <c r="AD799" i="13"/>
  <c r="AF799" i="13"/>
  <c r="AG799" i="13"/>
  <c r="AH799" i="13"/>
  <c r="W798" i="13"/>
  <c r="AE798" i="13" s="1"/>
  <c r="Z798" i="13"/>
  <c r="AA798" i="13"/>
  <c r="AB798" i="13"/>
  <c r="AD798" i="13"/>
  <c r="AF798" i="13"/>
  <c r="AG798" i="13"/>
  <c r="AH798" i="13"/>
  <c r="W797" i="13"/>
  <c r="AE797" i="13" s="1"/>
  <c r="Z797" i="13"/>
  <c r="AA797" i="13"/>
  <c r="AB797" i="13"/>
  <c r="AD797" i="13"/>
  <c r="AF797" i="13"/>
  <c r="AG797" i="13"/>
  <c r="AH797" i="13"/>
  <c r="W796" i="13"/>
  <c r="AE796" i="13" s="1"/>
  <c r="Z796" i="13"/>
  <c r="AA796" i="13"/>
  <c r="AB796" i="13"/>
  <c r="AD796" i="13"/>
  <c r="AG796" i="13"/>
  <c r="AH796" i="13"/>
  <c r="W795" i="13"/>
  <c r="AE795" i="13" s="1"/>
  <c r="Z795" i="13"/>
  <c r="AA795" i="13"/>
  <c r="AB795" i="13"/>
  <c r="AD795" i="13"/>
  <c r="AF795" i="13"/>
  <c r="AG795" i="13"/>
  <c r="AH795" i="13"/>
  <c r="W794" i="13"/>
  <c r="AE794" i="13" s="1"/>
  <c r="Z794" i="13"/>
  <c r="AA794" i="13"/>
  <c r="AB794" i="13"/>
  <c r="AD794" i="13"/>
  <c r="AF794" i="13"/>
  <c r="AG794" i="13"/>
  <c r="AH794" i="13"/>
  <c r="W793" i="13"/>
  <c r="AE793" i="13" s="1"/>
  <c r="Z793" i="13"/>
  <c r="AA793" i="13"/>
  <c r="AB793" i="13"/>
  <c r="AD793" i="13"/>
  <c r="AG793" i="13"/>
  <c r="AH793" i="13"/>
  <c r="W792" i="13"/>
  <c r="AE792" i="13" s="1"/>
  <c r="Z792" i="13"/>
  <c r="AA792" i="13"/>
  <c r="AB792" i="13"/>
  <c r="AD792" i="13"/>
  <c r="AF792" i="13"/>
  <c r="AG792" i="13"/>
  <c r="AH792" i="13"/>
  <c r="W791" i="13"/>
  <c r="AE791" i="13" s="1"/>
  <c r="Z791" i="13"/>
  <c r="AA791" i="13"/>
  <c r="AB791" i="13"/>
  <c r="AD791" i="13"/>
  <c r="AF791" i="13"/>
  <c r="AG791" i="13"/>
  <c r="AH791" i="13"/>
  <c r="W790" i="13"/>
  <c r="AE790" i="13" s="1"/>
  <c r="Z790" i="13"/>
  <c r="AA790" i="13"/>
  <c r="AB790" i="13"/>
  <c r="AD790" i="13"/>
  <c r="AF790" i="13"/>
  <c r="AG790" i="13"/>
  <c r="AH790" i="13"/>
  <c r="W789" i="13"/>
  <c r="AE789" i="13" s="1"/>
  <c r="Z789" i="13"/>
  <c r="AA789" i="13"/>
  <c r="AB789" i="13"/>
  <c r="AD789" i="13"/>
  <c r="AF789" i="13"/>
  <c r="AG789" i="13"/>
  <c r="AH789" i="13"/>
  <c r="W788" i="13"/>
  <c r="AE788" i="13" s="1"/>
  <c r="Z788" i="13"/>
  <c r="AA788" i="13"/>
  <c r="AB788" i="13"/>
  <c r="AD788" i="13"/>
  <c r="AF788" i="13"/>
  <c r="AG788" i="13"/>
  <c r="AH788" i="13"/>
  <c r="W787" i="13"/>
  <c r="AE787" i="13" s="1"/>
  <c r="Z787" i="13"/>
  <c r="AA787" i="13"/>
  <c r="AB787" i="13"/>
  <c r="AD787" i="13"/>
  <c r="AF787" i="13"/>
  <c r="AG787" i="13"/>
  <c r="AH787" i="13"/>
  <c r="W786" i="13"/>
  <c r="AE786" i="13" s="1"/>
  <c r="Z786" i="13"/>
  <c r="AA786" i="13"/>
  <c r="AB786" i="13"/>
  <c r="AD786" i="13"/>
  <c r="AF786" i="13"/>
  <c r="AG786" i="13"/>
  <c r="AH786" i="13"/>
  <c r="W785" i="13"/>
  <c r="AE785" i="13" s="1"/>
  <c r="Z785" i="13"/>
  <c r="AA785" i="13"/>
  <c r="AB785" i="13"/>
  <c r="AD785" i="13"/>
  <c r="AF785" i="13"/>
  <c r="AG785" i="13"/>
  <c r="AH785" i="13"/>
  <c r="W784" i="13"/>
  <c r="AE784" i="13" s="1"/>
  <c r="Z784" i="13"/>
  <c r="AA784" i="13"/>
  <c r="AB784" i="13"/>
  <c r="AD784" i="13"/>
  <c r="AF784" i="13"/>
  <c r="AG784" i="13"/>
  <c r="AH784" i="13"/>
  <c r="W783" i="13"/>
  <c r="AE783" i="13" s="1"/>
  <c r="Z783" i="13"/>
  <c r="AA783" i="13"/>
  <c r="AB783" i="13"/>
  <c r="AD783" i="13"/>
  <c r="AF783" i="13"/>
  <c r="AG783" i="13"/>
  <c r="AH783" i="13"/>
  <c r="W782" i="13"/>
  <c r="AE782" i="13" s="1"/>
  <c r="Z782" i="13"/>
  <c r="AA782" i="13"/>
  <c r="AB782" i="13"/>
  <c r="AD782" i="13"/>
  <c r="AF782" i="13"/>
  <c r="AG782" i="13"/>
  <c r="AH782" i="13"/>
  <c r="W781" i="13"/>
  <c r="AE781" i="13" s="1"/>
  <c r="Z781" i="13"/>
  <c r="AA781" i="13"/>
  <c r="AB781" i="13"/>
  <c r="AD781" i="13"/>
  <c r="AF781" i="13"/>
  <c r="AG781" i="13"/>
  <c r="AH781" i="13"/>
  <c r="W780" i="13"/>
  <c r="AE780" i="13" s="1"/>
  <c r="Z780" i="13"/>
  <c r="AA780" i="13"/>
  <c r="AB780" i="13"/>
  <c r="AD780" i="13"/>
  <c r="AF780" i="13"/>
  <c r="AG780" i="13"/>
  <c r="AH780" i="13"/>
  <c r="W779" i="13"/>
  <c r="AE779" i="13" s="1"/>
  <c r="Z779" i="13"/>
  <c r="AA779" i="13"/>
  <c r="AB779" i="13"/>
  <c r="AD779" i="13"/>
  <c r="AF779" i="13"/>
  <c r="AG779" i="13"/>
  <c r="AH779" i="13"/>
  <c r="W778" i="13"/>
  <c r="AE778" i="13" s="1"/>
  <c r="Z778" i="13"/>
  <c r="AA778" i="13"/>
  <c r="AB778" i="13"/>
  <c r="AD778" i="13"/>
  <c r="AF778" i="13"/>
  <c r="AG778" i="13"/>
  <c r="AH778" i="13"/>
  <c r="W777" i="13"/>
  <c r="AE777" i="13" s="1"/>
  <c r="Z777" i="13"/>
  <c r="AA777" i="13"/>
  <c r="AB777" i="13"/>
  <c r="AD777" i="13"/>
  <c r="AF777" i="13"/>
  <c r="AG777" i="13"/>
  <c r="AH777" i="13"/>
  <c r="W776" i="13"/>
  <c r="AE776" i="13" s="1"/>
  <c r="Z776" i="13"/>
  <c r="AA776" i="13"/>
  <c r="AB776" i="13"/>
  <c r="AD776" i="13"/>
  <c r="AF776" i="13"/>
  <c r="AG776" i="13"/>
  <c r="AH776" i="13"/>
  <c r="W775" i="13"/>
  <c r="AE775" i="13" s="1"/>
  <c r="Z775" i="13"/>
  <c r="AA775" i="13"/>
  <c r="AB775" i="13"/>
  <c r="AD775" i="13"/>
  <c r="AG775" i="13"/>
  <c r="AH775" i="13"/>
  <c r="W774" i="13"/>
  <c r="AE774" i="13" s="1"/>
  <c r="Z774" i="13"/>
  <c r="AA774" i="13"/>
  <c r="AB774" i="13"/>
  <c r="AD774" i="13"/>
  <c r="AG774" i="13"/>
  <c r="AH774" i="13"/>
  <c r="W773" i="13"/>
  <c r="AE773" i="13" s="1"/>
  <c r="Z773" i="13"/>
  <c r="AF773" i="13" s="1"/>
  <c r="AA773" i="13"/>
  <c r="AB773" i="13"/>
  <c r="AD773" i="13"/>
  <c r="AG773" i="13"/>
  <c r="AH773" i="13"/>
  <c r="W772" i="13"/>
  <c r="AE772" i="13" s="1"/>
  <c r="Z772" i="13"/>
  <c r="AA772" i="13"/>
  <c r="AB772" i="13"/>
  <c r="AD772" i="13"/>
  <c r="AF772" i="13"/>
  <c r="AG772" i="13"/>
  <c r="AH772" i="13"/>
  <c r="W771" i="13"/>
  <c r="AE771" i="13" s="1"/>
  <c r="Z771" i="13"/>
  <c r="AA771" i="13"/>
  <c r="AB771" i="13"/>
  <c r="AD771" i="13"/>
  <c r="AG771" i="13"/>
  <c r="AH771" i="13"/>
  <c r="W768" i="13"/>
  <c r="AE768" i="13" s="1"/>
  <c r="W770" i="13"/>
  <c r="AE770" i="13" s="1"/>
  <c r="Z770" i="13"/>
  <c r="AA770" i="13"/>
  <c r="AB770" i="13"/>
  <c r="AD770" i="13"/>
  <c r="AG770" i="13"/>
  <c r="AH770" i="13"/>
  <c r="W769" i="13"/>
  <c r="AE769" i="13" s="1"/>
  <c r="Z769" i="13"/>
  <c r="AA769" i="13"/>
  <c r="AB769" i="13"/>
  <c r="AD769" i="13"/>
  <c r="AF769" i="13"/>
  <c r="AG769" i="13"/>
  <c r="AH769" i="13"/>
  <c r="Z768" i="13"/>
  <c r="AA768" i="13"/>
  <c r="AB768" i="13"/>
  <c r="AD768" i="13"/>
  <c r="AG768" i="13"/>
  <c r="AH768" i="13"/>
  <c r="W767" i="13"/>
  <c r="AE767" i="13" s="1"/>
  <c r="Z767" i="13"/>
  <c r="AA767" i="13"/>
  <c r="AB767" i="13"/>
  <c r="AD767" i="13"/>
  <c r="AG767" i="13"/>
  <c r="AH767" i="13"/>
  <c r="X775" i="13" l="1"/>
  <c r="AC775" i="13" s="1"/>
  <c r="X798" i="13"/>
  <c r="AC798" i="13" s="1"/>
  <c r="X767" i="13"/>
  <c r="AC767" i="13" s="1"/>
  <c r="X770" i="13"/>
  <c r="AC770" i="13" s="1"/>
  <c r="X788" i="13"/>
  <c r="AC788" i="13" s="1"/>
  <c r="X771" i="13"/>
  <c r="AC771" i="13" s="1"/>
  <c r="X781" i="13"/>
  <c r="AC781" i="13" s="1"/>
  <c r="X796" i="13"/>
  <c r="AC796" i="13" s="1"/>
  <c r="AF767" i="13"/>
  <c r="Y767" i="13" s="1"/>
  <c r="X769" i="13"/>
  <c r="AC769" i="13" s="1"/>
  <c r="AF770" i="13"/>
  <c r="Y770" i="13" s="1"/>
  <c r="AF771" i="13"/>
  <c r="AF775" i="13"/>
  <c r="Y775" i="13" s="1"/>
  <c r="X776" i="13"/>
  <c r="AC776" i="13" s="1"/>
  <c r="X784" i="13"/>
  <c r="AC784" i="13" s="1"/>
  <c r="X792" i="13"/>
  <c r="AC792" i="13" s="1"/>
  <c r="X795" i="13"/>
  <c r="AC795" i="13" s="1"/>
  <c r="AF796" i="13"/>
  <c r="Y796" i="13" s="1"/>
  <c r="X797" i="13"/>
  <c r="AC797" i="13" s="1"/>
  <c r="X799" i="13"/>
  <c r="AC799" i="13" s="1"/>
  <c r="Y769" i="13"/>
  <c r="Y776" i="13"/>
  <c r="Y784" i="13"/>
  <c r="Y792" i="13"/>
  <c r="Y795" i="13"/>
  <c r="Y797" i="13"/>
  <c r="Y799" i="13"/>
  <c r="Y771" i="13"/>
  <c r="Y779" i="13"/>
  <c r="Y781" i="13"/>
  <c r="Y786" i="13"/>
  <c r="Y788" i="13"/>
  <c r="Y798" i="13"/>
  <c r="X786" i="13"/>
  <c r="AC786" i="13" s="1"/>
  <c r="X787" i="13"/>
  <c r="AC787" i="13" s="1"/>
  <c r="X768" i="13"/>
  <c r="AC768" i="13" s="1"/>
  <c r="X778" i="13"/>
  <c r="AC778" i="13" s="1"/>
  <c r="X780" i="13"/>
  <c r="AC780" i="13" s="1"/>
  <c r="AF768" i="13"/>
  <c r="X772" i="13"/>
  <c r="AC772" i="13" s="1"/>
  <c r="X774" i="13"/>
  <c r="AC774" i="13" s="1"/>
  <c r="X783" i="13"/>
  <c r="AC783" i="13" s="1"/>
  <c r="X790" i="13"/>
  <c r="AC790" i="13" s="1"/>
  <c r="X793" i="13"/>
  <c r="AC793" i="13" s="1"/>
  <c r="X773" i="13"/>
  <c r="AC773" i="13" s="1"/>
  <c r="AF774" i="13"/>
  <c r="Y774" i="13" s="1"/>
  <c r="X777" i="13"/>
  <c r="AC777" i="13" s="1"/>
  <c r="X782" i="13"/>
  <c r="AC782" i="13" s="1"/>
  <c r="X785" i="13"/>
  <c r="AC785" i="13" s="1"/>
  <c r="X789" i="13"/>
  <c r="AC789" i="13" s="1"/>
  <c r="X791" i="13"/>
  <c r="AC791" i="13" s="1"/>
  <c r="AF793" i="13"/>
  <c r="Y793" i="13" s="1"/>
  <c r="X794" i="13"/>
  <c r="AC794" i="13" s="1"/>
  <c r="Y772" i="13"/>
  <c r="Y768" i="13"/>
  <c r="Y773" i="13"/>
  <c r="Y777" i="13"/>
  <c r="Y782" i="13"/>
  <c r="Y785" i="13"/>
  <c r="Y789" i="13"/>
  <c r="Y791" i="13"/>
  <c r="Y794" i="13"/>
  <c r="Y778" i="13"/>
  <c r="Y780" i="13"/>
  <c r="Y783" i="13"/>
  <c r="Y787" i="13"/>
  <c r="Y790" i="13"/>
  <c r="X779" i="13"/>
  <c r="AC779" i="13" s="1"/>
  <c r="W766" i="13"/>
  <c r="AE766" i="13" s="1"/>
  <c r="Z766" i="13"/>
  <c r="AA766" i="13"/>
  <c r="AB766" i="13"/>
  <c r="AD766" i="13"/>
  <c r="AF766" i="13"/>
  <c r="AG766" i="13"/>
  <c r="AH766" i="13"/>
  <c r="W765" i="13"/>
  <c r="AE765" i="13" s="1"/>
  <c r="Z765" i="13"/>
  <c r="AA765" i="13"/>
  <c r="AB765" i="13"/>
  <c r="AD765" i="13"/>
  <c r="AF765" i="13"/>
  <c r="AG765" i="13"/>
  <c r="AH765" i="13"/>
  <c r="W764" i="13"/>
  <c r="AE764" i="13" s="1"/>
  <c r="Z764" i="13"/>
  <c r="AA764" i="13"/>
  <c r="AB764" i="13"/>
  <c r="AD764" i="13"/>
  <c r="AF764" i="13"/>
  <c r="AG764" i="13"/>
  <c r="AH764" i="13"/>
  <c r="W763" i="13"/>
  <c r="AE763" i="13" s="1"/>
  <c r="Z763" i="13"/>
  <c r="AA763" i="13"/>
  <c r="AB763" i="13"/>
  <c r="AD763" i="13"/>
  <c r="AG763" i="13"/>
  <c r="AH763" i="13"/>
  <c r="W762" i="13"/>
  <c r="AE762" i="13" s="1"/>
  <c r="Z762" i="13"/>
  <c r="AA762" i="13"/>
  <c r="AB762" i="13"/>
  <c r="AD762" i="13"/>
  <c r="AF762" i="13"/>
  <c r="AG762" i="13"/>
  <c r="AH762" i="13"/>
  <c r="W761" i="13"/>
  <c r="AE761" i="13" s="1"/>
  <c r="Z761" i="13"/>
  <c r="AA761" i="13"/>
  <c r="AB761" i="13"/>
  <c r="AD761" i="13"/>
  <c r="AF761" i="13"/>
  <c r="AG761" i="13"/>
  <c r="AH761" i="13"/>
  <c r="W760" i="13"/>
  <c r="AE760" i="13" s="1"/>
  <c r="Z760" i="13"/>
  <c r="AA760" i="13"/>
  <c r="AB760" i="13"/>
  <c r="AD760" i="13"/>
  <c r="AF760" i="13"/>
  <c r="AG760" i="13"/>
  <c r="AH760" i="13"/>
  <c r="W759" i="13"/>
  <c r="AE759" i="13" s="1"/>
  <c r="Z759" i="13"/>
  <c r="AA759" i="13"/>
  <c r="AB759" i="13"/>
  <c r="AD759" i="13"/>
  <c r="AF759" i="13"/>
  <c r="AG759" i="13"/>
  <c r="AH759" i="13"/>
  <c r="W758" i="13"/>
  <c r="AE758" i="13" s="1"/>
  <c r="Z758" i="13"/>
  <c r="AA758" i="13"/>
  <c r="AB758" i="13"/>
  <c r="AD758" i="13"/>
  <c r="AG758" i="13"/>
  <c r="AH758" i="13"/>
  <c r="W757" i="13"/>
  <c r="AE757" i="13" s="1"/>
  <c r="Z757" i="13"/>
  <c r="AA757" i="13"/>
  <c r="AB757" i="13"/>
  <c r="AD757" i="13"/>
  <c r="AF757" i="13"/>
  <c r="AG757" i="13"/>
  <c r="AH757" i="13"/>
  <c r="W756" i="13"/>
  <c r="AE756" i="13" s="1"/>
  <c r="Z756" i="13"/>
  <c r="AA756" i="13"/>
  <c r="AB756" i="13"/>
  <c r="AD756" i="13"/>
  <c r="AF756" i="13"/>
  <c r="AG756" i="13"/>
  <c r="AH756" i="13"/>
  <c r="W755" i="13"/>
  <c r="AE755" i="13" s="1"/>
  <c r="Z755" i="13"/>
  <c r="AA755" i="13"/>
  <c r="AB755" i="13"/>
  <c r="AD755" i="13"/>
  <c r="AF755" i="13"/>
  <c r="AG755" i="13"/>
  <c r="AH755" i="13"/>
  <c r="W754" i="13"/>
  <c r="AE754" i="13" s="1"/>
  <c r="Z754" i="13"/>
  <c r="AA754" i="13"/>
  <c r="AB754" i="13"/>
  <c r="AD754" i="13"/>
  <c r="AF754" i="13"/>
  <c r="AG754" i="13"/>
  <c r="AH754" i="13"/>
  <c r="W753" i="13"/>
  <c r="AE753" i="13" s="1"/>
  <c r="Z753" i="13"/>
  <c r="AA753" i="13"/>
  <c r="AB753" i="13"/>
  <c r="AD753" i="13"/>
  <c r="AF753" i="13"/>
  <c r="AG753" i="13"/>
  <c r="AH753" i="13"/>
  <c r="W752" i="13"/>
  <c r="AE752" i="13" s="1"/>
  <c r="Z752" i="13"/>
  <c r="AA752" i="13"/>
  <c r="AB752" i="13"/>
  <c r="AD752" i="13"/>
  <c r="AF752" i="13"/>
  <c r="AG752" i="13"/>
  <c r="AH752" i="13"/>
  <c r="W751" i="13"/>
  <c r="AE751" i="13" s="1"/>
  <c r="Z751" i="13"/>
  <c r="AF751" i="13" s="1"/>
  <c r="AA751" i="13"/>
  <c r="AB751" i="13"/>
  <c r="AD751" i="13"/>
  <c r="AG751" i="13"/>
  <c r="AH751" i="13"/>
  <c r="W750" i="13"/>
  <c r="AE750" i="13" s="1"/>
  <c r="Z750" i="13"/>
  <c r="AA750" i="13"/>
  <c r="AB750" i="13"/>
  <c r="AD750" i="13"/>
  <c r="AG750" i="13"/>
  <c r="AH750" i="13"/>
  <c r="W749" i="13"/>
  <c r="AE749" i="13" s="1"/>
  <c r="Z749" i="13"/>
  <c r="AA749" i="13"/>
  <c r="AB749" i="13"/>
  <c r="AD749" i="13"/>
  <c r="AF749" i="13"/>
  <c r="AG749" i="13"/>
  <c r="AH749" i="13"/>
  <c r="W748" i="13"/>
  <c r="AE748" i="13" s="1"/>
  <c r="Z748" i="13"/>
  <c r="AA748" i="13"/>
  <c r="AB748" i="13"/>
  <c r="AD748" i="13"/>
  <c r="AG748" i="13"/>
  <c r="AH748" i="13"/>
  <c r="W747" i="13"/>
  <c r="AE747" i="13" s="1"/>
  <c r="Z747" i="13"/>
  <c r="AA747" i="13"/>
  <c r="AB747" i="13"/>
  <c r="AD747" i="13"/>
  <c r="AF747" i="13"/>
  <c r="AG747" i="13"/>
  <c r="AH747" i="13"/>
  <c r="W746" i="13"/>
  <c r="AE746" i="13" s="1"/>
  <c r="Z746" i="13"/>
  <c r="AA746" i="13"/>
  <c r="AB746" i="13"/>
  <c r="AD746" i="13"/>
  <c r="AG746" i="13"/>
  <c r="AH746" i="13"/>
  <c r="W745" i="13"/>
  <c r="AE745" i="13" s="1"/>
  <c r="Z745" i="13"/>
  <c r="AA745" i="13"/>
  <c r="AB745" i="13"/>
  <c r="AD745" i="13"/>
  <c r="AF745" i="13"/>
  <c r="AG745" i="13"/>
  <c r="AH745" i="13"/>
  <c r="W744" i="13"/>
  <c r="AE744" i="13" s="1"/>
  <c r="Z744" i="13"/>
  <c r="AA744" i="13"/>
  <c r="AB744" i="13"/>
  <c r="AD744" i="13"/>
  <c r="AF744" i="13"/>
  <c r="AG744" i="13"/>
  <c r="AH744" i="13"/>
  <c r="W743" i="13"/>
  <c r="AE743" i="13" s="1"/>
  <c r="Z743" i="13"/>
  <c r="AA743" i="13"/>
  <c r="AB743" i="13"/>
  <c r="AD743" i="13"/>
  <c r="AG743" i="13"/>
  <c r="AH743" i="13"/>
  <c r="W742" i="13"/>
  <c r="AE742" i="13" s="1"/>
  <c r="Z742" i="13"/>
  <c r="AA742" i="13"/>
  <c r="AB742" i="13"/>
  <c r="AD742" i="13"/>
  <c r="AF742" i="13"/>
  <c r="AG742" i="13"/>
  <c r="AH742" i="13"/>
  <c r="W741" i="13"/>
  <c r="AE741" i="13" s="1"/>
  <c r="Z741" i="13"/>
  <c r="AA741" i="13"/>
  <c r="AB741" i="13"/>
  <c r="AD741" i="13"/>
  <c r="AG741" i="13"/>
  <c r="AH741" i="13"/>
  <c r="W740" i="13"/>
  <c r="AE740" i="13" s="1"/>
  <c r="Z740" i="13"/>
  <c r="AA740" i="13"/>
  <c r="AB740" i="13"/>
  <c r="AD740" i="13"/>
  <c r="AF740" i="13"/>
  <c r="AG740" i="13"/>
  <c r="AH740" i="13"/>
  <c r="W739" i="13"/>
  <c r="AE739" i="13" s="1"/>
  <c r="Z739" i="13"/>
  <c r="AA739" i="13"/>
  <c r="AB739" i="13"/>
  <c r="AD739" i="13"/>
  <c r="AG739" i="13"/>
  <c r="AH739" i="13"/>
  <c r="W738" i="13"/>
  <c r="AE738" i="13" s="1"/>
  <c r="Z738" i="13"/>
  <c r="AA738" i="13"/>
  <c r="AB738" i="13"/>
  <c r="AD738" i="13"/>
  <c r="AF738" i="13"/>
  <c r="AG738" i="13"/>
  <c r="AH738" i="13"/>
  <c r="W737" i="13"/>
  <c r="AE737" i="13" s="1"/>
  <c r="Z737" i="13"/>
  <c r="AA737" i="13"/>
  <c r="AB737" i="13"/>
  <c r="AD737" i="13"/>
  <c r="AG737" i="13"/>
  <c r="AH737" i="13"/>
  <c r="W736" i="13"/>
  <c r="AE736" i="13" s="1"/>
  <c r="Z736" i="13"/>
  <c r="AA736" i="13"/>
  <c r="AB736" i="13"/>
  <c r="AD736" i="13"/>
  <c r="AF736" i="13"/>
  <c r="AG736" i="13"/>
  <c r="AH736" i="13"/>
  <c r="W735" i="13"/>
  <c r="AE735" i="13" s="1"/>
  <c r="Z735" i="13"/>
  <c r="AA735" i="13"/>
  <c r="AB735" i="13"/>
  <c r="AD735" i="13"/>
  <c r="AF735" i="13"/>
  <c r="AG735" i="13"/>
  <c r="AH735" i="13"/>
  <c r="W734" i="13"/>
  <c r="AE734" i="13" s="1"/>
  <c r="Z734" i="13"/>
  <c r="AA734" i="13"/>
  <c r="AB734" i="13"/>
  <c r="AD734" i="13"/>
  <c r="AF734" i="13"/>
  <c r="AG734" i="13"/>
  <c r="AH734" i="13"/>
  <c r="W733" i="13"/>
  <c r="AE733" i="13" s="1"/>
  <c r="Z733" i="13"/>
  <c r="AA733" i="13"/>
  <c r="AB733" i="13"/>
  <c r="AD733" i="13"/>
  <c r="AG733" i="13"/>
  <c r="AH733" i="13"/>
  <c r="W732" i="13"/>
  <c r="AE732" i="13" s="1"/>
  <c r="Z732" i="13"/>
  <c r="AA732" i="13"/>
  <c r="AB732" i="13"/>
  <c r="AD732" i="13"/>
  <c r="AF732" i="13"/>
  <c r="AG732" i="13"/>
  <c r="AH732" i="13"/>
  <c r="W731" i="13"/>
  <c r="AE731" i="13" s="1"/>
  <c r="Z731" i="13"/>
  <c r="AA731" i="13"/>
  <c r="AB731" i="13"/>
  <c r="AD731" i="13"/>
  <c r="AF731" i="13"/>
  <c r="AG731" i="13"/>
  <c r="AH731" i="13"/>
  <c r="W730" i="13"/>
  <c r="AE730" i="13" s="1"/>
  <c r="Z730" i="13"/>
  <c r="AA730" i="13"/>
  <c r="AB730" i="13"/>
  <c r="AD730" i="13"/>
  <c r="AF730" i="13"/>
  <c r="AG730" i="13"/>
  <c r="AH730" i="13"/>
  <c r="W729" i="13"/>
  <c r="AE729" i="13" s="1"/>
  <c r="Z729" i="13"/>
  <c r="AA729" i="13"/>
  <c r="AB729" i="13"/>
  <c r="AD729" i="13"/>
  <c r="AF729" i="13"/>
  <c r="AG729" i="13"/>
  <c r="AH729" i="13"/>
  <c r="W728" i="13"/>
  <c r="AE728" i="13" s="1"/>
  <c r="Z728" i="13"/>
  <c r="AA728" i="13"/>
  <c r="AB728" i="13"/>
  <c r="AD728" i="13"/>
  <c r="AF728" i="13"/>
  <c r="AG728" i="13"/>
  <c r="AH728" i="13"/>
  <c r="W727" i="13"/>
  <c r="AE727" i="13" s="1"/>
  <c r="Z727" i="13"/>
  <c r="AA727" i="13"/>
  <c r="AB727" i="13"/>
  <c r="AD727" i="13"/>
  <c r="AF727" i="13"/>
  <c r="AG727" i="13"/>
  <c r="AH727" i="13"/>
  <c r="W726" i="13"/>
  <c r="AE726" i="13" s="1"/>
  <c r="Z726" i="13"/>
  <c r="AA726" i="13"/>
  <c r="AB726" i="13"/>
  <c r="AD726" i="13"/>
  <c r="AG726" i="13"/>
  <c r="AH726" i="13"/>
  <c r="W725" i="13"/>
  <c r="AE725" i="13" s="1"/>
  <c r="Z725" i="13"/>
  <c r="AA725" i="13"/>
  <c r="AB725" i="13"/>
  <c r="AD725" i="13"/>
  <c r="AF725" i="13"/>
  <c r="AG725" i="13"/>
  <c r="AH725" i="13"/>
  <c r="W724" i="13"/>
  <c r="AE724" i="13" s="1"/>
  <c r="Z724" i="13"/>
  <c r="AA724" i="13"/>
  <c r="AB724" i="13"/>
  <c r="AD724" i="13"/>
  <c r="AF724" i="13"/>
  <c r="AG724" i="13"/>
  <c r="AH724" i="13"/>
  <c r="W723" i="13"/>
  <c r="AE723" i="13" s="1"/>
  <c r="Z723" i="13"/>
  <c r="AA723" i="13"/>
  <c r="AB723" i="13"/>
  <c r="AD723" i="13"/>
  <c r="AF723" i="13"/>
  <c r="AG723" i="13"/>
  <c r="AH723" i="13"/>
  <c r="W722" i="13"/>
  <c r="AE722" i="13" s="1"/>
  <c r="Z722" i="13"/>
  <c r="AA722" i="13"/>
  <c r="AB722" i="13"/>
  <c r="AD722" i="13"/>
  <c r="AF722" i="13"/>
  <c r="AG722" i="13"/>
  <c r="AH722" i="13"/>
  <c r="W721" i="13"/>
  <c r="AE721" i="13" s="1"/>
  <c r="Z721" i="13"/>
  <c r="AA721" i="13"/>
  <c r="AB721" i="13"/>
  <c r="AD721" i="13"/>
  <c r="AG721" i="13"/>
  <c r="AH721" i="13"/>
  <c r="W720" i="13"/>
  <c r="AE720" i="13" s="1"/>
  <c r="Z720" i="13"/>
  <c r="AA720" i="13"/>
  <c r="AB720" i="13"/>
  <c r="AD720" i="13"/>
  <c r="AF720" i="13"/>
  <c r="AG720" i="13"/>
  <c r="AH720" i="13"/>
  <c r="W719" i="13"/>
  <c r="AE719" i="13" s="1"/>
  <c r="Z719" i="13"/>
  <c r="AA719" i="13"/>
  <c r="AB719" i="13"/>
  <c r="AD719" i="13"/>
  <c r="AF719" i="13"/>
  <c r="AG719" i="13"/>
  <c r="AH719" i="13"/>
  <c r="W718" i="13"/>
  <c r="AE718" i="13" s="1"/>
  <c r="Z718" i="13"/>
  <c r="AA718" i="13"/>
  <c r="AB718" i="13"/>
  <c r="AD718" i="13"/>
  <c r="AF718" i="13"/>
  <c r="AG718" i="13"/>
  <c r="AH718" i="13"/>
  <c r="W717" i="13"/>
  <c r="AE717" i="13" s="1"/>
  <c r="Z717" i="13"/>
  <c r="AA717" i="13"/>
  <c r="AB717" i="13"/>
  <c r="AD717" i="13"/>
  <c r="AF717" i="13"/>
  <c r="AG717" i="13"/>
  <c r="AH717" i="13"/>
  <c r="W716" i="13"/>
  <c r="AE716" i="13" s="1"/>
  <c r="Z716" i="13"/>
  <c r="AA716" i="13"/>
  <c r="AB716" i="13"/>
  <c r="AD716" i="13"/>
  <c r="AG716" i="13"/>
  <c r="AH716" i="13"/>
  <c r="W715" i="13"/>
  <c r="AE715" i="13" s="1"/>
  <c r="Z715" i="13"/>
  <c r="AA715" i="13"/>
  <c r="AB715" i="13"/>
  <c r="AD715" i="13"/>
  <c r="AF715" i="13"/>
  <c r="AG715" i="13"/>
  <c r="AH715" i="13"/>
  <c r="W714" i="13"/>
  <c r="AE714" i="13" s="1"/>
  <c r="Z714" i="13"/>
  <c r="AA714" i="13"/>
  <c r="AB714" i="13"/>
  <c r="AD714" i="13"/>
  <c r="AF714" i="13"/>
  <c r="AG714" i="13"/>
  <c r="AH714" i="13"/>
  <c r="W713" i="13"/>
  <c r="AE713" i="13" s="1"/>
  <c r="Z713" i="13"/>
  <c r="AA713" i="13"/>
  <c r="AB713" i="13"/>
  <c r="AD713" i="13"/>
  <c r="AF713" i="13"/>
  <c r="AG713" i="13"/>
  <c r="AH713" i="13"/>
  <c r="W712" i="13"/>
  <c r="AE712" i="13" s="1"/>
  <c r="Z712" i="13"/>
  <c r="AA712" i="13"/>
  <c r="AB712" i="13"/>
  <c r="AD712" i="13"/>
  <c r="AG712" i="13"/>
  <c r="AH712" i="13"/>
  <c r="W711" i="13"/>
  <c r="AE711" i="13" s="1"/>
  <c r="Z711" i="13"/>
  <c r="AA711" i="13"/>
  <c r="AB711" i="13"/>
  <c r="AD711" i="13"/>
  <c r="AF711" i="13"/>
  <c r="AG711" i="13"/>
  <c r="AH711" i="13"/>
  <c r="W710" i="13"/>
  <c r="AE710" i="13" s="1"/>
  <c r="Z710" i="13"/>
  <c r="AA710" i="13"/>
  <c r="AB710" i="13"/>
  <c r="AD710" i="13"/>
  <c r="AF710" i="13"/>
  <c r="AG710" i="13"/>
  <c r="AH710" i="13"/>
  <c r="W709" i="13"/>
  <c r="AE709" i="13" s="1"/>
  <c r="Z709" i="13"/>
  <c r="AA709" i="13"/>
  <c r="AB709" i="13"/>
  <c r="AD709" i="13"/>
  <c r="AF709" i="13"/>
  <c r="AG709" i="13"/>
  <c r="AH709" i="13"/>
  <c r="W708" i="13"/>
  <c r="AE708" i="13" s="1"/>
  <c r="Z708" i="13"/>
  <c r="AA708" i="13"/>
  <c r="AB708" i="13"/>
  <c r="AD708" i="13"/>
  <c r="AF708" i="13"/>
  <c r="AG708" i="13"/>
  <c r="AH708" i="13"/>
  <c r="W707" i="13"/>
  <c r="AE707" i="13" s="1"/>
  <c r="Z707" i="13"/>
  <c r="AA707" i="13"/>
  <c r="AB707" i="13"/>
  <c r="AD707" i="13"/>
  <c r="AF707" i="13"/>
  <c r="AG707" i="13"/>
  <c r="AH707" i="13"/>
  <c r="W706" i="13"/>
  <c r="AE706" i="13" s="1"/>
  <c r="Z706" i="13"/>
  <c r="AA706" i="13"/>
  <c r="AB706" i="13"/>
  <c r="AD706" i="13"/>
  <c r="AF706" i="13"/>
  <c r="AG706" i="13"/>
  <c r="AH706" i="13"/>
  <c r="W705" i="13"/>
  <c r="AE705" i="13" s="1"/>
  <c r="Z705" i="13"/>
  <c r="AA705" i="13"/>
  <c r="AB705" i="13"/>
  <c r="AD705" i="13"/>
  <c r="AG705" i="13"/>
  <c r="AH705" i="13"/>
  <c r="W704" i="13"/>
  <c r="AE704" i="13" s="1"/>
  <c r="Z704" i="13"/>
  <c r="AA704" i="13"/>
  <c r="AB704" i="13"/>
  <c r="AD704" i="13"/>
  <c r="AF704" i="13"/>
  <c r="AG704" i="13"/>
  <c r="AH704" i="13"/>
  <c r="W703" i="13"/>
  <c r="AE703" i="13" s="1"/>
  <c r="Z703" i="13"/>
  <c r="AA703" i="13"/>
  <c r="AB703" i="13"/>
  <c r="AD703" i="13"/>
  <c r="AG703" i="13"/>
  <c r="AH703" i="13"/>
  <c r="W702" i="13"/>
  <c r="AE702" i="13" s="1"/>
  <c r="Z702" i="13"/>
  <c r="AA702" i="13"/>
  <c r="AB702" i="13"/>
  <c r="AD702" i="13"/>
  <c r="AF702" i="13"/>
  <c r="AG702" i="13"/>
  <c r="AH702" i="13"/>
  <c r="W701" i="13"/>
  <c r="AE701" i="13" s="1"/>
  <c r="Z701" i="13"/>
  <c r="AA701" i="13"/>
  <c r="AB701" i="13"/>
  <c r="AD701" i="13"/>
  <c r="AG701" i="13"/>
  <c r="AH701" i="13"/>
  <c r="W700" i="13"/>
  <c r="AE700" i="13" s="1"/>
  <c r="Z700" i="13"/>
  <c r="AA700" i="13"/>
  <c r="AB700" i="13"/>
  <c r="AD700" i="13"/>
  <c r="AF700" i="13"/>
  <c r="AG700" i="13"/>
  <c r="AH700" i="13"/>
  <c r="W699" i="13"/>
  <c r="AE699" i="13" s="1"/>
  <c r="Z699" i="13"/>
  <c r="AA699" i="13"/>
  <c r="AB699" i="13"/>
  <c r="AD699" i="13"/>
  <c r="AF699" i="13"/>
  <c r="AG699" i="13"/>
  <c r="AH699" i="13"/>
  <c r="W698" i="13"/>
  <c r="AE698" i="13" s="1"/>
  <c r="Z698" i="13"/>
  <c r="AA698" i="13"/>
  <c r="AB698" i="13"/>
  <c r="AD698" i="13"/>
  <c r="AG698" i="13"/>
  <c r="AH698" i="13"/>
  <c r="W697" i="13"/>
  <c r="AE697" i="13" s="1"/>
  <c r="Z697" i="13"/>
  <c r="AA697" i="13"/>
  <c r="AB697" i="13"/>
  <c r="AD697" i="13"/>
  <c r="AF697" i="13"/>
  <c r="AG697" i="13"/>
  <c r="AH697" i="13"/>
  <c r="W696" i="13"/>
  <c r="AE696" i="13" s="1"/>
  <c r="Z696" i="13"/>
  <c r="AA696" i="13"/>
  <c r="AB696" i="13"/>
  <c r="AD696" i="13"/>
  <c r="AG696" i="13"/>
  <c r="AH696" i="13"/>
  <c r="W695" i="13"/>
  <c r="AE695" i="13" s="1"/>
  <c r="Z695" i="13"/>
  <c r="AA695" i="13"/>
  <c r="AB695" i="13"/>
  <c r="AD695" i="13"/>
  <c r="AF695" i="13"/>
  <c r="AG695" i="13"/>
  <c r="AH695" i="13"/>
  <c r="W694" i="13"/>
  <c r="AE694" i="13" s="1"/>
  <c r="Z694" i="13"/>
  <c r="AA694" i="13"/>
  <c r="AB694" i="13"/>
  <c r="AD694" i="13"/>
  <c r="AF694" i="13"/>
  <c r="AG694" i="13"/>
  <c r="AH694" i="13"/>
  <c r="W693" i="13"/>
  <c r="AE693" i="13" s="1"/>
  <c r="Z693" i="13"/>
  <c r="AA693" i="13"/>
  <c r="AB693" i="13"/>
  <c r="AD693" i="13"/>
  <c r="AG693" i="13"/>
  <c r="AH693" i="13"/>
  <c r="W692" i="13"/>
  <c r="AE692" i="13" s="1"/>
  <c r="Z692" i="13"/>
  <c r="AA692" i="13"/>
  <c r="AB692" i="13"/>
  <c r="AD692" i="13"/>
  <c r="AF692" i="13"/>
  <c r="AG692" i="13"/>
  <c r="AH692" i="13"/>
  <c r="W691" i="13"/>
  <c r="AE691" i="13" s="1"/>
  <c r="Z691" i="13"/>
  <c r="AA691" i="13"/>
  <c r="AB691" i="13"/>
  <c r="AD691" i="13"/>
  <c r="AF691" i="13"/>
  <c r="AG691" i="13"/>
  <c r="AH691" i="13"/>
  <c r="W690" i="13"/>
  <c r="AE690" i="13" s="1"/>
  <c r="Z690" i="13"/>
  <c r="AA690" i="13"/>
  <c r="AB690" i="13"/>
  <c r="AD690" i="13"/>
  <c r="AF690" i="13"/>
  <c r="AG690" i="13"/>
  <c r="AH690" i="13"/>
  <c r="W689" i="13"/>
  <c r="AE689" i="13" s="1"/>
  <c r="Z689" i="13"/>
  <c r="AA689" i="13"/>
  <c r="AB689" i="13"/>
  <c r="AD689" i="13"/>
  <c r="AG689" i="13"/>
  <c r="AH689" i="13"/>
  <c r="W688" i="13"/>
  <c r="AE688" i="13" s="1"/>
  <c r="Z688" i="13"/>
  <c r="AA688" i="13"/>
  <c r="AB688" i="13"/>
  <c r="AD688" i="13"/>
  <c r="AF688" i="13"/>
  <c r="AG688" i="13"/>
  <c r="AH688" i="13"/>
  <c r="W687" i="13"/>
  <c r="AE687" i="13" s="1"/>
  <c r="Z687" i="13"/>
  <c r="AA687" i="13"/>
  <c r="AB687" i="13"/>
  <c r="AD687" i="13"/>
  <c r="AG687" i="13"/>
  <c r="AH687" i="13"/>
  <c r="W686" i="13"/>
  <c r="AE686" i="13" s="1"/>
  <c r="Z686" i="13"/>
  <c r="AA686" i="13"/>
  <c r="AB686" i="13"/>
  <c r="AD686" i="13"/>
  <c r="AF686" i="13"/>
  <c r="AG686" i="13"/>
  <c r="AH686" i="13"/>
  <c r="W685" i="13"/>
  <c r="AE685" i="13" s="1"/>
  <c r="Z685" i="13"/>
  <c r="AA685" i="13"/>
  <c r="AB685" i="13"/>
  <c r="AD685" i="13"/>
  <c r="AF685" i="13"/>
  <c r="AG685" i="13"/>
  <c r="AH685" i="13"/>
  <c r="W684" i="13"/>
  <c r="AE684" i="13" s="1"/>
  <c r="Z684" i="13"/>
  <c r="AA684" i="13"/>
  <c r="AB684" i="13"/>
  <c r="AD684" i="13"/>
  <c r="AG684" i="13"/>
  <c r="AH684" i="13"/>
  <c r="W683" i="13"/>
  <c r="AE683" i="13" s="1"/>
  <c r="Z683" i="13"/>
  <c r="AA683" i="13"/>
  <c r="AB683" i="13"/>
  <c r="AD683" i="13"/>
  <c r="AF683" i="13"/>
  <c r="AG683" i="13"/>
  <c r="AH683" i="13"/>
  <c r="W682" i="13"/>
  <c r="AE682" i="13" s="1"/>
  <c r="Z682" i="13"/>
  <c r="AA682" i="13"/>
  <c r="AB682" i="13"/>
  <c r="AD682" i="13"/>
  <c r="AF682" i="13"/>
  <c r="AG682" i="13"/>
  <c r="AH682" i="13"/>
  <c r="W681" i="13"/>
  <c r="AE681" i="13" s="1"/>
  <c r="Z681" i="13"/>
  <c r="AF681" i="13" s="1"/>
  <c r="AA681" i="13"/>
  <c r="AB681" i="13"/>
  <c r="AD681" i="13"/>
  <c r="AG681" i="13"/>
  <c r="AH681" i="13"/>
  <c r="W680" i="13"/>
  <c r="AE680" i="13" s="1"/>
  <c r="Z680" i="13"/>
  <c r="AA680" i="13"/>
  <c r="AB680" i="13"/>
  <c r="AD680" i="13"/>
  <c r="AF680" i="13"/>
  <c r="AG680" i="13"/>
  <c r="AH680" i="13"/>
  <c r="W679" i="13"/>
  <c r="AE679" i="13" s="1"/>
  <c r="Z679" i="13"/>
  <c r="AA679" i="13"/>
  <c r="AB679" i="13"/>
  <c r="AD679" i="13"/>
  <c r="AG679" i="13"/>
  <c r="AH679" i="13"/>
  <c r="W678" i="13"/>
  <c r="AE678" i="13" s="1"/>
  <c r="Z678" i="13"/>
  <c r="AA678" i="13"/>
  <c r="AB678" i="13"/>
  <c r="AD678" i="13"/>
  <c r="AF678" i="13"/>
  <c r="AG678" i="13"/>
  <c r="AH678" i="13"/>
  <c r="W677" i="13"/>
  <c r="AE677" i="13" s="1"/>
  <c r="Z677" i="13"/>
  <c r="AA677" i="13"/>
  <c r="AB677" i="13"/>
  <c r="AD677" i="13"/>
  <c r="AF677" i="13"/>
  <c r="AG677" i="13"/>
  <c r="AH677" i="13"/>
  <c r="W676" i="13"/>
  <c r="AE676" i="13" s="1"/>
  <c r="Z676" i="13"/>
  <c r="AA676" i="13"/>
  <c r="AB676" i="13"/>
  <c r="AD676" i="13"/>
  <c r="AG676" i="13"/>
  <c r="AH676" i="13"/>
  <c r="W675" i="13"/>
  <c r="AE675" i="13" s="1"/>
  <c r="Z675" i="13"/>
  <c r="AA675" i="13"/>
  <c r="AB675" i="13"/>
  <c r="AD675" i="13"/>
  <c r="AF675" i="13"/>
  <c r="AG675" i="13"/>
  <c r="AH675" i="13"/>
  <c r="W674" i="13"/>
  <c r="AE674" i="13" s="1"/>
  <c r="Z674" i="13"/>
  <c r="AA674" i="13"/>
  <c r="AB674" i="13"/>
  <c r="AD674" i="13"/>
  <c r="AF674" i="13"/>
  <c r="AG674" i="13"/>
  <c r="AH674" i="13"/>
  <c r="W673" i="13"/>
  <c r="AE673" i="13" s="1"/>
  <c r="Z673" i="13"/>
  <c r="AA673" i="13"/>
  <c r="AB673" i="13"/>
  <c r="AD673" i="13"/>
  <c r="AG673" i="13"/>
  <c r="AH673" i="13"/>
  <c r="W672" i="13"/>
  <c r="AE672" i="13" s="1"/>
  <c r="Z672" i="13"/>
  <c r="AA672" i="13"/>
  <c r="AB672" i="13"/>
  <c r="AD672" i="13"/>
  <c r="AF672" i="13"/>
  <c r="AG672" i="13"/>
  <c r="AH672" i="13"/>
  <c r="W671" i="13"/>
  <c r="AE671" i="13" s="1"/>
  <c r="Z671" i="13"/>
  <c r="AA671" i="13"/>
  <c r="AB671" i="13"/>
  <c r="AD671" i="13"/>
  <c r="AF671" i="13"/>
  <c r="AG671" i="13"/>
  <c r="AH671" i="13"/>
  <c r="W670" i="13"/>
  <c r="AE670" i="13" s="1"/>
  <c r="Z670" i="13"/>
  <c r="AA670" i="13"/>
  <c r="AB670" i="13"/>
  <c r="AD670" i="13"/>
  <c r="AF670" i="13"/>
  <c r="AG670" i="13"/>
  <c r="AH670" i="13"/>
  <c r="W669" i="13"/>
  <c r="AE669" i="13" s="1"/>
  <c r="Z669" i="13"/>
  <c r="AA669" i="13"/>
  <c r="AB669" i="13"/>
  <c r="AD669" i="13"/>
  <c r="AF669" i="13"/>
  <c r="AG669" i="13"/>
  <c r="AH669" i="13"/>
  <c r="W668" i="13"/>
  <c r="AE668" i="13" s="1"/>
  <c r="Z668" i="13"/>
  <c r="AA668" i="13"/>
  <c r="AB668" i="13"/>
  <c r="AD668" i="13"/>
  <c r="AF668" i="13"/>
  <c r="AG668" i="13"/>
  <c r="AH668" i="13"/>
  <c r="W667" i="13"/>
  <c r="AE667" i="13" s="1"/>
  <c r="Z667" i="13"/>
  <c r="AA667" i="13"/>
  <c r="AB667" i="13"/>
  <c r="AD667" i="13"/>
  <c r="AF667" i="13"/>
  <c r="AG667" i="13"/>
  <c r="AH667" i="13"/>
  <c r="W666" i="13"/>
  <c r="AE666" i="13" s="1"/>
  <c r="Z666" i="13"/>
  <c r="AA666" i="13"/>
  <c r="AB666" i="13"/>
  <c r="AD666" i="13"/>
  <c r="AF666" i="13"/>
  <c r="AG666" i="13"/>
  <c r="AH666" i="13"/>
  <c r="W665" i="13"/>
  <c r="AE665" i="13" s="1"/>
  <c r="Z665" i="13"/>
  <c r="AA665" i="13"/>
  <c r="AB665" i="13"/>
  <c r="AD665" i="13"/>
  <c r="AF665" i="13"/>
  <c r="AG665" i="13"/>
  <c r="AH665" i="13"/>
  <c r="W664" i="13"/>
  <c r="AE664" i="13" s="1"/>
  <c r="Z664" i="13"/>
  <c r="AA664" i="13"/>
  <c r="AB664" i="13"/>
  <c r="AD664" i="13"/>
  <c r="AG664" i="13"/>
  <c r="AH664" i="13"/>
  <c r="W663" i="13"/>
  <c r="AE663" i="13" s="1"/>
  <c r="Z663" i="13"/>
  <c r="AA663" i="13"/>
  <c r="AB663" i="13"/>
  <c r="AD663" i="13"/>
  <c r="AF663" i="13"/>
  <c r="AG663" i="13"/>
  <c r="AH663" i="13"/>
  <c r="W662" i="13"/>
  <c r="AE662" i="13" s="1"/>
  <c r="Z662" i="13"/>
  <c r="AA662" i="13"/>
  <c r="AB662" i="13"/>
  <c r="AD662" i="13"/>
  <c r="AF662" i="13"/>
  <c r="AG662" i="13"/>
  <c r="AH662" i="13"/>
  <c r="W661" i="13"/>
  <c r="AE661" i="13" s="1"/>
  <c r="Z661" i="13"/>
  <c r="AA661" i="13"/>
  <c r="AB661" i="13"/>
  <c r="AD661" i="13"/>
  <c r="AF661" i="13"/>
  <c r="AG661" i="13"/>
  <c r="AH661" i="13"/>
  <c r="W660" i="13"/>
  <c r="AE660" i="13" s="1"/>
  <c r="Z660" i="13"/>
  <c r="AA660" i="13"/>
  <c r="AB660" i="13"/>
  <c r="AD660" i="13"/>
  <c r="AF660" i="13"/>
  <c r="AG660" i="13"/>
  <c r="AH660" i="13"/>
  <c r="W659" i="13"/>
  <c r="AE659" i="13" s="1"/>
  <c r="Z659" i="13"/>
  <c r="AA659" i="13"/>
  <c r="AB659" i="13"/>
  <c r="AD659" i="13"/>
  <c r="AF659" i="13"/>
  <c r="AG659" i="13"/>
  <c r="AH659" i="13"/>
  <c r="W658" i="13"/>
  <c r="AE658" i="13" s="1"/>
  <c r="Z658" i="13"/>
  <c r="AA658" i="13"/>
  <c r="AB658" i="13"/>
  <c r="AD658" i="13"/>
  <c r="AF658" i="13"/>
  <c r="AG658" i="13"/>
  <c r="AH658" i="13"/>
  <c r="W657" i="13"/>
  <c r="AE657" i="13" s="1"/>
  <c r="Z657" i="13"/>
  <c r="AA657" i="13"/>
  <c r="AB657" i="13"/>
  <c r="AD657" i="13"/>
  <c r="AF657" i="13"/>
  <c r="AG657" i="13"/>
  <c r="AH657" i="13"/>
  <c r="W656" i="13"/>
  <c r="AE656" i="13" s="1"/>
  <c r="Z656" i="13"/>
  <c r="AA656" i="13"/>
  <c r="AB656" i="13"/>
  <c r="AD656" i="13"/>
  <c r="AF656" i="13"/>
  <c r="AG656" i="13"/>
  <c r="AH656" i="13"/>
  <c r="X694" i="13" l="1"/>
  <c r="AC694" i="13" s="1"/>
  <c r="X741" i="13"/>
  <c r="AC741" i="13" s="1"/>
  <c r="X737" i="13"/>
  <c r="AC737" i="13" s="1"/>
  <c r="X724" i="13"/>
  <c r="AC724" i="13" s="1"/>
  <c r="AF741" i="13"/>
  <c r="Y741" i="13" s="1"/>
  <c r="X760" i="13"/>
  <c r="AC760" i="13" s="1"/>
  <c r="X726" i="13"/>
  <c r="AC726" i="13" s="1"/>
  <c r="X762" i="13"/>
  <c r="AC762" i="13" s="1"/>
  <c r="X710" i="13"/>
  <c r="AC710" i="13" s="1"/>
  <c r="X712" i="13"/>
  <c r="AC712" i="13" s="1"/>
  <c r="AF737" i="13"/>
  <c r="Y737" i="13" s="1"/>
  <c r="X744" i="13"/>
  <c r="AC744" i="13" s="1"/>
  <c r="X761" i="13"/>
  <c r="AC761" i="13" s="1"/>
  <c r="X700" i="13"/>
  <c r="AC700" i="13" s="1"/>
  <c r="X706" i="13"/>
  <c r="AC706" i="13" s="1"/>
  <c r="X711" i="13"/>
  <c r="AC711" i="13" s="1"/>
  <c r="AF712" i="13"/>
  <c r="Y712" i="13" s="1"/>
  <c r="X723" i="13"/>
  <c r="AC723" i="13" s="1"/>
  <c r="X725" i="13"/>
  <c r="AC725" i="13" s="1"/>
  <c r="AF726" i="13"/>
  <c r="Y726" i="13" s="1"/>
  <c r="Y700" i="13"/>
  <c r="Y706" i="13"/>
  <c r="Y711" i="13"/>
  <c r="Y723" i="13"/>
  <c r="Y725" i="13"/>
  <c r="Y760" i="13"/>
  <c r="Y762" i="13"/>
  <c r="Y694" i="13"/>
  <c r="Y710" i="13"/>
  <c r="Y724" i="13"/>
  <c r="Y744" i="13"/>
  <c r="Y761" i="13"/>
  <c r="X660" i="13"/>
  <c r="AC660" i="13" s="1"/>
  <c r="X668" i="13"/>
  <c r="AC668" i="13" s="1"/>
  <c r="X729" i="13"/>
  <c r="AC729" i="13" s="1"/>
  <c r="X735" i="13"/>
  <c r="AC735" i="13" s="1"/>
  <c r="X739" i="13"/>
  <c r="AC739" i="13" s="1"/>
  <c r="X743" i="13"/>
  <c r="AC743" i="13" s="1"/>
  <c r="X746" i="13"/>
  <c r="AC746" i="13" s="1"/>
  <c r="X748" i="13"/>
  <c r="AC748" i="13" s="1"/>
  <c r="X750" i="13"/>
  <c r="AC750" i="13" s="1"/>
  <c r="X698" i="13"/>
  <c r="AC698" i="13" s="1"/>
  <c r="X701" i="13"/>
  <c r="AC701" i="13" s="1"/>
  <c r="X703" i="13"/>
  <c r="AC703" i="13" s="1"/>
  <c r="X705" i="13"/>
  <c r="AC705" i="13" s="1"/>
  <c r="X672" i="13"/>
  <c r="AC672" i="13" s="1"/>
  <c r="X713" i="13"/>
  <c r="AC713" i="13" s="1"/>
  <c r="X754" i="13"/>
  <c r="AC754" i="13" s="1"/>
  <c r="X765" i="13"/>
  <c r="AC765" i="13" s="1"/>
  <c r="X658" i="13"/>
  <c r="AC658" i="13" s="1"/>
  <c r="X662" i="13"/>
  <c r="AC662" i="13" s="1"/>
  <c r="X664" i="13"/>
  <c r="AC664" i="13" s="1"/>
  <c r="X684" i="13"/>
  <c r="AC684" i="13" s="1"/>
  <c r="X687" i="13"/>
  <c r="AC687" i="13" s="1"/>
  <c r="X689" i="13"/>
  <c r="AC689" i="13" s="1"/>
  <c r="X693" i="13"/>
  <c r="AC693" i="13" s="1"/>
  <c r="X708" i="13"/>
  <c r="AC708" i="13" s="1"/>
  <c r="X727" i="13"/>
  <c r="AC727" i="13" s="1"/>
  <c r="X731" i="13"/>
  <c r="AC731" i="13" s="1"/>
  <c r="X733" i="13"/>
  <c r="AC733" i="13" s="1"/>
  <c r="X752" i="13"/>
  <c r="AC752" i="13" s="1"/>
  <c r="X756" i="13"/>
  <c r="AC756" i="13" s="1"/>
  <c r="X758" i="13"/>
  <c r="AC758" i="13" s="1"/>
  <c r="X763" i="13"/>
  <c r="AC763" i="13" s="1"/>
  <c r="X719" i="13"/>
  <c r="AC719" i="13" s="1"/>
  <c r="X721" i="13"/>
  <c r="AC721" i="13" s="1"/>
  <c r="X657" i="13"/>
  <c r="AC657" i="13" s="1"/>
  <c r="X659" i="13"/>
  <c r="AC659" i="13" s="1"/>
  <c r="X661" i="13"/>
  <c r="AC661" i="13" s="1"/>
  <c r="X663" i="13"/>
  <c r="AC663" i="13" s="1"/>
  <c r="AF664" i="13"/>
  <c r="Y664" i="13" s="1"/>
  <c r="X665" i="13"/>
  <c r="AC665" i="13" s="1"/>
  <c r="X669" i="13"/>
  <c r="AC669" i="13" s="1"/>
  <c r="X671" i="13"/>
  <c r="AC671" i="13" s="1"/>
  <c r="X673" i="13"/>
  <c r="AC673" i="13" s="1"/>
  <c r="AF673" i="13"/>
  <c r="X676" i="13"/>
  <c r="AC676" i="13" s="1"/>
  <c r="AF676" i="13"/>
  <c r="Y676" i="13" s="1"/>
  <c r="X675" i="13"/>
  <c r="AC675" i="13" s="1"/>
  <c r="X680" i="13"/>
  <c r="AC680" i="13" s="1"/>
  <c r="X682" i="13"/>
  <c r="AC682" i="13" s="1"/>
  <c r="AF684" i="13"/>
  <c r="Y684" i="13" s="1"/>
  <c r="X685" i="13"/>
  <c r="AC685" i="13" s="1"/>
  <c r="AF687" i="13"/>
  <c r="Y687" i="13" s="1"/>
  <c r="X688" i="13"/>
  <c r="AC688" i="13" s="1"/>
  <c r="AF689" i="13"/>
  <c r="Y689" i="13" s="1"/>
  <c r="X691" i="13"/>
  <c r="AC691" i="13" s="1"/>
  <c r="AF693" i="13"/>
  <c r="Y693" i="13" s="1"/>
  <c r="X695" i="13"/>
  <c r="AC695" i="13" s="1"/>
  <c r="X697" i="13"/>
  <c r="AC697" i="13" s="1"/>
  <c r="AF698" i="13"/>
  <c r="Y698" i="13" s="1"/>
  <c r="X699" i="13"/>
  <c r="AC699" i="13" s="1"/>
  <c r="AF701" i="13"/>
  <c r="Y701" i="13" s="1"/>
  <c r="X702" i="13"/>
  <c r="AC702" i="13" s="1"/>
  <c r="AF703" i="13"/>
  <c r="Y703" i="13" s="1"/>
  <c r="X704" i="13"/>
  <c r="AC704" i="13" s="1"/>
  <c r="AF705" i="13"/>
  <c r="Y705" i="13" s="1"/>
  <c r="X707" i="13"/>
  <c r="AC707" i="13" s="1"/>
  <c r="X709" i="13"/>
  <c r="AC709" i="13" s="1"/>
  <c r="X715" i="13"/>
  <c r="AC715" i="13" s="1"/>
  <c r="X717" i="13"/>
  <c r="AC717" i="13" s="1"/>
  <c r="X720" i="13"/>
  <c r="AC720" i="13" s="1"/>
  <c r="AF721" i="13"/>
  <c r="Y721" i="13" s="1"/>
  <c r="X722" i="13"/>
  <c r="AC722" i="13" s="1"/>
  <c r="X728" i="13"/>
  <c r="AC728" i="13" s="1"/>
  <c r="X730" i="13"/>
  <c r="AC730" i="13" s="1"/>
  <c r="AF733" i="13"/>
  <c r="Y733" i="13" s="1"/>
  <c r="X734" i="13"/>
  <c r="AC734" i="13" s="1"/>
  <c r="X736" i="13"/>
  <c r="AC736" i="13" s="1"/>
  <c r="AF739" i="13"/>
  <c r="Y739" i="13" s="1"/>
  <c r="X740" i="13"/>
  <c r="AC740" i="13" s="1"/>
  <c r="AF743" i="13"/>
  <c r="Y743" i="13" s="1"/>
  <c r="X745" i="13"/>
  <c r="AC745" i="13" s="1"/>
  <c r="AF746" i="13"/>
  <c r="Y746" i="13" s="1"/>
  <c r="X747" i="13"/>
  <c r="AC747" i="13" s="1"/>
  <c r="AF748" i="13"/>
  <c r="Y748" i="13" s="1"/>
  <c r="X749" i="13"/>
  <c r="AC749" i="13" s="1"/>
  <c r="AF750" i="13"/>
  <c r="Y750" i="13" s="1"/>
  <c r="X751" i="13"/>
  <c r="AC751" i="13" s="1"/>
  <c r="X753" i="13"/>
  <c r="AC753" i="13" s="1"/>
  <c r="X755" i="13"/>
  <c r="AC755" i="13" s="1"/>
  <c r="X757" i="13"/>
  <c r="AC757" i="13" s="1"/>
  <c r="AF758" i="13"/>
  <c r="Y758" i="13" s="1"/>
  <c r="X759" i="13"/>
  <c r="AC759" i="13" s="1"/>
  <c r="AF763" i="13"/>
  <c r="Y763" i="13" s="1"/>
  <c r="X764" i="13"/>
  <c r="AC764" i="13" s="1"/>
  <c r="X766" i="13"/>
  <c r="AC766" i="13" s="1"/>
  <c r="Y658" i="13"/>
  <c r="Y657" i="13"/>
  <c r="Y659" i="13"/>
  <c r="Y661" i="13"/>
  <c r="Y663" i="13"/>
  <c r="Y665" i="13"/>
  <c r="Y669" i="13"/>
  <c r="Y671" i="13"/>
  <c r="Y673" i="13"/>
  <c r="Y681" i="13"/>
  <c r="Y683" i="13"/>
  <c r="Y708" i="13"/>
  <c r="Y713" i="13"/>
  <c r="Y719" i="13"/>
  <c r="Y727" i="13"/>
  <c r="Y729" i="13"/>
  <c r="Y731" i="13"/>
  <c r="Y735" i="13"/>
  <c r="Y752" i="13"/>
  <c r="Y754" i="13"/>
  <c r="Y756" i="13"/>
  <c r="Y765" i="13"/>
  <c r="Y660" i="13"/>
  <c r="Y662" i="13"/>
  <c r="Y668" i="13"/>
  <c r="Y670" i="13"/>
  <c r="Y672" i="13"/>
  <c r="Y674" i="13"/>
  <c r="Y675" i="13"/>
  <c r="Y677" i="13"/>
  <c r="Y678" i="13"/>
  <c r="Y680" i="13"/>
  <c r="Y682" i="13"/>
  <c r="Y685" i="13"/>
  <c r="Y688" i="13"/>
  <c r="Y691" i="13"/>
  <c r="Y695" i="13"/>
  <c r="Y697" i="13"/>
  <c r="Y699" i="13"/>
  <c r="Y702" i="13"/>
  <c r="Y704" i="13"/>
  <c r="Y707" i="13"/>
  <c r="Y709" i="13"/>
  <c r="Y715" i="13"/>
  <c r="Y717" i="13"/>
  <c r="Y720" i="13"/>
  <c r="Y722" i="13"/>
  <c r="Y728" i="13"/>
  <c r="Y730" i="13"/>
  <c r="Y732" i="13"/>
  <c r="Y734" i="13"/>
  <c r="Y736" i="13"/>
  <c r="Y740" i="13"/>
  <c r="Y745" i="13"/>
  <c r="Y747" i="13"/>
  <c r="Y749" i="13"/>
  <c r="Y751" i="13"/>
  <c r="Y753" i="13"/>
  <c r="Y755" i="13"/>
  <c r="Y757" i="13"/>
  <c r="Y759" i="13"/>
  <c r="Y764" i="13"/>
  <c r="Y766" i="13"/>
  <c r="X690" i="13"/>
  <c r="AC690" i="13" s="1"/>
  <c r="Y690" i="13"/>
  <c r="X674" i="13"/>
  <c r="AC674" i="13" s="1"/>
  <c r="X667" i="13"/>
  <c r="AC667" i="13" s="1"/>
  <c r="X679" i="13"/>
  <c r="AC679" i="13" s="1"/>
  <c r="X686" i="13"/>
  <c r="AC686" i="13" s="1"/>
  <c r="X696" i="13"/>
  <c r="AC696" i="13" s="1"/>
  <c r="X716" i="13"/>
  <c r="AC716" i="13" s="1"/>
  <c r="X738" i="13"/>
  <c r="AC738" i="13" s="1"/>
  <c r="X656" i="13"/>
  <c r="AC656" i="13" s="1"/>
  <c r="X666" i="13"/>
  <c r="AC666" i="13" s="1"/>
  <c r="AF679" i="13"/>
  <c r="Y679" i="13" s="1"/>
  <c r="X692" i="13"/>
  <c r="AC692" i="13" s="1"/>
  <c r="AF696" i="13"/>
  <c r="Y696" i="13" s="1"/>
  <c r="X714" i="13"/>
  <c r="AC714" i="13" s="1"/>
  <c r="AF716" i="13"/>
  <c r="Y716" i="13" s="1"/>
  <c r="X718" i="13"/>
  <c r="AC718" i="13" s="1"/>
  <c r="X742" i="13"/>
  <c r="AC742" i="13" s="1"/>
  <c r="Y666" i="13"/>
  <c r="Y692" i="13"/>
  <c r="Y714" i="13"/>
  <c r="Y718" i="13"/>
  <c r="Y742" i="13"/>
  <c r="Y656" i="13"/>
  <c r="Y667" i="13"/>
  <c r="Y686" i="13"/>
  <c r="Y738" i="13"/>
  <c r="X683" i="13"/>
  <c r="AC683" i="13" s="1"/>
  <c r="X681" i="13"/>
  <c r="AC681" i="13" s="1"/>
  <c r="X677" i="13"/>
  <c r="AC677" i="13" s="1"/>
  <c r="X732" i="13"/>
  <c r="AC732" i="13" s="1"/>
  <c r="X678" i="13"/>
  <c r="AC678" i="13" s="1"/>
  <c r="X670" i="13"/>
  <c r="AC670" i="13" s="1"/>
  <c r="W655" i="13"/>
  <c r="AE655" i="13" s="1"/>
  <c r="Z655" i="13"/>
  <c r="AA655" i="13"/>
  <c r="AB655" i="13"/>
  <c r="AD655" i="13"/>
  <c r="AF655" i="13"/>
  <c r="AG655" i="13"/>
  <c r="AH655" i="13"/>
  <c r="W654" i="13"/>
  <c r="AE654" i="13" s="1"/>
  <c r="Z654" i="13"/>
  <c r="AA654" i="13"/>
  <c r="AB654" i="13"/>
  <c r="AD654" i="13"/>
  <c r="AG654" i="13"/>
  <c r="AH654" i="13"/>
  <c r="W653" i="13"/>
  <c r="AE653" i="13" s="1"/>
  <c r="Z653" i="13"/>
  <c r="AA653" i="13"/>
  <c r="AB653" i="13"/>
  <c r="AD653" i="13"/>
  <c r="AF653" i="13"/>
  <c r="AG653" i="13"/>
  <c r="AH653" i="13"/>
  <c r="W652" i="13"/>
  <c r="AE652" i="13" s="1"/>
  <c r="Z652" i="13"/>
  <c r="AA652" i="13"/>
  <c r="AB652" i="13"/>
  <c r="AD652" i="13"/>
  <c r="AF652" i="13"/>
  <c r="AG652" i="13"/>
  <c r="AH652" i="13"/>
  <c r="W651" i="13"/>
  <c r="AE651" i="13" s="1"/>
  <c r="Z651" i="13"/>
  <c r="AA651" i="13"/>
  <c r="AB651" i="13"/>
  <c r="AD651" i="13"/>
  <c r="AF651" i="13"/>
  <c r="AG651" i="13"/>
  <c r="AH651" i="13"/>
  <c r="W650" i="13"/>
  <c r="AE650" i="13" s="1"/>
  <c r="Z650" i="13"/>
  <c r="AA650" i="13"/>
  <c r="AB650" i="13"/>
  <c r="AD650" i="13"/>
  <c r="AF650" i="13"/>
  <c r="AG650" i="13"/>
  <c r="AH650" i="13"/>
  <c r="W649" i="13"/>
  <c r="AE649" i="13" s="1"/>
  <c r="Z649" i="13"/>
  <c r="AA649" i="13"/>
  <c r="AB649" i="13"/>
  <c r="AD649" i="13"/>
  <c r="AF649" i="13"/>
  <c r="AG649" i="13"/>
  <c r="AH649" i="13"/>
  <c r="X652" i="13" l="1"/>
  <c r="AC652" i="13" s="1"/>
  <c r="X654" i="13"/>
  <c r="AC654" i="13" s="1"/>
  <c r="X650" i="13"/>
  <c r="AC650" i="13" s="1"/>
  <c r="X649" i="13"/>
  <c r="AC649" i="13" s="1"/>
  <c r="X651" i="13"/>
  <c r="AC651" i="13" s="1"/>
  <c r="X653" i="13"/>
  <c r="AC653" i="13" s="1"/>
  <c r="AF654" i="13"/>
  <c r="Y654" i="13" s="1"/>
  <c r="X655" i="13"/>
  <c r="AC655" i="13" s="1"/>
  <c r="Y650" i="13"/>
  <c r="Y652" i="13"/>
  <c r="Y649" i="13"/>
  <c r="Y651" i="13"/>
  <c r="Y653" i="13"/>
  <c r="Y655" i="13"/>
  <c r="W648" i="13"/>
  <c r="AE648" i="13" s="1"/>
  <c r="Z648" i="13"/>
  <c r="AA648" i="13"/>
  <c r="AB648" i="13"/>
  <c r="AD648" i="13"/>
  <c r="AF648" i="13"/>
  <c r="AG648" i="13"/>
  <c r="AH648" i="13"/>
  <c r="W647" i="13"/>
  <c r="AE647" i="13" s="1"/>
  <c r="Z647" i="13"/>
  <c r="AA647" i="13"/>
  <c r="AB647" i="13"/>
  <c r="AD647" i="13"/>
  <c r="AF647" i="13"/>
  <c r="AG647" i="13"/>
  <c r="AH647" i="13"/>
  <c r="W646" i="13"/>
  <c r="AE646" i="13" s="1"/>
  <c r="Z646" i="13"/>
  <c r="AA646" i="13"/>
  <c r="AB646" i="13"/>
  <c r="AD646" i="13"/>
  <c r="AF646" i="13"/>
  <c r="AG646" i="13"/>
  <c r="AH646" i="13"/>
  <c r="W645" i="13"/>
  <c r="AE645" i="13" s="1"/>
  <c r="Z645" i="13"/>
  <c r="AA645" i="13"/>
  <c r="AB645" i="13"/>
  <c r="AD645" i="13"/>
  <c r="AG645" i="13"/>
  <c r="AH645" i="13"/>
  <c r="W644" i="13"/>
  <c r="AE644" i="13" s="1"/>
  <c r="Z644" i="13"/>
  <c r="AA644" i="13"/>
  <c r="AB644" i="13"/>
  <c r="AD644" i="13"/>
  <c r="AG644" i="13"/>
  <c r="AH644" i="13"/>
  <c r="W643" i="13"/>
  <c r="AE643" i="13" s="1"/>
  <c r="Z643" i="13"/>
  <c r="AA643" i="13"/>
  <c r="AB643" i="13"/>
  <c r="AD643" i="13"/>
  <c r="AG643" i="13"/>
  <c r="AH643" i="13"/>
  <c r="W642" i="13"/>
  <c r="AE642" i="13" s="1"/>
  <c r="Z642" i="13"/>
  <c r="AA642" i="13"/>
  <c r="AB642" i="13"/>
  <c r="AD642" i="13"/>
  <c r="AF642" i="13"/>
  <c r="AG642" i="13"/>
  <c r="AH642" i="13"/>
  <c r="AH641" i="13"/>
  <c r="AG641" i="13"/>
  <c r="AF641" i="13"/>
  <c r="AD641" i="13"/>
  <c r="AB641" i="13"/>
  <c r="AA641" i="13"/>
  <c r="Z641" i="13"/>
  <c r="W641" i="13"/>
  <c r="AH640" i="13"/>
  <c r="AG640" i="13"/>
  <c r="AF640" i="13"/>
  <c r="AD640" i="13"/>
  <c r="AB640" i="13"/>
  <c r="AA640" i="13"/>
  <c r="Z640" i="13"/>
  <c r="W640" i="13"/>
  <c r="AH639" i="13"/>
  <c r="AG639" i="13"/>
  <c r="AF639" i="13"/>
  <c r="AD639" i="13"/>
  <c r="AB639" i="13"/>
  <c r="AA639" i="13"/>
  <c r="Z639" i="13"/>
  <c r="W639" i="13"/>
  <c r="AH638" i="13"/>
  <c r="AG638" i="13"/>
  <c r="AF638" i="13"/>
  <c r="AD638" i="13"/>
  <c r="AB638" i="13"/>
  <c r="AA638" i="13"/>
  <c r="Z638" i="13"/>
  <c r="W638" i="13"/>
  <c r="X645" i="13" l="1"/>
  <c r="AC645" i="13" s="1"/>
  <c r="X647" i="13"/>
  <c r="AC647" i="13" s="1"/>
  <c r="X638" i="13"/>
  <c r="AC638" i="13" s="1"/>
  <c r="AF645" i="13"/>
  <c r="Y645" i="13" s="1"/>
  <c r="X646" i="13"/>
  <c r="AC646" i="13" s="1"/>
  <c r="Y638" i="13"/>
  <c r="Y647" i="13"/>
  <c r="Y646" i="13"/>
  <c r="X642" i="13"/>
  <c r="AC642" i="13" s="1"/>
  <c r="Y642" i="13"/>
  <c r="X643" i="13"/>
  <c r="AC643" i="13" s="1"/>
  <c r="X648" i="13"/>
  <c r="AC648" i="13" s="1"/>
  <c r="Y640" i="13"/>
  <c r="Y641" i="13"/>
  <c r="X640" i="13"/>
  <c r="AC640" i="13" s="1"/>
  <c r="X641" i="13"/>
  <c r="AC641" i="13" s="1"/>
  <c r="AF643" i="13"/>
  <c r="Y643" i="13" s="1"/>
  <c r="Y648" i="13"/>
  <c r="Y639" i="13"/>
  <c r="X644" i="13"/>
  <c r="AC644" i="13" s="1"/>
  <c r="X639" i="13"/>
  <c r="AC639" i="13" s="1"/>
  <c r="AF644" i="13"/>
  <c r="Y644" i="13" s="1"/>
  <c r="AE641" i="13"/>
  <c r="AE640" i="13"/>
  <c r="AE639" i="13"/>
  <c r="AE638" i="13"/>
  <c r="W637" i="13"/>
  <c r="AE637" i="13" s="1"/>
  <c r="Z637" i="13"/>
  <c r="AA637" i="13"/>
  <c r="AB637" i="13"/>
  <c r="AD637" i="13"/>
  <c r="AG637" i="13"/>
  <c r="AH637" i="13"/>
  <c r="W636" i="13"/>
  <c r="AE636" i="13" s="1"/>
  <c r="Z636" i="13"/>
  <c r="AA636" i="13"/>
  <c r="AB636" i="13"/>
  <c r="AD636" i="13"/>
  <c r="AF636" i="13"/>
  <c r="AG636" i="13"/>
  <c r="AH636" i="13"/>
  <c r="W635" i="13"/>
  <c r="AE635" i="13" s="1"/>
  <c r="Z635" i="13"/>
  <c r="AA635" i="13"/>
  <c r="AB635" i="13"/>
  <c r="AD635" i="13"/>
  <c r="AF635" i="13"/>
  <c r="AG635" i="13"/>
  <c r="AH635" i="13"/>
  <c r="W634" i="13"/>
  <c r="AE634" i="13" s="1"/>
  <c r="Z634" i="13"/>
  <c r="AA634" i="13"/>
  <c r="AB634" i="13"/>
  <c r="AD634" i="13"/>
  <c r="AF634" i="13"/>
  <c r="AG634" i="13"/>
  <c r="AH634" i="13"/>
  <c r="W633" i="13"/>
  <c r="AE633" i="13" s="1"/>
  <c r="Z633" i="13"/>
  <c r="AA633" i="13"/>
  <c r="AB633" i="13"/>
  <c r="AD633" i="13"/>
  <c r="AF633" i="13"/>
  <c r="AG633" i="13"/>
  <c r="AH633" i="13"/>
  <c r="W632" i="13"/>
  <c r="AE632" i="13" s="1"/>
  <c r="Z632" i="13"/>
  <c r="AF632" i="13" s="1"/>
  <c r="AA632" i="13"/>
  <c r="AB632" i="13"/>
  <c r="AD632" i="13"/>
  <c r="AG632" i="13"/>
  <c r="AH632" i="13"/>
  <c r="W631" i="13"/>
  <c r="AE631" i="13" s="1"/>
  <c r="Z631" i="13"/>
  <c r="AA631" i="13"/>
  <c r="AB631" i="13"/>
  <c r="AD631" i="13"/>
  <c r="AF631" i="13"/>
  <c r="AG631" i="13"/>
  <c r="AH631" i="13"/>
  <c r="W630" i="13"/>
  <c r="AE630" i="13" s="1"/>
  <c r="Z630" i="13"/>
  <c r="AA630" i="13"/>
  <c r="AB630" i="13"/>
  <c r="AD630" i="13"/>
  <c r="AF630" i="13"/>
  <c r="AG630" i="13"/>
  <c r="AH630" i="13"/>
  <c r="W629" i="13"/>
  <c r="AE629" i="13" s="1"/>
  <c r="Z629" i="13"/>
  <c r="AA629" i="13"/>
  <c r="AB629" i="13"/>
  <c r="AD629" i="13"/>
  <c r="AF629" i="13"/>
  <c r="AG629" i="13"/>
  <c r="AH629" i="13"/>
  <c r="W628" i="13"/>
  <c r="AE628" i="13" s="1"/>
  <c r="Z628" i="13"/>
  <c r="AA628" i="13"/>
  <c r="AB628" i="13"/>
  <c r="AD628" i="13"/>
  <c r="AF628" i="13"/>
  <c r="AG628" i="13"/>
  <c r="AH628" i="13"/>
  <c r="W627" i="13"/>
  <c r="AE627" i="13" s="1"/>
  <c r="Z627" i="13"/>
  <c r="AA627" i="13"/>
  <c r="AB627" i="13"/>
  <c r="AD627" i="13"/>
  <c r="AG627" i="13"/>
  <c r="AH627" i="13"/>
  <c r="W626" i="13"/>
  <c r="AE626" i="13" s="1"/>
  <c r="Z626" i="13"/>
  <c r="AA626" i="13"/>
  <c r="AB626" i="13"/>
  <c r="AD626" i="13"/>
  <c r="AF626" i="13"/>
  <c r="AG626" i="13"/>
  <c r="AH626" i="13"/>
  <c r="W625" i="13"/>
  <c r="AE625" i="13" s="1"/>
  <c r="Z625" i="13"/>
  <c r="AA625" i="13"/>
  <c r="AB625" i="13"/>
  <c r="AD625" i="13"/>
  <c r="AF625" i="13"/>
  <c r="AG625" i="13"/>
  <c r="AH625" i="13"/>
  <c r="W624" i="13"/>
  <c r="AE624" i="13" s="1"/>
  <c r="Z624" i="13"/>
  <c r="AA624" i="13"/>
  <c r="AB624" i="13"/>
  <c r="AD624" i="13"/>
  <c r="AG624" i="13"/>
  <c r="AH624" i="13"/>
  <c r="W623" i="13"/>
  <c r="AE623" i="13" s="1"/>
  <c r="Z623" i="13"/>
  <c r="AA623" i="13"/>
  <c r="AB623" i="13"/>
  <c r="AD623" i="13"/>
  <c r="AF623" i="13"/>
  <c r="AG623" i="13"/>
  <c r="AH623" i="13"/>
  <c r="W622" i="13"/>
  <c r="AE622" i="13" s="1"/>
  <c r="Z622" i="13"/>
  <c r="AA622" i="13"/>
  <c r="AB622" i="13"/>
  <c r="AD622" i="13"/>
  <c r="AF622" i="13"/>
  <c r="AG622" i="13"/>
  <c r="AH622" i="13"/>
  <c r="W621" i="13"/>
  <c r="AE621" i="13" s="1"/>
  <c r="Z621" i="13"/>
  <c r="AA621" i="13"/>
  <c r="AB621" i="13"/>
  <c r="AD621" i="13"/>
  <c r="AF621" i="13"/>
  <c r="AG621" i="13"/>
  <c r="AH621" i="13"/>
  <c r="W620" i="13"/>
  <c r="AE620" i="13" s="1"/>
  <c r="Z620" i="13"/>
  <c r="AA620" i="13"/>
  <c r="AB620" i="13"/>
  <c r="AD620" i="13"/>
  <c r="AF620" i="13"/>
  <c r="AG620" i="13"/>
  <c r="AH620" i="13"/>
  <c r="W619" i="13"/>
  <c r="AE619" i="13" s="1"/>
  <c r="Z619" i="13"/>
  <c r="AA619" i="13"/>
  <c r="AB619" i="13"/>
  <c r="AD619" i="13"/>
  <c r="AF619" i="13"/>
  <c r="AG619" i="13"/>
  <c r="AH619" i="13"/>
  <c r="W618" i="13"/>
  <c r="AE618" i="13" s="1"/>
  <c r="Z618" i="13"/>
  <c r="AA618" i="13"/>
  <c r="AB618" i="13"/>
  <c r="AD618" i="13"/>
  <c r="AG618" i="13"/>
  <c r="AH618" i="13"/>
  <c r="G93" i="2"/>
  <c r="X636" i="13" l="1"/>
  <c r="AC636" i="13" s="1"/>
  <c r="X627" i="13"/>
  <c r="AC627" i="13" s="1"/>
  <c r="X629" i="13"/>
  <c r="AC629" i="13" s="1"/>
  <c r="X626" i="13"/>
  <c r="AC626" i="13" s="1"/>
  <c r="AF627" i="13"/>
  <c r="Y627" i="13" s="1"/>
  <c r="X628" i="13"/>
  <c r="AC628" i="13" s="1"/>
  <c r="X632" i="13"/>
  <c r="AC632" i="13" s="1"/>
  <c r="Y626" i="13"/>
  <c r="Y628" i="13"/>
  <c r="Y632" i="13"/>
  <c r="Y629" i="13"/>
  <c r="Y636" i="13"/>
  <c r="X633" i="13"/>
  <c r="AC633" i="13" s="1"/>
  <c r="X634" i="13"/>
  <c r="AC634" i="13" s="1"/>
  <c r="Y633" i="13"/>
  <c r="Y634" i="13"/>
  <c r="X619" i="13"/>
  <c r="AC619" i="13" s="1"/>
  <c r="X635" i="13"/>
  <c r="AC635" i="13" s="1"/>
  <c r="X637" i="13"/>
  <c r="AC637" i="13" s="1"/>
  <c r="X621" i="13"/>
  <c r="AC621" i="13" s="1"/>
  <c r="X624" i="13"/>
  <c r="AC624" i="13" s="1"/>
  <c r="Y619" i="13"/>
  <c r="X620" i="13"/>
  <c r="AC620" i="13" s="1"/>
  <c r="Y621" i="13"/>
  <c r="X623" i="13"/>
  <c r="AC623" i="13" s="1"/>
  <c r="AF624" i="13"/>
  <c r="Y624" i="13" s="1"/>
  <c r="X625" i="13"/>
  <c r="AC625" i="13" s="1"/>
  <c r="Y631" i="13"/>
  <c r="Y620" i="13"/>
  <c r="Y623" i="13"/>
  <c r="Y625" i="13"/>
  <c r="X631" i="13"/>
  <c r="AC631" i="13" s="1"/>
  <c r="Y635" i="13"/>
  <c r="X618" i="13"/>
  <c r="AC618" i="13" s="1"/>
  <c r="Y622" i="13"/>
  <c r="Y630" i="13"/>
  <c r="AF618" i="13"/>
  <c r="Y618" i="13" s="1"/>
  <c r="X630" i="13"/>
  <c r="AC630" i="13" s="1"/>
  <c r="AF637" i="13"/>
  <c r="Y637" i="13" s="1"/>
  <c r="X622" i="13"/>
  <c r="AC622" i="13" s="1"/>
  <c r="W617" i="13"/>
  <c r="AE617" i="13" s="1"/>
  <c r="Z617" i="13"/>
  <c r="AA617" i="13"/>
  <c r="AB617" i="13"/>
  <c r="AD617" i="13"/>
  <c r="AF617" i="13"/>
  <c r="AG617" i="13"/>
  <c r="AH617" i="13"/>
  <c r="W616" i="13"/>
  <c r="AE616" i="13" s="1"/>
  <c r="Z616" i="13"/>
  <c r="AF616" i="13" s="1"/>
  <c r="AA616" i="13"/>
  <c r="AB616" i="13"/>
  <c r="AD616" i="13"/>
  <c r="AG616" i="13"/>
  <c r="AH616" i="13"/>
  <c r="W615" i="13"/>
  <c r="AE615" i="13" s="1"/>
  <c r="Z615" i="13"/>
  <c r="AF615" i="13" s="1"/>
  <c r="AA615" i="13"/>
  <c r="AB615" i="13"/>
  <c r="AD615" i="13"/>
  <c r="AG615" i="13"/>
  <c r="AH615" i="13"/>
  <c r="W614" i="13"/>
  <c r="AE614" i="13" s="1"/>
  <c r="Z614" i="13"/>
  <c r="AA614" i="13"/>
  <c r="AB614" i="13"/>
  <c r="AD614" i="13"/>
  <c r="AF614" i="13"/>
  <c r="AG614" i="13"/>
  <c r="AH614" i="13"/>
  <c r="W613" i="13"/>
  <c r="AE613" i="13" s="1"/>
  <c r="Z613" i="13"/>
  <c r="AF613" i="13" s="1"/>
  <c r="AA613" i="13"/>
  <c r="AB613" i="13"/>
  <c r="AD613" i="13"/>
  <c r="AG613" i="13"/>
  <c r="AH613" i="13"/>
  <c r="X615" i="13" l="1"/>
  <c r="AC615" i="13" s="1"/>
  <c r="Y613" i="13"/>
  <c r="Y616" i="13"/>
  <c r="X613" i="13"/>
  <c r="AC613" i="13" s="1"/>
  <c r="Y615" i="13"/>
  <c r="X616" i="13"/>
  <c r="AC616" i="13" s="1"/>
  <c r="X617" i="13"/>
  <c r="AC617" i="13" s="1"/>
  <c r="Y614" i="13"/>
  <c r="Y617" i="13"/>
  <c r="X614" i="13"/>
  <c r="AC614" i="13" s="1"/>
  <c r="W612" i="13"/>
  <c r="AE612" i="13" s="1"/>
  <c r="Z612" i="13"/>
  <c r="AA612" i="13"/>
  <c r="AB612" i="13"/>
  <c r="AD612" i="13"/>
  <c r="AF612" i="13"/>
  <c r="AG612" i="13"/>
  <c r="AH612" i="13"/>
  <c r="W611" i="13"/>
  <c r="AE611" i="13" s="1"/>
  <c r="Z611" i="13"/>
  <c r="AA611" i="13"/>
  <c r="AB611" i="13"/>
  <c r="AD611" i="13"/>
  <c r="AF611" i="13"/>
  <c r="AG611" i="13"/>
  <c r="AH611" i="13"/>
  <c r="W610" i="13"/>
  <c r="AE610" i="13" s="1"/>
  <c r="Z610" i="13"/>
  <c r="AA610" i="13"/>
  <c r="AB610" i="13"/>
  <c r="AD610" i="13"/>
  <c r="AF610" i="13"/>
  <c r="AG610" i="13"/>
  <c r="AH610" i="13"/>
  <c r="W609" i="13"/>
  <c r="AE609" i="13" s="1"/>
  <c r="Z609" i="13"/>
  <c r="AA609" i="13"/>
  <c r="AB609" i="13"/>
  <c r="AD609" i="13"/>
  <c r="AF609" i="13"/>
  <c r="AG609" i="13"/>
  <c r="AH609" i="13"/>
  <c r="W608" i="13"/>
  <c r="AE608" i="13" s="1"/>
  <c r="Z608" i="13"/>
  <c r="AA608" i="13"/>
  <c r="AB608" i="13"/>
  <c r="AD608" i="13"/>
  <c r="AG608" i="13"/>
  <c r="AH608" i="13"/>
  <c r="X612" i="13" l="1"/>
  <c r="AC612" i="13" s="1"/>
  <c r="X610" i="13"/>
  <c r="AC610" i="13" s="1"/>
  <c r="Y612" i="13"/>
  <c r="Y610" i="13"/>
  <c r="X608" i="13"/>
  <c r="AC608" i="13" s="1"/>
  <c r="Y609" i="13"/>
  <c r="AF608" i="13"/>
  <c r="Y608" i="13" s="1"/>
  <c r="X609" i="13"/>
  <c r="AC609" i="13" s="1"/>
  <c r="Y611" i="13"/>
  <c r="X611" i="13"/>
  <c r="AC611" i="13" s="1"/>
  <c r="W607" i="13"/>
  <c r="AE607" i="13" s="1"/>
  <c r="Z607" i="13"/>
  <c r="AA607" i="13"/>
  <c r="AB607" i="13"/>
  <c r="AD607" i="13"/>
  <c r="AF607" i="13"/>
  <c r="AG607" i="13"/>
  <c r="AH607" i="13"/>
  <c r="W606" i="13"/>
  <c r="AE606" i="13" s="1"/>
  <c r="Z606" i="13"/>
  <c r="AA606" i="13"/>
  <c r="AB606" i="13"/>
  <c r="AD606" i="13"/>
  <c r="AF606" i="13"/>
  <c r="AG606" i="13"/>
  <c r="AH606" i="13"/>
  <c r="Y606" i="13" l="1"/>
  <c r="X606" i="13"/>
  <c r="AC606" i="13" s="1"/>
  <c r="Y607" i="13"/>
  <c r="X607" i="13"/>
  <c r="AC607" i="13" s="1"/>
  <c r="W605" i="13"/>
  <c r="AE605" i="13" s="1"/>
  <c r="Z605" i="13"/>
  <c r="AA605" i="13"/>
  <c r="AB605" i="13"/>
  <c r="AD605" i="13"/>
  <c r="AF605" i="13"/>
  <c r="AG605" i="13"/>
  <c r="AH605" i="13"/>
  <c r="W604" i="13"/>
  <c r="AE604" i="13" s="1"/>
  <c r="Z604" i="13"/>
  <c r="AF604" i="13" s="1"/>
  <c r="AA604" i="13"/>
  <c r="AB604" i="13"/>
  <c r="AD604" i="13"/>
  <c r="AG604" i="13"/>
  <c r="AH604" i="13"/>
  <c r="W603" i="13"/>
  <c r="AE603" i="13" s="1"/>
  <c r="Z603" i="13"/>
  <c r="AA603" i="13"/>
  <c r="AB603" i="13"/>
  <c r="AD603" i="13"/>
  <c r="AG603" i="13"/>
  <c r="AH603" i="13"/>
  <c r="W602" i="13"/>
  <c r="AE602" i="13" s="1"/>
  <c r="Z602" i="13"/>
  <c r="AA602" i="13"/>
  <c r="AB602" i="13"/>
  <c r="AD602" i="13"/>
  <c r="AF602" i="13"/>
  <c r="AG602" i="13"/>
  <c r="AH602" i="13"/>
  <c r="W601" i="13"/>
  <c r="AE601" i="13" s="1"/>
  <c r="Z601" i="13"/>
  <c r="AA601" i="13"/>
  <c r="AB601" i="13"/>
  <c r="AD601" i="13"/>
  <c r="AG601" i="13"/>
  <c r="AH601" i="13"/>
  <c r="W600" i="13"/>
  <c r="AE600" i="13" s="1"/>
  <c r="Z600" i="13"/>
  <c r="AA600" i="13"/>
  <c r="AB600" i="13"/>
  <c r="AD600" i="13"/>
  <c r="AF600" i="13"/>
  <c r="AG600" i="13"/>
  <c r="AH600" i="13"/>
  <c r="W599" i="13"/>
  <c r="AE599" i="13" s="1"/>
  <c r="Z599" i="13"/>
  <c r="AA599" i="13"/>
  <c r="AB599" i="13"/>
  <c r="AD599" i="13"/>
  <c r="AF599" i="13"/>
  <c r="AG599" i="13"/>
  <c r="AH599" i="13"/>
  <c r="W598" i="13"/>
  <c r="AE598" i="13" s="1"/>
  <c r="Z598" i="13"/>
  <c r="AA598" i="13"/>
  <c r="AB598" i="13"/>
  <c r="AD598" i="13"/>
  <c r="AG598" i="13"/>
  <c r="AH598" i="13"/>
  <c r="W597" i="13"/>
  <c r="AE597" i="13" s="1"/>
  <c r="Z597" i="13"/>
  <c r="AF597" i="13" s="1"/>
  <c r="AA597" i="13"/>
  <c r="AB597" i="13"/>
  <c r="AD597" i="13"/>
  <c r="AG597" i="13"/>
  <c r="AH597" i="13"/>
  <c r="X605" i="13" l="1"/>
  <c r="AC605" i="13" s="1"/>
  <c r="X598" i="13"/>
  <c r="AC598" i="13" s="1"/>
  <c r="X601" i="13"/>
  <c r="AC601" i="13" s="1"/>
  <c r="X603" i="13"/>
  <c r="AC603" i="13" s="1"/>
  <c r="Y597" i="13"/>
  <c r="Y600" i="13"/>
  <c r="Y602" i="13"/>
  <c r="Y604" i="13"/>
  <c r="X597" i="13"/>
  <c r="AC597" i="13" s="1"/>
  <c r="AF598" i="13"/>
  <c r="Y598" i="13" s="1"/>
  <c r="X600" i="13"/>
  <c r="AC600" i="13" s="1"/>
  <c r="AF601" i="13"/>
  <c r="Y601" i="13" s="1"/>
  <c r="X602" i="13"/>
  <c r="AC602" i="13" s="1"/>
  <c r="AF603" i="13"/>
  <c r="Y603" i="13" s="1"/>
  <c r="X604" i="13"/>
  <c r="AC604" i="13" s="1"/>
  <c r="Y605" i="13"/>
  <c r="X599" i="13"/>
  <c r="AC599" i="13" s="1"/>
  <c r="Y599" i="13"/>
  <c r="W596" i="13"/>
  <c r="AE596" i="13" s="1"/>
  <c r="Z596" i="13"/>
  <c r="AA596" i="13"/>
  <c r="AB596" i="13"/>
  <c r="AD596" i="13"/>
  <c r="AF596" i="13"/>
  <c r="AG596" i="13"/>
  <c r="AH596" i="13"/>
  <c r="W595" i="13"/>
  <c r="AE595" i="13" s="1"/>
  <c r="Z595" i="13"/>
  <c r="AA595" i="13"/>
  <c r="AB595" i="13"/>
  <c r="AD595" i="13"/>
  <c r="AF595" i="13"/>
  <c r="AG595" i="13"/>
  <c r="AH595" i="13"/>
  <c r="W594" i="13"/>
  <c r="AE594" i="13" s="1"/>
  <c r="Z594" i="13"/>
  <c r="AA594" i="13"/>
  <c r="AB594" i="13"/>
  <c r="AD594" i="13"/>
  <c r="AF594" i="13"/>
  <c r="AG594" i="13"/>
  <c r="AH594" i="13"/>
  <c r="W593" i="13"/>
  <c r="AE593" i="13" s="1"/>
  <c r="Z593" i="13"/>
  <c r="AA593" i="13"/>
  <c r="AB593" i="13"/>
  <c r="AD593" i="13"/>
  <c r="AF593" i="13"/>
  <c r="AG593" i="13"/>
  <c r="AH593" i="13"/>
  <c r="W592" i="13"/>
  <c r="AE592" i="13" s="1"/>
  <c r="Z592" i="13"/>
  <c r="AA592" i="13"/>
  <c r="AB592" i="13"/>
  <c r="AD592" i="13"/>
  <c r="AG592" i="13"/>
  <c r="AH592" i="13"/>
  <c r="W591" i="13"/>
  <c r="AE591" i="13" s="1"/>
  <c r="Z591" i="13"/>
  <c r="AA591" i="13"/>
  <c r="AB591" i="13"/>
  <c r="AD591" i="13"/>
  <c r="AF591" i="13"/>
  <c r="AG591" i="13"/>
  <c r="AH591" i="13"/>
  <c r="W590" i="13"/>
  <c r="AE590" i="13" s="1"/>
  <c r="Z590" i="13"/>
  <c r="AA590" i="13"/>
  <c r="AB590" i="13"/>
  <c r="AD590" i="13"/>
  <c r="AF590" i="13"/>
  <c r="AG590" i="13"/>
  <c r="AH590" i="13"/>
  <c r="W589" i="13"/>
  <c r="AE589" i="13" s="1"/>
  <c r="Z589" i="13"/>
  <c r="AA589" i="13"/>
  <c r="AB589" i="13"/>
  <c r="AD589" i="13"/>
  <c r="AG589" i="13"/>
  <c r="AH589" i="13"/>
  <c r="X596" i="13" l="1"/>
  <c r="AC596" i="13" s="1"/>
  <c r="X592" i="13"/>
  <c r="AC592" i="13" s="1"/>
  <c r="X594" i="13"/>
  <c r="AC594" i="13" s="1"/>
  <c r="Y591" i="13"/>
  <c r="Y593" i="13"/>
  <c r="Y595" i="13"/>
  <c r="X591" i="13"/>
  <c r="AC591" i="13" s="1"/>
  <c r="AF592" i="13"/>
  <c r="Y592" i="13" s="1"/>
  <c r="X593" i="13"/>
  <c r="AC593" i="13" s="1"/>
  <c r="Y594" i="13"/>
  <c r="X595" i="13"/>
  <c r="AC595" i="13" s="1"/>
  <c r="Y596" i="13"/>
  <c r="X589" i="13"/>
  <c r="AC589" i="13" s="1"/>
  <c r="Y590" i="13"/>
  <c r="AF589" i="13"/>
  <c r="Y589" i="13" s="1"/>
  <c r="X590" i="13"/>
  <c r="AC590" i="13" s="1"/>
  <c r="W588" i="13"/>
  <c r="AE588" i="13" s="1"/>
  <c r="Z588" i="13"/>
  <c r="AA588" i="13"/>
  <c r="AB588" i="13"/>
  <c r="AD588" i="13"/>
  <c r="AF588" i="13"/>
  <c r="AG588" i="13"/>
  <c r="AH588" i="13"/>
  <c r="W587" i="13"/>
  <c r="AE587" i="13" s="1"/>
  <c r="Z587" i="13"/>
  <c r="AA587" i="13"/>
  <c r="AB587" i="13"/>
  <c r="AD587" i="13"/>
  <c r="AF587" i="13"/>
  <c r="AG587" i="13"/>
  <c r="AH587" i="13"/>
  <c r="W586" i="13"/>
  <c r="AE586" i="13" s="1"/>
  <c r="Z586" i="13"/>
  <c r="AF586" i="13" s="1"/>
  <c r="AA586" i="13"/>
  <c r="AB586" i="13"/>
  <c r="AD586" i="13"/>
  <c r="AG586" i="13"/>
  <c r="AH586" i="13"/>
  <c r="W585" i="13"/>
  <c r="AE585" i="13" s="1"/>
  <c r="Z585" i="13"/>
  <c r="AA585" i="13"/>
  <c r="AB585" i="13"/>
  <c r="AD585" i="13"/>
  <c r="AG585" i="13"/>
  <c r="AH585" i="13"/>
  <c r="W584" i="13"/>
  <c r="AE584" i="13" s="1"/>
  <c r="Z584" i="13"/>
  <c r="AA584" i="13"/>
  <c r="AB584" i="13"/>
  <c r="AD584" i="13"/>
  <c r="AF584" i="13"/>
  <c r="AG584" i="13"/>
  <c r="AH584" i="13"/>
  <c r="W583" i="13"/>
  <c r="AE583" i="13" s="1"/>
  <c r="Z583" i="13"/>
  <c r="AA583" i="13"/>
  <c r="AB583" i="13"/>
  <c r="AD583" i="13"/>
  <c r="AF583" i="13"/>
  <c r="AG583" i="13"/>
  <c r="AH583" i="13"/>
  <c r="W582" i="13"/>
  <c r="AE582" i="13" s="1"/>
  <c r="Z582" i="13"/>
  <c r="AA582" i="13"/>
  <c r="AB582" i="13"/>
  <c r="AD582" i="13"/>
  <c r="AF582" i="13"/>
  <c r="AG582" i="13"/>
  <c r="AH582" i="13"/>
  <c r="W581" i="13"/>
  <c r="AE581" i="13" s="1"/>
  <c r="Z581" i="13"/>
  <c r="AA581" i="13"/>
  <c r="AB581" i="13"/>
  <c r="AD581" i="13"/>
  <c r="AF581" i="13"/>
  <c r="AG581" i="13"/>
  <c r="AH581" i="13"/>
  <c r="W580" i="13"/>
  <c r="AE580" i="13" s="1"/>
  <c r="Z580" i="13"/>
  <c r="AA580" i="13"/>
  <c r="AB580" i="13"/>
  <c r="AD580" i="13"/>
  <c r="AF580" i="13"/>
  <c r="AG580" i="13"/>
  <c r="AH580" i="13"/>
  <c r="W579" i="13"/>
  <c r="AE579" i="13" s="1"/>
  <c r="Z579" i="13"/>
  <c r="AA579" i="13"/>
  <c r="AB579" i="13"/>
  <c r="AD579" i="13"/>
  <c r="AF579" i="13"/>
  <c r="AG579" i="13"/>
  <c r="AH579" i="13"/>
  <c r="W578" i="13"/>
  <c r="AE578" i="13" s="1"/>
  <c r="Z578" i="13"/>
  <c r="AA578" i="13"/>
  <c r="AB578" i="13"/>
  <c r="AD578" i="13"/>
  <c r="AF578" i="13"/>
  <c r="AG578" i="13"/>
  <c r="AH578" i="13"/>
  <c r="W577" i="13"/>
  <c r="AE577" i="13" s="1"/>
  <c r="Z577" i="13"/>
  <c r="AA577" i="13"/>
  <c r="AB577" i="13"/>
  <c r="AD577" i="13"/>
  <c r="AG577" i="13"/>
  <c r="AH577" i="13"/>
  <c r="W576" i="13"/>
  <c r="AE576" i="13" s="1"/>
  <c r="Z576" i="13"/>
  <c r="AA576" i="13"/>
  <c r="AB576" i="13"/>
  <c r="AD576" i="13"/>
  <c r="AF576" i="13"/>
  <c r="AG576" i="13"/>
  <c r="AH576" i="13"/>
  <c r="W575" i="13"/>
  <c r="AE575" i="13" s="1"/>
  <c r="Z575" i="13"/>
  <c r="AA575" i="13"/>
  <c r="AB575" i="13"/>
  <c r="AD575" i="13"/>
  <c r="AF575" i="13"/>
  <c r="AG575" i="13"/>
  <c r="AH575" i="13"/>
  <c r="W574" i="13"/>
  <c r="AE574" i="13" s="1"/>
  <c r="Z574" i="13"/>
  <c r="AA574" i="13"/>
  <c r="AB574" i="13"/>
  <c r="AD574" i="13"/>
  <c r="AF574" i="13"/>
  <c r="AG574" i="13"/>
  <c r="AH574" i="13"/>
  <c r="W573" i="13"/>
  <c r="AE573" i="13" s="1"/>
  <c r="Z573" i="13"/>
  <c r="AA573" i="13"/>
  <c r="AB573" i="13"/>
  <c r="AD573" i="13"/>
  <c r="AG573" i="13"/>
  <c r="AH573" i="13"/>
  <c r="W572" i="13"/>
  <c r="AE572" i="13" s="1"/>
  <c r="Z572" i="13"/>
  <c r="AA572" i="13"/>
  <c r="AB572" i="13"/>
  <c r="AD572" i="13"/>
  <c r="AF572" i="13"/>
  <c r="AG572" i="13"/>
  <c r="AH572" i="13"/>
  <c r="W571" i="13"/>
  <c r="AE571" i="13" s="1"/>
  <c r="Z571" i="13"/>
  <c r="AF571" i="13" s="1"/>
  <c r="AA571" i="13"/>
  <c r="AB571" i="13"/>
  <c r="AD571" i="13"/>
  <c r="AG571" i="13"/>
  <c r="AH571" i="13"/>
  <c r="W570" i="13"/>
  <c r="AE570" i="13" s="1"/>
  <c r="Z570" i="13"/>
  <c r="AA570" i="13"/>
  <c r="AB570" i="13"/>
  <c r="AD570" i="13"/>
  <c r="AG570" i="13"/>
  <c r="AH570" i="13"/>
  <c r="W569" i="13"/>
  <c r="AE569" i="13" s="1"/>
  <c r="Z569" i="13"/>
  <c r="AA569" i="13"/>
  <c r="AB569" i="13"/>
  <c r="AD569" i="13"/>
  <c r="AF569" i="13"/>
  <c r="AG569" i="13"/>
  <c r="AH569" i="13"/>
  <c r="W568" i="13"/>
  <c r="AE568" i="13" s="1"/>
  <c r="Z568" i="13"/>
  <c r="AA568" i="13"/>
  <c r="AB568" i="13"/>
  <c r="AD568" i="13"/>
  <c r="AF568" i="13"/>
  <c r="AG568" i="13"/>
  <c r="AH568" i="13"/>
  <c r="W567" i="13"/>
  <c r="AE567" i="13" s="1"/>
  <c r="Z567" i="13"/>
  <c r="AF567" i="13" s="1"/>
  <c r="AA567" i="13"/>
  <c r="AB567" i="13"/>
  <c r="AD567" i="13"/>
  <c r="AG567" i="13"/>
  <c r="AH567" i="13"/>
  <c r="W566" i="13"/>
  <c r="AE566" i="13" s="1"/>
  <c r="Z566" i="13"/>
  <c r="AA566" i="13"/>
  <c r="AB566" i="13"/>
  <c r="AD566" i="13"/>
  <c r="AF566" i="13"/>
  <c r="AG566" i="13"/>
  <c r="AH566" i="13"/>
  <c r="W565" i="13"/>
  <c r="AE565" i="13" s="1"/>
  <c r="Z565" i="13"/>
  <c r="AA565" i="13"/>
  <c r="AB565" i="13"/>
  <c r="AD565" i="13"/>
  <c r="AG565" i="13"/>
  <c r="AH565" i="13"/>
  <c r="W564" i="13"/>
  <c r="AE564" i="13" s="1"/>
  <c r="Z564" i="13"/>
  <c r="AF564" i="13" s="1"/>
  <c r="AA564" i="13"/>
  <c r="AB564" i="13"/>
  <c r="AD564" i="13"/>
  <c r="AG564" i="13"/>
  <c r="AH564" i="13"/>
  <c r="W563" i="13"/>
  <c r="AE563" i="13" s="1"/>
  <c r="Z563" i="13"/>
  <c r="AA563" i="13"/>
  <c r="AB563" i="13"/>
  <c r="AD563" i="13"/>
  <c r="AF563" i="13"/>
  <c r="AG563" i="13"/>
  <c r="AH563" i="13"/>
  <c r="W562" i="13"/>
  <c r="AE562" i="13" s="1"/>
  <c r="Z562" i="13"/>
  <c r="AA562" i="13"/>
  <c r="AB562" i="13"/>
  <c r="AD562" i="13"/>
  <c r="AF562" i="13"/>
  <c r="AG562" i="13"/>
  <c r="AH562" i="13"/>
  <c r="W561" i="13"/>
  <c r="AE561" i="13" s="1"/>
  <c r="Z561" i="13"/>
  <c r="AA561" i="13"/>
  <c r="AB561" i="13"/>
  <c r="AD561" i="13"/>
  <c r="AF561" i="13"/>
  <c r="AG561" i="13"/>
  <c r="AH561" i="13"/>
  <c r="W560" i="13"/>
  <c r="AE560" i="13" s="1"/>
  <c r="Z560" i="13"/>
  <c r="AA560" i="13"/>
  <c r="AB560" i="13"/>
  <c r="AD560" i="13"/>
  <c r="AF560" i="13"/>
  <c r="AG560" i="13"/>
  <c r="AH560" i="13"/>
  <c r="W559" i="13"/>
  <c r="AE559" i="13" s="1"/>
  <c r="Z559" i="13"/>
  <c r="AA559" i="13"/>
  <c r="AB559" i="13"/>
  <c r="AD559" i="13"/>
  <c r="AF559" i="13"/>
  <c r="AG559" i="13"/>
  <c r="AH559" i="13"/>
  <c r="W558" i="13"/>
  <c r="AE558" i="13" s="1"/>
  <c r="Z558" i="13"/>
  <c r="AA558" i="13"/>
  <c r="AB558" i="13"/>
  <c r="AD558" i="13"/>
  <c r="AG558" i="13"/>
  <c r="AH558" i="13"/>
  <c r="W557" i="13"/>
  <c r="AE557" i="13" s="1"/>
  <c r="Z557" i="13"/>
  <c r="AA557" i="13"/>
  <c r="AB557" i="13"/>
  <c r="AD557" i="13"/>
  <c r="AF557" i="13"/>
  <c r="AG557" i="13"/>
  <c r="AH557" i="13"/>
  <c r="W556" i="13"/>
  <c r="AE556" i="13" s="1"/>
  <c r="Z556" i="13"/>
  <c r="AA556" i="13"/>
  <c r="AB556" i="13"/>
  <c r="AD556" i="13"/>
  <c r="AF556" i="13"/>
  <c r="AG556" i="13"/>
  <c r="AH556" i="13"/>
  <c r="W555" i="13"/>
  <c r="AE555" i="13" s="1"/>
  <c r="Z555" i="13"/>
  <c r="AA555" i="13"/>
  <c r="AB555" i="13"/>
  <c r="AD555" i="13"/>
  <c r="AF555" i="13"/>
  <c r="AG555" i="13"/>
  <c r="AH555" i="13"/>
  <c r="W554" i="13"/>
  <c r="AE554" i="13" s="1"/>
  <c r="Z554" i="13"/>
  <c r="AA554" i="13"/>
  <c r="AB554" i="13"/>
  <c r="AD554" i="13"/>
  <c r="AG554" i="13"/>
  <c r="AH554" i="13"/>
  <c r="W553" i="13"/>
  <c r="AE553" i="13" s="1"/>
  <c r="Z553" i="13"/>
  <c r="AF553" i="13" s="1"/>
  <c r="AA553" i="13"/>
  <c r="AB553" i="13"/>
  <c r="AD553" i="13"/>
  <c r="AG553" i="13"/>
  <c r="AH553" i="13"/>
  <c r="W552" i="13"/>
  <c r="AE552" i="13" s="1"/>
  <c r="Z552" i="13"/>
  <c r="AA552" i="13"/>
  <c r="AB552" i="13"/>
  <c r="AD552" i="13"/>
  <c r="AG552" i="13"/>
  <c r="AH552" i="13"/>
  <c r="W551" i="13"/>
  <c r="AE551" i="13" s="1"/>
  <c r="Z551" i="13"/>
  <c r="AA551" i="13"/>
  <c r="AB551" i="13"/>
  <c r="AD551" i="13"/>
  <c r="AF551" i="13"/>
  <c r="AG551" i="13"/>
  <c r="AH551" i="13"/>
  <c r="W550" i="13"/>
  <c r="AE550" i="13" s="1"/>
  <c r="Z550" i="13"/>
  <c r="AA550" i="13"/>
  <c r="AB550" i="13"/>
  <c r="AD550" i="13"/>
  <c r="AG550" i="13"/>
  <c r="AH550" i="13"/>
  <c r="X555" i="13" l="1"/>
  <c r="AC555" i="13" s="1"/>
  <c r="X585" i="13"/>
  <c r="AC585" i="13" s="1"/>
  <c r="Y556" i="13"/>
  <c r="Y568" i="13"/>
  <c r="Y572" i="13"/>
  <c r="Y555" i="13"/>
  <c r="X556" i="13"/>
  <c r="AC556" i="13" s="1"/>
  <c r="X568" i="13"/>
  <c r="AC568" i="13" s="1"/>
  <c r="X572" i="13"/>
  <c r="AC572" i="13" s="1"/>
  <c r="AF585" i="13"/>
  <c r="Y585" i="13" s="1"/>
  <c r="X552" i="13"/>
  <c r="AC552" i="13" s="1"/>
  <c r="X565" i="13"/>
  <c r="AC565" i="13" s="1"/>
  <c r="X567" i="13"/>
  <c r="AC567" i="13" s="1"/>
  <c r="X561" i="13"/>
  <c r="AC561" i="13" s="1"/>
  <c r="AF565" i="13"/>
  <c r="Y565" i="13" s="1"/>
  <c r="X587" i="13"/>
  <c r="AC587" i="13" s="1"/>
  <c r="X560" i="13"/>
  <c r="AC560" i="13" s="1"/>
  <c r="X564" i="13"/>
  <c r="AC564" i="13" s="1"/>
  <c r="X566" i="13"/>
  <c r="AC566" i="13" s="1"/>
  <c r="X575" i="13"/>
  <c r="AC575" i="13" s="1"/>
  <c r="X586" i="13"/>
  <c r="AC586" i="13" s="1"/>
  <c r="X551" i="13"/>
  <c r="AC551" i="13" s="1"/>
  <c r="AF552" i="13"/>
  <c r="Y552" i="13" s="1"/>
  <c r="Y561" i="13"/>
  <c r="Y567" i="13"/>
  <c r="X577" i="13"/>
  <c r="AC577" i="13" s="1"/>
  <c r="X583" i="13"/>
  <c r="AC583" i="13" s="1"/>
  <c r="Y586" i="13"/>
  <c r="Y551" i="13"/>
  <c r="Y564" i="13"/>
  <c r="Y566" i="13"/>
  <c r="Y583" i="13"/>
  <c r="Y587" i="13"/>
  <c r="Y562" i="13"/>
  <c r="X550" i="13"/>
  <c r="AC550" i="13" s="1"/>
  <c r="X554" i="13"/>
  <c r="AC554" i="13" s="1"/>
  <c r="Y557" i="13"/>
  <c r="X558" i="13"/>
  <c r="AC558" i="13" s="1"/>
  <c r="Y559" i="13"/>
  <c r="X563" i="13"/>
  <c r="AC563" i="13" s="1"/>
  <c r="X570" i="13"/>
  <c r="AC570" i="13" s="1"/>
  <c r="X573" i="13"/>
  <c r="AC573" i="13" s="1"/>
  <c r="X579" i="13"/>
  <c r="AC579" i="13" s="1"/>
  <c r="X582" i="13"/>
  <c r="AC582" i="13" s="1"/>
  <c r="Y569" i="13"/>
  <c r="Y571" i="13"/>
  <c r="Y574" i="13"/>
  <c r="Y576" i="13"/>
  <c r="Y578" i="13"/>
  <c r="Y580" i="13"/>
  <c r="X581" i="13"/>
  <c r="AC581" i="13" s="1"/>
  <c r="Y582" i="13"/>
  <c r="X584" i="13"/>
  <c r="AC584" i="13" s="1"/>
  <c r="Y588" i="13"/>
  <c r="Y553" i="13"/>
  <c r="AF550" i="13"/>
  <c r="Y550" i="13" s="1"/>
  <c r="X553" i="13"/>
  <c r="AC553" i="13" s="1"/>
  <c r="AF554" i="13"/>
  <c r="Y554" i="13" s="1"/>
  <c r="X557" i="13"/>
  <c r="AC557" i="13" s="1"/>
  <c r="AF558" i="13"/>
  <c r="Y558" i="13" s="1"/>
  <c r="X559" i="13"/>
  <c r="AC559" i="13" s="1"/>
  <c r="Y560" i="13"/>
  <c r="X562" i="13"/>
  <c r="AC562" i="13" s="1"/>
  <c r="Y563" i="13"/>
  <c r="X569" i="13"/>
  <c r="AC569" i="13" s="1"/>
  <c r="AF570" i="13"/>
  <c r="Y570" i="13" s="1"/>
  <c r="X571" i="13"/>
  <c r="AC571" i="13" s="1"/>
  <c r="AF573" i="13"/>
  <c r="Y573" i="13" s="1"/>
  <c r="X574" i="13"/>
  <c r="AC574" i="13" s="1"/>
  <c r="Y575" i="13"/>
  <c r="X576" i="13"/>
  <c r="AC576" i="13" s="1"/>
  <c r="AF577" i="13"/>
  <c r="Y577" i="13" s="1"/>
  <c r="X578" i="13"/>
  <c r="AC578" i="13" s="1"/>
  <c r="Y579" i="13"/>
  <c r="X580" i="13"/>
  <c r="AC580" i="13" s="1"/>
  <c r="Y581" i="13"/>
  <c r="Y584" i="13"/>
  <c r="X588" i="13"/>
  <c r="AC588" i="13" s="1"/>
  <c r="W549" i="13"/>
  <c r="AE549" i="13" s="1"/>
  <c r="Z549" i="13"/>
  <c r="AA549" i="13"/>
  <c r="AB549" i="13"/>
  <c r="AD549" i="13"/>
  <c r="AF549" i="13"/>
  <c r="AG549" i="13"/>
  <c r="AH549" i="13"/>
  <c r="W548" i="13"/>
  <c r="AE548" i="13" s="1"/>
  <c r="Z548" i="13"/>
  <c r="AA548" i="13"/>
  <c r="AB548" i="13"/>
  <c r="AD548" i="13"/>
  <c r="AF548" i="13"/>
  <c r="AG548" i="13"/>
  <c r="AH548" i="13"/>
  <c r="W547" i="13"/>
  <c r="AE547" i="13" s="1"/>
  <c r="Z547" i="13"/>
  <c r="AA547" i="13"/>
  <c r="AB547" i="13"/>
  <c r="AD547" i="13"/>
  <c r="AF547" i="13"/>
  <c r="AG547" i="13"/>
  <c r="AH547" i="13"/>
  <c r="W546" i="13"/>
  <c r="AE546" i="13" s="1"/>
  <c r="Z546" i="13"/>
  <c r="AF546" i="13" s="1"/>
  <c r="AA546" i="13"/>
  <c r="AB546" i="13"/>
  <c r="AD546" i="13"/>
  <c r="AG546" i="13"/>
  <c r="AH546" i="13"/>
  <c r="X547" i="13" l="1"/>
  <c r="AC547" i="13" s="1"/>
  <c r="X546" i="13"/>
  <c r="AC546" i="13" s="1"/>
  <c r="Y547" i="13"/>
  <c r="X548" i="13"/>
  <c r="AC548" i="13" s="1"/>
  <c r="Y548" i="13"/>
  <c r="Y549" i="13"/>
  <c r="Y546" i="13"/>
  <c r="X549" i="13"/>
  <c r="AC549" i="13" s="1"/>
  <c r="W545" i="13"/>
  <c r="AE545" i="13" s="1"/>
  <c r="Z545" i="13"/>
  <c r="AA545" i="13"/>
  <c r="AB545" i="13"/>
  <c r="AD545" i="13"/>
  <c r="AF545" i="13"/>
  <c r="AG545" i="13"/>
  <c r="AH545" i="13"/>
  <c r="W544" i="13"/>
  <c r="AE544" i="13" s="1"/>
  <c r="Z544" i="13"/>
  <c r="AA544" i="13"/>
  <c r="AB544" i="13"/>
  <c r="AD544" i="13"/>
  <c r="AF544" i="13"/>
  <c r="AG544" i="13"/>
  <c r="AH544" i="13"/>
  <c r="W543" i="13"/>
  <c r="AE543" i="13" s="1"/>
  <c r="Z543" i="13"/>
  <c r="AA543" i="13"/>
  <c r="AB543" i="13"/>
  <c r="AD543" i="13"/>
  <c r="AF543" i="13"/>
  <c r="AG543" i="13"/>
  <c r="AH543" i="13"/>
  <c r="W542" i="13"/>
  <c r="AE542" i="13" s="1"/>
  <c r="Z542" i="13"/>
  <c r="AA542" i="13"/>
  <c r="AB542" i="13"/>
  <c r="AD542" i="13"/>
  <c r="AF542" i="13"/>
  <c r="AG542" i="13"/>
  <c r="AH542" i="13"/>
  <c r="W541" i="13"/>
  <c r="AE541" i="13" s="1"/>
  <c r="Z541" i="13"/>
  <c r="AA541" i="13"/>
  <c r="AB541" i="13"/>
  <c r="AD541" i="13"/>
  <c r="AF541" i="13"/>
  <c r="AG541" i="13"/>
  <c r="AH541" i="13"/>
  <c r="W540" i="13"/>
  <c r="AE540" i="13" s="1"/>
  <c r="Z540" i="13"/>
  <c r="AA540" i="13"/>
  <c r="AB540" i="13"/>
  <c r="AD540" i="13"/>
  <c r="AF540" i="13"/>
  <c r="AG540" i="13"/>
  <c r="AH540" i="13"/>
  <c r="W539" i="13"/>
  <c r="AE539" i="13" s="1"/>
  <c r="Z539" i="13"/>
  <c r="AA539" i="13"/>
  <c r="AB539" i="13"/>
  <c r="AD539" i="13"/>
  <c r="AF539" i="13"/>
  <c r="AG539" i="13"/>
  <c r="AH539" i="13"/>
  <c r="W538" i="13"/>
  <c r="AE538" i="13" s="1"/>
  <c r="Z538" i="13"/>
  <c r="AA538" i="13"/>
  <c r="AB538" i="13"/>
  <c r="AD538" i="13"/>
  <c r="AF538" i="13"/>
  <c r="AG538" i="13"/>
  <c r="AH538" i="13"/>
  <c r="W537" i="13"/>
  <c r="AE537" i="13" s="1"/>
  <c r="Z537" i="13"/>
  <c r="AA537" i="13"/>
  <c r="AB537" i="13"/>
  <c r="AD537" i="13"/>
  <c r="AF537" i="13"/>
  <c r="AG537" i="13"/>
  <c r="AH537" i="13"/>
  <c r="W536" i="13"/>
  <c r="AE536" i="13" s="1"/>
  <c r="Z536" i="13"/>
  <c r="AA536" i="13"/>
  <c r="AB536" i="13"/>
  <c r="AD536" i="13"/>
  <c r="AF536" i="13"/>
  <c r="AG536" i="13"/>
  <c r="AH536" i="13"/>
  <c r="W535" i="13"/>
  <c r="AE535" i="13" s="1"/>
  <c r="Z535" i="13"/>
  <c r="AA535" i="13"/>
  <c r="AB535" i="13"/>
  <c r="AD535" i="13"/>
  <c r="AF535" i="13"/>
  <c r="AG535" i="13"/>
  <c r="AH535" i="13"/>
  <c r="W534" i="13"/>
  <c r="AE534" i="13" s="1"/>
  <c r="Z534" i="13"/>
  <c r="AA534" i="13"/>
  <c r="AB534" i="13"/>
  <c r="AD534" i="13"/>
  <c r="AF534" i="13"/>
  <c r="AG534" i="13"/>
  <c r="AH534" i="13"/>
  <c r="W533" i="13"/>
  <c r="AE533" i="13" s="1"/>
  <c r="Z533" i="13"/>
  <c r="AA533" i="13"/>
  <c r="AB533" i="13"/>
  <c r="AD533" i="13"/>
  <c r="AG533" i="13"/>
  <c r="AH533" i="13"/>
  <c r="W532" i="13"/>
  <c r="AE532" i="13" s="1"/>
  <c r="Z532" i="13"/>
  <c r="AA532" i="13"/>
  <c r="AB532" i="13"/>
  <c r="AD532" i="13"/>
  <c r="AF532" i="13"/>
  <c r="AG532" i="13"/>
  <c r="AH532" i="13"/>
  <c r="W531" i="13"/>
  <c r="AE531" i="13" s="1"/>
  <c r="Z531" i="13"/>
  <c r="AA531" i="13"/>
  <c r="AB531" i="13"/>
  <c r="AD531" i="13"/>
  <c r="AF531" i="13"/>
  <c r="AG531" i="13"/>
  <c r="AH531" i="13"/>
  <c r="W530" i="13"/>
  <c r="AE530" i="13" s="1"/>
  <c r="Z530" i="13"/>
  <c r="AA530" i="13"/>
  <c r="AB530" i="13"/>
  <c r="AD530" i="13"/>
  <c r="AF530" i="13"/>
  <c r="AG530" i="13"/>
  <c r="AH530" i="13"/>
  <c r="W529" i="13"/>
  <c r="AE529" i="13" s="1"/>
  <c r="Z529" i="13"/>
  <c r="AA529" i="13"/>
  <c r="AB529" i="13"/>
  <c r="AD529" i="13"/>
  <c r="AF529" i="13"/>
  <c r="AG529" i="13"/>
  <c r="AH529" i="13"/>
  <c r="W528" i="13"/>
  <c r="AE528" i="13" s="1"/>
  <c r="Z528" i="13"/>
  <c r="AF528" i="13" s="1"/>
  <c r="AA528" i="13"/>
  <c r="AB528" i="13"/>
  <c r="AD528" i="13"/>
  <c r="AG528" i="13"/>
  <c r="AH528" i="13"/>
  <c r="X541" i="13" l="1"/>
  <c r="AC541" i="13" s="1"/>
  <c r="Y541" i="13"/>
  <c r="X542" i="13"/>
  <c r="AC542" i="13" s="1"/>
  <c r="X533" i="13"/>
  <c r="AC533" i="13" s="1"/>
  <c r="X543" i="13"/>
  <c r="AC543" i="13" s="1"/>
  <c r="Y528" i="13"/>
  <c r="X537" i="13"/>
  <c r="AC537" i="13" s="1"/>
  <c r="Y545" i="13"/>
  <c r="Y543" i="13"/>
  <c r="X529" i="13"/>
  <c r="AC529" i="13" s="1"/>
  <c r="Y530" i="13"/>
  <c r="X535" i="13"/>
  <c r="AC535" i="13" s="1"/>
  <c r="X539" i="13"/>
  <c r="AC539" i="13" s="1"/>
  <c r="X528" i="13"/>
  <c r="AC528" i="13" s="1"/>
  <c r="Y529" i="13"/>
  <c r="X530" i="13"/>
  <c r="AC530" i="13" s="1"/>
  <c r="Y531" i="13"/>
  <c r="X532" i="13"/>
  <c r="AC532" i="13" s="1"/>
  <c r="AF533" i="13"/>
  <c r="Y533" i="13" s="1"/>
  <c r="X534" i="13"/>
  <c r="AC534" i="13" s="1"/>
  <c r="Y535" i="13"/>
  <c r="X536" i="13"/>
  <c r="AC536" i="13" s="1"/>
  <c r="Y537" i="13"/>
  <c r="X538" i="13"/>
  <c r="AC538" i="13" s="1"/>
  <c r="Y539" i="13"/>
  <c r="X540" i="13"/>
  <c r="AC540" i="13" s="1"/>
  <c r="Y542" i="13"/>
  <c r="X544" i="13"/>
  <c r="AC544" i="13" s="1"/>
  <c r="Y532" i="13"/>
  <c r="Y534" i="13"/>
  <c r="Y536" i="13"/>
  <c r="Y538" i="13"/>
  <c r="Y540" i="13"/>
  <c r="Y544" i="13"/>
  <c r="X531" i="13"/>
  <c r="AC531" i="13" s="1"/>
  <c r="X545" i="13"/>
  <c r="AC545" i="13" s="1"/>
  <c r="W527" i="13"/>
  <c r="AE527" i="13" s="1"/>
  <c r="Z527" i="13"/>
  <c r="AA527" i="13"/>
  <c r="AB527" i="13"/>
  <c r="AD527" i="13"/>
  <c r="AG527" i="13"/>
  <c r="AH527" i="13"/>
  <c r="W526" i="13"/>
  <c r="AE526" i="13" s="1"/>
  <c r="Z526" i="13"/>
  <c r="AA526" i="13"/>
  <c r="AB526" i="13"/>
  <c r="AD526" i="13"/>
  <c r="AF526" i="13"/>
  <c r="AG526" i="13"/>
  <c r="AH526" i="13"/>
  <c r="W525" i="13"/>
  <c r="AE525" i="13" s="1"/>
  <c r="Z525" i="13"/>
  <c r="AA525" i="13"/>
  <c r="AB525" i="13"/>
  <c r="AD525" i="13"/>
  <c r="AG525" i="13"/>
  <c r="AH525" i="13"/>
  <c r="X525" i="13" l="1"/>
  <c r="AC525" i="13" s="1"/>
  <c r="X527" i="13"/>
  <c r="AC527" i="13" s="1"/>
  <c r="AF525" i="13"/>
  <c r="Y525" i="13" s="1"/>
  <c r="X526" i="13"/>
  <c r="AC526" i="13" s="1"/>
  <c r="AF527" i="13"/>
  <c r="Y527" i="13" s="1"/>
  <c r="Y526" i="13"/>
  <c r="W524" i="13"/>
  <c r="AE524" i="13" s="1"/>
  <c r="Z524" i="13"/>
  <c r="AA524" i="13"/>
  <c r="AB524" i="13"/>
  <c r="AD524" i="13"/>
  <c r="AF524" i="13"/>
  <c r="AG524" i="13"/>
  <c r="AH524" i="13"/>
  <c r="W523" i="13"/>
  <c r="AE523" i="13" s="1"/>
  <c r="Z523" i="13"/>
  <c r="AA523" i="13"/>
  <c r="AB523" i="13"/>
  <c r="AD523" i="13"/>
  <c r="AF523" i="13"/>
  <c r="AG523" i="13"/>
  <c r="AH523" i="13"/>
  <c r="W522" i="13"/>
  <c r="AE522" i="13" s="1"/>
  <c r="Z522" i="13"/>
  <c r="AA522" i="13"/>
  <c r="AB522" i="13"/>
  <c r="AD522" i="13"/>
  <c r="AG522" i="13"/>
  <c r="AH522" i="13"/>
  <c r="W521" i="13"/>
  <c r="AE521" i="13" s="1"/>
  <c r="Z521" i="13"/>
  <c r="AA521" i="13"/>
  <c r="AB521" i="13"/>
  <c r="AD521" i="13"/>
  <c r="AF521" i="13"/>
  <c r="AG521" i="13"/>
  <c r="AH521" i="13"/>
  <c r="W520" i="13"/>
  <c r="AE520" i="13" s="1"/>
  <c r="Z520" i="13"/>
  <c r="AA520" i="13"/>
  <c r="AB520" i="13"/>
  <c r="AD520" i="13"/>
  <c r="AF520" i="13"/>
  <c r="AG520" i="13"/>
  <c r="AH520" i="13"/>
  <c r="W519" i="13"/>
  <c r="AE519" i="13" s="1"/>
  <c r="Z519" i="13"/>
  <c r="AA519" i="13"/>
  <c r="AB519" i="13"/>
  <c r="AD519" i="13"/>
  <c r="AF519" i="13"/>
  <c r="AG519" i="13"/>
  <c r="AH519" i="13"/>
  <c r="W518" i="13"/>
  <c r="AE518" i="13" s="1"/>
  <c r="Z518" i="13"/>
  <c r="AF518" i="13" s="1"/>
  <c r="AA518" i="13"/>
  <c r="AB518" i="13"/>
  <c r="AD518" i="13"/>
  <c r="AG518" i="13"/>
  <c r="AH518" i="13"/>
  <c r="W517" i="13"/>
  <c r="AE517" i="13" s="1"/>
  <c r="Z517" i="13"/>
  <c r="AA517" i="13"/>
  <c r="AB517" i="13"/>
  <c r="AD517" i="13"/>
  <c r="AF517" i="13"/>
  <c r="AG517" i="13"/>
  <c r="AH517" i="13"/>
  <c r="W516" i="13"/>
  <c r="AE516" i="13" s="1"/>
  <c r="Z516" i="13"/>
  <c r="AA516" i="13"/>
  <c r="AB516" i="13"/>
  <c r="AD516" i="13"/>
  <c r="AG516" i="13"/>
  <c r="AH516" i="13"/>
  <c r="W515" i="13"/>
  <c r="AE515" i="13" s="1"/>
  <c r="Z515" i="13"/>
  <c r="AA515" i="13"/>
  <c r="AB515" i="13"/>
  <c r="AD515" i="13"/>
  <c r="AF515" i="13"/>
  <c r="AG515" i="13"/>
  <c r="AH515" i="13"/>
  <c r="W514" i="13"/>
  <c r="AE514" i="13" s="1"/>
  <c r="Z514" i="13"/>
  <c r="AA514" i="13"/>
  <c r="AB514" i="13"/>
  <c r="AD514" i="13"/>
  <c r="AG514" i="13"/>
  <c r="AH514" i="13"/>
  <c r="W513" i="13"/>
  <c r="AE513" i="13" s="1"/>
  <c r="Z513" i="13"/>
  <c r="AF513" i="13" s="1"/>
  <c r="AA513" i="13"/>
  <c r="AB513" i="13"/>
  <c r="AD513" i="13"/>
  <c r="AG513" i="13"/>
  <c r="AH513" i="13"/>
  <c r="W512" i="13"/>
  <c r="AE512" i="13" s="1"/>
  <c r="Z512" i="13"/>
  <c r="AA512" i="13"/>
  <c r="AB512" i="13"/>
  <c r="AD512" i="13"/>
  <c r="AG512" i="13"/>
  <c r="AH512" i="13"/>
  <c r="W511" i="13"/>
  <c r="AE511" i="13" s="1"/>
  <c r="Z511" i="13"/>
  <c r="AA511" i="13"/>
  <c r="AB511" i="13"/>
  <c r="AD511" i="13"/>
  <c r="AF511" i="13"/>
  <c r="AG511" i="13"/>
  <c r="AH511" i="13"/>
  <c r="W510" i="13"/>
  <c r="AE510" i="13" s="1"/>
  <c r="Z510" i="13"/>
  <c r="AA510" i="13"/>
  <c r="AB510" i="13"/>
  <c r="AD510" i="13"/>
  <c r="AF510" i="13"/>
  <c r="AG510" i="13"/>
  <c r="AH510" i="13"/>
  <c r="W509" i="13"/>
  <c r="AE509" i="13" s="1"/>
  <c r="Z509" i="13"/>
  <c r="AA509" i="13"/>
  <c r="AB509" i="13"/>
  <c r="AD509" i="13"/>
  <c r="AF509" i="13"/>
  <c r="AG509" i="13"/>
  <c r="AH509" i="13"/>
  <c r="W508" i="13"/>
  <c r="AE508" i="13" s="1"/>
  <c r="Z508" i="13"/>
  <c r="AA508" i="13"/>
  <c r="AB508" i="13"/>
  <c r="AD508" i="13"/>
  <c r="AF508" i="13"/>
  <c r="AG508" i="13"/>
  <c r="AH508" i="13"/>
  <c r="W507" i="13"/>
  <c r="AE507" i="13" s="1"/>
  <c r="Z507" i="13"/>
  <c r="AA507" i="13"/>
  <c r="AB507" i="13"/>
  <c r="AD507" i="13"/>
  <c r="AG507" i="13"/>
  <c r="AH507" i="13"/>
  <c r="W506" i="13"/>
  <c r="AE506" i="13" s="1"/>
  <c r="Z506" i="13"/>
  <c r="AA506" i="13"/>
  <c r="AB506" i="13"/>
  <c r="AD506" i="13"/>
  <c r="AF506" i="13"/>
  <c r="AG506" i="13"/>
  <c r="AH506" i="13"/>
  <c r="W505" i="13"/>
  <c r="AE505" i="13" s="1"/>
  <c r="Z505" i="13"/>
  <c r="AA505" i="13"/>
  <c r="AB505" i="13"/>
  <c r="AD505" i="13"/>
  <c r="AF505" i="13"/>
  <c r="AG505" i="13"/>
  <c r="AH505" i="13"/>
  <c r="W504" i="13"/>
  <c r="AE504" i="13" s="1"/>
  <c r="Z504" i="13"/>
  <c r="AA504" i="13"/>
  <c r="AB504" i="13"/>
  <c r="AD504" i="13"/>
  <c r="AF504" i="13"/>
  <c r="AG504" i="13"/>
  <c r="AH504" i="13"/>
  <c r="W503" i="13"/>
  <c r="AE503" i="13" s="1"/>
  <c r="Z503" i="13"/>
  <c r="AA503" i="13"/>
  <c r="AB503" i="13"/>
  <c r="AD503" i="13"/>
  <c r="AF503" i="13"/>
  <c r="AG503" i="13"/>
  <c r="AH503" i="13"/>
  <c r="W502" i="13"/>
  <c r="AE502" i="13" s="1"/>
  <c r="Z502" i="13"/>
  <c r="AF502" i="13" s="1"/>
  <c r="AA502" i="13"/>
  <c r="AB502" i="13"/>
  <c r="AD502" i="13"/>
  <c r="AG502" i="13"/>
  <c r="AH502" i="13"/>
  <c r="W501" i="13"/>
  <c r="AE501" i="13" s="1"/>
  <c r="Z501" i="13"/>
  <c r="AA501" i="13"/>
  <c r="AB501" i="13"/>
  <c r="AD501" i="13"/>
  <c r="AG501" i="13"/>
  <c r="AH501" i="13"/>
  <c r="X503" i="13" l="1"/>
  <c r="AC503" i="13" s="1"/>
  <c r="X512" i="13"/>
  <c r="AC512" i="13" s="1"/>
  <c r="X514" i="13"/>
  <c r="AC514" i="13" s="1"/>
  <c r="X516" i="13"/>
  <c r="AC516" i="13" s="1"/>
  <c r="X519" i="13"/>
  <c r="AC519" i="13" s="1"/>
  <c r="X524" i="13"/>
  <c r="AC524" i="13" s="1"/>
  <c r="Y502" i="13"/>
  <c r="Y504" i="13"/>
  <c r="Y518" i="13"/>
  <c r="X502" i="13"/>
  <c r="AC502" i="13" s="1"/>
  <c r="Y503" i="13"/>
  <c r="X504" i="13"/>
  <c r="AC504" i="13" s="1"/>
  <c r="Y506" i="13"/>
  <c r="X507" i="13"/>
  <c r="AC507" i="13" s="1"/>
  <c r="X511" i="13"/>
  <c r="AC511" i="13" s="1"/>
  <c r="AF512" i="13"/>
  <c r="Y512" i="13" s="1"/>
  <c r="X518" i="13"/>
  <c r="AC518" i="13" s="1"/>
  <c r="Y519" i="13"/>
  <c r="X501" i="13"/>
  <c r="AC501" i="13" s="1"/>
  <c r="X509" i="13"/>
  <c r="AC509" i="13" s="1"/>
  <c r="Y510" i="13"/>
  <c r="X520" i="13"/>
  <c r="AC520" i="13" s="1"/>
  <c r="X522" i="13"/>
  <c r="AC522" i="13" s="1"/>
  <c r="Y508" i="13"/>
  <c r="Y513" i="13"/>
  <c r="Y505" i="13"/>
  <c r="X506" i="13"/>
  <c r="AC506" i="13" s="1"/>
  <c r="AF501" i="13"/>
  <c r="Y501" i="13" s="1"/>
  <c r="X505" i="13"/>
  <c r="AC505" i="13" s="1"/>
  <c r="AF507" i="13"/>
  <c r="Y507" i="13" s="1"/>
  <c r="X508" i="13"/>
  <c r="AC508" i="13" s="1"/>
  <c r="Y509" i="13"/>
  <c r="X510" i="13"/>
  <c r="AC510" i="13" s="1"/>
  <c r="Y511" i="13"/>
  <c r="X513" i="13"/>
  <c r="AC513" i="13" s="1"/>
  <c r="AF514" i="13"/>
  <c r="Y514" i="13" s="1"/>
  <c r="X515" i="13"/>
  <c r="AC515" i="13" s="1"/>
  <c r="AF516" i="13"/>
  <c r="Y516" i="13" s="1"/>
  <c r="X517" i="13"/>
  <c r="AC517" i="13" s="1"/>
  <c r="Y520" i="13"/>
  <c r="X521" i="13"/>
  <c r="AC521" i="13" s="1"/>
  <c r="AF522" i="13"/>
  <c r="Y522" i="13" s="1"/>
  <c r="X523" i="13"/>
  <c r="AC523" i="13" s="1"/>
  <c r="Y524" i="13"/>
  <c r="Y515" i="13"/>
  <c r="Y517" i="13"/>
  <c r="Y521" i="13"/>
  <c r="Y523" i="13"/>
  <c r="W500" i="13"/>
  <c r="AE500" i="13" s="1"/>
  <c r="Z500" i="13"/>
  <c r="AA500" i="13"/>
  <c r="AB500" i="13"/>
  <c r="AD500" i="13"/>
  <c r="AF500" i="13"/>
  <c r="AG500" i="13"/>
  <c r="AH500" i="13"/>
  <c r="W499" i="13"/>
  <c r="AE499" i="13" s="1"/>
  <c r="Z499" i="13"/>
  <c r="AA499" i="13"/>
  <c r="AB499" i="13"/>
  <c r="AD499" i="13"/>
  <c r="AF499" i="13"/>
  <c r="AG499" i="13"/>
  <c r="AH499" i="13"/>
  <c r="W498" i="13"/>
  <c r="AE498" i="13" s="1"/>
  <c r="Z498" i="13"/>
  <c r="AA498" i="13"/>
  <c r="AB498" i="13"/>
  <c r="AD498" i="13"/>
  <c r="AF498" i="13"/>
  <c r="AG498" i="13"/>
  <c r="AH498" i="13"/>
  <c r="W497" i="13"/>
  <c r="AE497" i="13" s="1"/>
  <c r="Z497" i="13"/>
  <c r="AA497" i="13"/>
  <c r="AB497" i="13"/>
  <c r="AD497" i="13"/>
  <c r="AF497" i="13"/>
  <c r="AG497" i="13"/>
  <c r="AH497" i="13"/>
  <c r="W496" i="13"/>
  <c r="AE496" i="13" s="1"/>
  <c r="Z496" i="13"/>
  <c r="AA496" i="13"/>
  <c r="AB496" i="13"/>
  <c r="AD496" i="13"/>
  <c r="AF496" i="13"/>
  <c r="AG496" i="13"/>
  <c r="AH496" i="13"/>
  <c r="W495" i="13"/>
  <c r="AE495" i="13" s="1"/>
  <c r="Z495" i="13"/>
  <c r="AA495" i="13"/>
  <c r="AB495" i="13"/>
  <c r="AD495" i="13"/>
  <c r="AF495" i="13"/>
  <c r="AG495" i="13"/>
  <c r="AH495" i="13"/>
  <c r="W494" i="13"/>
  <c r="AE494" i="13" s="1"/>
  <c r="Z494" i="13"/>
  <c r="AA494" i="13"/>
  <c r="AB494" i="13"/>
  <c r="AD494" i="13"/>
  <c r="AF494" i="13"/>
  <c r="AG494" i="13"/>
  <c r="AH494" i="13"/>
  <c r="W493" i="13"/>
  <c r="AE493" i="13" s="1"/>
  <c r="Z493" i="13"/>
  <c r="AA493" i="13"/>
  <c r="AB493" i="13"/>
  <c r="AD493" i="13"/>
  <c r="AF493" i="13"/>
  <c r="AG493" i="13"/>
  <c r="AH493" i="13"/>
  <c r="W492" i="13"/>
  <c r="AE492" i="13" s="1"/>
  <c r="Z492" i="13"/>
  <c r="AA492" i="13"/>
  <c r="AB492" i="13"/>
  <c r="AD492" i="13"/>
  <c r="AG492" i="13"/>
  <c r="AH492" i="13"/>
  <c r="W491" i="13"/>
  <c r="AE491" i="13" s="1"/>
  <c r="Z491" i="13"/>
  <c r="AA491" i="13"/>
  <c r="AB491" i="13"/>
  <c r="AD491" i="13"/>
  <c r="AF491" i="13"/>
  <c r="AG491" i="13"/>
  <c r="AH491" i="13"/>
  <c r="W490" i="13"/>
  <c r="AE490" i="13" s="1"/>
  <c r="Z490" i="13"/>
  <c r="AA490" i="13"/>
  <c r="AB490" i="13"/>
  <c r="AD490" i="13"/>
  <c r="AF490" i="13"/>
  <c r="AG490" i="13"/>
  <c r="AH490" i="13"/>
  <c r="W489" i="13"/>
  <c r="AE489" i="13" s="1"/>
  <c r="Z489" i="13"/>
  <c r="AA489" i="13"/>
  <c r="AB489" i="13"/>
  <c r="AD489" i="13"/>
  <c r="AF489" i="13"/>
  <c r="AG489" i="13"/>
  <c r="AH489" i="13"/>
  <c r="W488" i="13"/>
  <c r="AE488" i="13" s="1"/>
  <c r="Z488" i="13"/>
  <c r="AA488" i="13"/>
  <c r="AB488" i="13"/>
  <c r="AD488" i="13"/>
  <c r="AG488" i="13"/>
  <c r="AH488" i="13"/>
  <c r="W487" i="13"/>
  <c r="AE487" i="13" s="1"/>
  <c r="Z487" i="13"/>
  <c r="AF487" i="13" s="1"/>
  <c r="AA487" i="13"/>
  <c r="AB487" i="13"/>
  <c r="AD487" i="13"/>
  <c r="AG487" i="13"/>
  <c r="AH487" i="13"/>
  <c r="W486" i="13"/>
  <c r="AE486" i="13" s="1"/>
  <c r="Z486" i="13"/>
  <c r="AA486" i="13"/>
  <c r="AB486" i="13"/>
  <c r="AD486" i="13"/>
  <c r="AF486" i="13"/>
  <c r="AG486" i="13"/>
  <c r="AH486" i="13"/>
  <c r="W485" i="13"/>
  <c r="AE485" i="13" s="1"/>
  <c r="Z485" i="13"/>
  <c r="AA485" i="13"/>
  <c r="AB485" i="13"/>
  <c r="AD485" i="13"/>
  <c r="AF485" i="13"/>
  <c r="AG485" i="13"/>
  <c r="AH485" i="13"/>
  <c r="X490" i="13" l="1"/>
  <c r="AC490" i="13" s="1"/>
  <c r="X500" i="13"/>
  <c r="AC500" i="13" s="1"/>
  <c r="X496" i="13"/>
  <c r="AC496" i="13" s="1"/>
  <c r="X485" i="13"/>
  <c r="AC485" i="13" s="1"/>
  <c r="Y487" i="13"/>
  <c r="X488" i="13"/>
  <c r="AC488" i="13" s="1"/>
  <c r="X498" i="13"/>
  <c r="AC498" i="13" s="1"/>
  <c r="Y485" i="13"/>
  <c r="X487" i="13"/>
  <c r="AC487" i="13" s="1"/>
  <c r="AF488" i="13"/>
  <c r="Y488" i="13" s="1"/>
  <c r="X489" i="13"/>
  <c r="AC489" i="13" s="1"/>
  <c r="Y490" i="13"/>
  <c r="X491" i="13"/>
  <c r="AC491" i="13" s="1"/>
  <c r="X495" i="13"/>
  <c r="AC495" i="13" s="1"/>
  <c r="Y496" i="13"/>
  <c r="X497" i="13"/>
  <c r="AC497" i="13" s="1"/>
  <c r="Y498" i="13"/>
  <c r="X499" i="13"/>
  <c r="AC499" i="13" s="1"/>
  <c r="Y500" i="13"/>
  <c r="Y489" i="13"/>
  <c r="Y491" i="13"/>
  <c r="Y495" i="13"/>
  <c r="Y497" i="13"/>
  <c r="Y499" i="13"/>
  <c r="X486" i="13"/>
  <c r="AC486" i="13" s="1"/>
  <c r="X492" i="13"/>
  <c r="AC492" i="13" s="1"/>
  <c r="X494" i="13"/>
  <c r="AC494" i="13" s="1"/>
  <c r="X493" i="13"/>
  <c r="AC493" i="13" s="1"/>
  <c r="Y493" i="13"/>
  <c r="Y486" i="13"/>
  <c r="Y494" i="13"/>
  <c r="AF492" i="13"/>
  <c r="Y492" i="13" s="1"/>
  <c r="W484" i="13"/>
  <c r="AE484" i="13" s="1"/>
  <c r="Z484" i="13"/>
  <c r="AA484" i="13"/>
  <c r="AB484" i="13"/>
  <c r="AD484" i="13"/>
  <c r="AF484" i="13"/>
  <c r="AG484" i="13"/>
  <c r="AH484" i="13"/>
  <c r="W483" i="13"/>
  <c r="AE483" i="13" s="1"/>
  <c r="Z483" i="13"/>
  <c r="AA483" i="13"/>
  <c r="AB483" i="13"/>
  <c r="AD483" i="13"/>
  <c r="AF483" i="13"/>
  <c r="AG483" i="13"/>
  <c r="AH483" i="13"/>
  <c r="W482" i="13"/>
  <c r="AE482" i="13" s="1"/>
  <c r="Z482" i="13"/>
  <c r="AA482" i="13"/>
  <c r="AB482" i="13"/>
  <c r="AD482" i="13"/>
  <c r="AG482" i="13"/>
  <c r="AH482" i="13"/>
  <c r="W481" i="13"/>
  <c r="AE481" i="13" s="1"/>
  <c r="Z481" i="13"/>
  <c r="AA481" i="13"/>
  <c r="AB481" i="13"/>
  <c r="AD481" i="13"/>
  <c r="AF481" i="13"/>
  <c r="AG481" i="13"/>
  <c r="AH481" i="13"/>
  <c r="W480" i="13"/>
  <c r="AE480" i="13" s="1"/>
  <c r="Z480" i="13"/>
  <c r="AA480" i="13"/>
  <c r="AB480" i="13"/>
  <c r="AD480" i="13"/>
  <c r="AG480" i="13"/>
  <c r="AH480" i="13"/>
  <c r="W479" i="13"/>
  <c r="AE479" i="13" s="1"/>
  <c r="Z479" i="13"/>
  <c r="AA479" i="13"/>
  <c r="AB479" i="13"/>
  <c r="AD479" i="13"/>
  <c r="AF479" i="13"/>
  <c r="AG479" i="13"/>
  <c r="AH479" i="13"/>
  <c r="W478" i="13"/>
  <c r="AE478" i="13" s="1"/>
  <c r="Z478" i="13"/>
  <c r="AA478" i="13"/>
  <c r="AB478" i="13"/>
  <c r="AD478" i="13"/>
  <c r="AF478" i="13"/>
  <c r="AG478" i="13"/>
  <c r="AH478" i="13"/>
  <c r="W477" i="13"/>
  <c r="AE477" i="13" s="1"/>
  <c r="Z477" i="13"/>
  <c r="AA477" i="13"/>
  <c r="AB477" i="13"/>
  <c r="AD477" i="13"/>
  <c r="AF477" i="13"/>
  <c r="AG477" i="13"/>
  <c r="AH477" i="13"/>
  <c r="W476" i="13"/>
  <c r="AE476" i="13" s="1"/>
  <c r="Z476" i="13"/>
  <c r="AA476" i="13"/>
  <c r="AB476" i="13"/>
  <c r="AD476" i="13"/>
  <c r="AF476" i="13"/>
  <c r="AG476" i="13"/>
  <c r="AH476" i="13"/>
  <c r="W475" i="13"/>
  <c r="AE475" i="13" s="1"/>
  <c r="Z475" i="13"/>
  <c r="AA475" i="13"/>
  <c r="AB475" i="13"/>
  <c r="AD475" i="13"/>
  <c r="AF475" i="13"/>
  <c r="AG475" i="13"/>
  <c r="AH475" i="13"/>
  <c r="W474" i="13"/>
  <c r="AE474" i="13" s="1"/>
  <c r="Z474" i="13"/>
  <c r="AA474" i="13"/>
  <c r="AB474" i="13"/>
  <c r="AD474" i="13"/>
  <c r="AF474" i="13"/>
  <c r="AG474" i="13"/>
  <c r="AH474" i="13"/>
  <c r="W473" i="13"/>
  <c r="AE473" i="13" s="1"/>
  <c r="Z473" i="13"/>
  <c r="AA473" i="13"/>
  <c r="AB473" i="13"/>
  <c r="AD473" i="13"/>
  <c r="AF473" i="13"/>
  <c r="AG473" i="13"/>
  <c r="AH473" i="13"/>
  <c r="W472" i="13"/>
  <c r="AE472" i="13" s="1"/>
  <c r="Z472" i="13"/>
  <c r="AA472" i="13"/>
  <c r="AB472" i="13"/>
  <c r="AD472" i="13"/>
  <c r="AF472" i="13"/>
  <c r="AG472" i="13"/>
  <c r="AH472" i="13"/>
  <c r="W471" i="13"/>
  <c r="AE471" i="13" s="1"/>
  <c r="Z471" i="13"/>
  <c r="AA471" i="13"/>
  <c r="AB471" i="13"/>
  <c r="AD471" i="13"/>
  <c r="AG471" i="13"/>
  <c r="AH471" i="13"/>
  <c r="W470" i="13"/>
  <c r="AE470" i="13" s="1"/>
  <c r="Z470" i="13"/>
  <c r="AA470" i="13"/>
  <c r="AB470" i="13"/>
  <c r="AD470" i="13"/>
  <c r="AF470" i="13"/>
  <c r="AG470" i="13"/>
  <c r="AH470" i="13"/>
  <c r="W469" i="13"/>
  <c r="AE469" i="13" s="1"/>
  <c r="Z469" i="13"/>
  <c r="AA469" i="13"/>
  <c r="AB469" i="13"/>
  <c r="AD469" i="13"/>
  <c r="AF469" i="13"/>
  <c r="AG469" i="13"/>
  <c r="AH469" i="13"/>
  <c r="W468" i="13"/>
  <c r="AE468" i="13" s="1"/>
  <c r="Z468" i="13"/>
  <c r="AA468" i="13"/>
  <c r="AB468" i="13"/>
  <c r="AD468" i="13"/>
  <c r="AF468" i="13"/>
  <c r="AG468" i="13"/>
  <c r="AH468" i="13"/>
  <c r="W467" i="13"/>
  <c r="AE467" i="13" s="1"/>
  <c r="Z467" i="13"/>
  <c r="AA467" i="13"/>
  <c r="AB467" i="13"/>
  <c r="AD467" i="13"/>
  <c r="AG467" i="13"/>
  <c r="AH467" i="13"/>
  <c r="W466" i="13"/>
  <c r="AE466" i="13" s="1"/>
  <c r="Z466" i="13"/>
  <c r="AA466" i="13"/>
  <c r="AB466" i="13"/>
  <c r="AD466" i="13"/>
  <c r="AF466" i="13"/>
  <c r="AG466" i="13"/>
  <c r="AH466" i="13"/>
  <c r="W465" i="13"/>
  <c r="AE465" i="13" s="1"/>
  <c r="Z465" i="13"/>
  <c r="AF465" i="13" s="1"/>
  <c r="AA465" i="13"/>
  <c r="AB465" i="13"/>
  <c r="AD465" i="13"/>
  <c r="AG465" i="13"/>
  <c r="AH465" i="13"/>
  <c r="W464" i="13"/>
  <c r="AE464" i="13" s="1"/>
  <c r="Z464" i="13"/>
  <c r="AA464" i="13"/>
  <c r="AB464" i="13"/>
  <c r="AD464" i="13"/>
  <c r="AF464" i="13"/>
  <c r="AG464" i="13"/>
  <c r="AH464" i="13"/>
  <c r="W463" i="13"/>
  <c r="AE463" i="13" s="1"/>
  <c r="Z463" i="13"/>
  <c r="AA463" i="13"/>
  <c r="AB463" i="13"/>
  <c r="AD463" i="13"/>
  <c r="AF463" i="13"/>
  <c r="AG463" i="13"/>
  <c r="AH463" i="13"/>
  <c r="W462" i="13"/>
  <c r="AE462" i="13" s="1"/>
  <c r="Z462" i="13"/>
  <c r="AA462" i="13"/>
  <c r="AB462" i="13"/>
  <c r="AD462" i="13"/>
  <c r="AF462" i="13"/>
  <c r="AG462" i="13"/>
  <c r="AH462" i="13"/>
  <c r="W461" i="13"/>
  <c r="AE461" i="13" s="1"/>
  <c r="Z461" i="13"/>
  <c r="AA461" i="13"/>
  <c r="AB461" i="13"/>
  <c r="AD461" i="13"/>
  <c r="AF461" i="13"/>
  <c r="AG461" i="13"/>
  <c r="AH461" i="13"/>
  <c r="W460" i="13"/>
  <c r="AE460" i="13" s="1"/>
  <c r="Z460" i="13"/>
  <c r="AA460" i="13"/>
  <c r="AB460" i="13"/>
  <c r="AD460" i="13"/>
  <c r="AF460" i="13"/>
  <c r="AG460" i="13"/>
  <c r="AH460" i="13"/>
  <c r="W459" i="13"/>
  <c r="AE459" i="13" s="1"/>
  <c r="Z459" i="13"/>
  <c r="AA459" i="13"/>
  <c r="AB459" i="13"/>
  <c r="AD459" i="13"/>
  <c r="AF459" i="13"/>
  <c r="AG459" i="13"/>
  <c r="AH459" i="13"/>
  <c r="W458" i="13"/>
  <c r="AE458" i="13" s="1"/>
  <c r="Z458" i="13"/>
  <c r="AA458" i="13"/>
  <c r="AB458" i="13"/>
  <c r="AD458" i="13"/>
  <c r="AG458" i="13"/>
  <c r="AH458" i="13"/>
  <c r="W457" i="13"/>
  <c r="AE457" i="13" s="1"/>
  <c r="Z457" i="13"/>
  <c r="AF457" i="13" s="1"/>
  <c r="AA457" i="13"/>
  <c r="AB457" i="13"/>
  <c r="AD457" i="13"/>
  <c r="AG457" i="13"/>
  <c r="AH457" i="13"/>
  <c r="W456" i="13"/>
  <c r="AE456" i="13" s="1"/>
  <c r="Z456" i="13"/>
  <c r="AA456" i="13"/>
  <c r="AB456" i="13"/>
  <c r="AD456" i="13"/>
  <c r="AF456" i="13"/>
  <c r="AG456" i="13"/>
  <c r="AH456" i="13"/>
  <c r="W455" i="13"/>
  <c r="AE455" i="13" s="1"/>
  <c r="Z455" i="13"/>
  <c r="AA455" i="13"/>
  <c r="AB455" i="13"/>
  <c r="AD455" i="13"/>
  <c r="AF455" i="13"/>
  <c r="AG455" i="13"/>
  <c r="AH455" i="13"/>
  <c r="W454" i="13"/>
  <c r="AE454" i="13" s="1"/>
  <c r="Z454" i="13"/>
  <c r="AA454" i="13"/>
  <c r="AB454" i="13"/>
  <c r="AD454" i="13"/>
  <c r="AG454" i="13"/>
  <c r="AH454" i="13"/>
  <c r="W453" i="13"/>
  <c r="AE453" i="13" s="1"/>
  <c r="Z453" i="13"/>
  <c r="AA453" i="13"/>
  <c r="AB453" i="13"/>
  <c r="AD453" i="13"/>
  <c r="AF453" i="13"/>
  <c r="AG453" i="13"/>
  <c r="AH453" i="13"/>
  <c r="X484" i="13" l="1"/>
  <c r="AC484" i="13" s="1"/>
  <c r="X463" i="13"/>
  <c r="AC463" i="13" s="1"/>
  <c r="X460" i="13"/>
  <c r="AC460" i="13" s="1"/>
  <c r="Y463" i="13"/>
  <c r="X476" i="13"/>
  <c r="AC476" i="13" s="1"/>
  <c r="Y460" i="13"/>
  <c r="X455" i="13"/>
  <c r="AC455" i="13" s="1"/>
  <c r="Y456" i="13"/>
  <c r="X473" i="13"/>
  <c r="AC473" i="13" s="1"/>
  <c r="X478" i="13"/>
  <c r="AC478" i="13" s="1"/>
  <c r="X480" i="13"/>
  <c r="AC480" i="13" s="1"/>
  <c r="X482" i="13"/>
  <c r="AC482" i="13" s="1"/>
  <c r="Y455" i="13"/>
  <c r="X456" i="13"/>
  <c r="AC456" i="13" s="1"/>
  <c r="X472" i="13"/>
  <c r="AC472" i="13" s="1"/>
  <c r="Y473" i="13"/>
  <c r="X474" i="13"/>
  <c r="AC474" i="13" s="1"/>
  <c r="Y476" i="13"/>
  <c r="X477" i="13"/>
  <c r="AC477" i="13" s="1"/>
  <c r="Y478" i="13"/>
  <c r="X479" i="13"/>
  <c r="AC479" i="13" s="1"/>
  <c r="AF480" i="13"/>
  <c r="Y480" i="13" s="1"/>
  <c r="X481" i="13"/>
  <c r="AC481" i="13" s="1"/>
  <c r="AF482" i="13"/>
  <c r="Y482" i="13" s="1"/>
  <c r="X483" i="13"/>
  <c r="AC483" i="13" s="1"/>
  <c r="Y484" i="13"/>
  <c r="Y472" i="13"/>
  <c r="Y474" i="13"/>
  <c r="Y477" i="13"/>
  <c r="Y479" i="13"/>
  <c r="Y481" i="13"/>
  <c r="Y483" i="13"/>
  <c r="X464" i="13"/>
  <c r="AC464" i="13" s="1"/>
  <c r="X467" i="13"/>
  <c r="AC467" i="13" s="1"/>
  <c r="X458" i="13"/>
  <c r="AC458" i="13" s="1"/>
  <c r="Y453" i="13"/>
  <c r="X454" i="13"/>
  <c r="AC454" i="13" s="1"/>
  <c r="X461" i="13"/>
  <c r="AC461" i="13" s="1"/>
  <c r="X469" i="13"/>
  <c r="AC469" i="13" s="1"/>
  <c r="X471" i="13"/>
  <c r="AC471" i="13" s="1"/>
  <c r="X453" i="13"/>
  <c r="AC453" i="13" s="1"/>
  <c r="AF454" i="13"/>
  <c r="X457" i="13"/>
  <c r="AC457" i="13" s="1"/>
  <c r="AF458" i="13"/>
  <c r="Y458" i="13" s="1"/>
  <c r="X459" i="13"/>
  <c r="AC459" i="13" s="1"/>
  <c r="X462" i="13"/>
  <c r="AC462" i="13" s="1"/>
  <c r="X465" i="13"/>
  <c r="AC465" i="13" s="1"/>
  <c r="AF467" i="13"/>
  <c r="Y467" i="13" s="1"/>
  <c r="X468" i="13"/>
  <c r="AC468" i="13" s="1"/>
  <c r="X470" i="13"/>
  <c r="AC470" i="13" s="1"/>
  <c r="AF471" i="13"/>
  <c r="X475" i="13"/>
  <c r="AC475" i="13" s="1"/>
  <c r="Y457" i="13"/>
  <c r="Y459" i="13"/>
  <c r="Y462" i="13"/>
  <c r="Y465" i="13"/>
  <c r="Y468" i="13"/>
  <c r="Y470" i="13"/>
  <c r="Y475" i="13"/>
  <c r="Y454" i="13"/>
  <c r="Y461" i="13"/>
  <c r="Y464" i="13"/>
  <c r="Y466" i="13"/>
  <c r="Y469" i="13"/>
  <c r="Y471" i="13"/>
  <c r="X466" i="13"/>
  <c r="AC466" i="13" s="1"/>
  <c r="W452" i="13"/>
  <c r="AE452" i="13" s="1"/>
  <c r="Z452" i="13"/>
  <c r="AA452" i="13"/>
  <c r="AB452" i="13"/>
  <c r="AD452" i="13"/>
  <c r="AF452" i="13"/>
  <c r="AG452" i="13"/>
  <c r="AH452" i="13"/>
  <c r="W451" i="13"/>
  <c r="AE451" i="13" s="1"/>
  <c r="Z451" i="13"/>
  <c r="AA451" i="13"/>
  <c r="AB451" i="13"/>
  <c r="AD451" i="13"/>
  <c r="AF451" i="13"/>
  <c r="AG451" i="13"/>
  <c r="AH451" i="13"/>
  <c r="W450" i="13"/>
  <c r="AE450" i="13" s="1"/>
  <c r="Z450" i="13"/>
  <c r="AA450" i="13"/>
  <c r="AB450" i="13"/>
  <c r="AD450" i="13"/>
  <c r="AF450" i="13"/>
  <c r="AG450" i="13"/>
  <c r="AH450" i="13"/>
  <c r="W449" i="13"/>
  <c r="AE449" i="13" s="1"/>
  <c r="Z449" i="13"/>
  <c r="AA449" i="13"/>
  <c r="AB449" i="13"/>
  <c r="AD449" i="13"/>
  <c r="AF449" i="13"/>
  <c r="AG449" i="13"/>
  <c r="AH449" i="13"/>
  <c r="W448" i="13"/>
  <c r="AE448" i="13" s="1"/>
  <c r="Z448" i="13"/>
  <c r="AA448" i="13"/>
  <c r="AB448" i="13"/>
  <c r="AD448" i="13"/>
  <c r="AF448" i="13"/>
  <c r="AG448" i="13"/>
  <c r="AH448" i="13"/>
  <c r="W447" i="13"/>
  <c r="AE447" i="13" s="1"/>
  <c r="Z447" i="13"/>
  <c r="AA447" i="13"/>
  <c r="AB447" i="13"/>
  <c r="AD447" i="13"/>
  <c r="AF447" i="13"/>
  <c r="AG447" i="13"/>
  <c r="AH447" i="13"/>
  <c r="W446" i="13"/>
  <c r="AE446" i="13" s="1"/>
  <c r="Z446" i="13"/>
  <c r="AA446" i="13"/>
  <c r="AB446" i="13"/>
  <c r="AD446" i="13"/>
  <c r="AF446" i="13"/>
  <c r="AG446" i="13"/>
  <c r="AH446" i="13"/>
  <c r="W445" i="13"/>
  <c r="AE445" i="13" s="1"/>
  <c r="Z445" i="13"/>
  <c r="AA445" i="13"/>
  <c r="AB445" i="13"/>
  <c r="AD445" i="13"/>
  <c r="AF445" i="13"/>
  <c r="AG445" i="13"/>
  <c r="AH445" i="13"/>
  <c r="W444" i="13"/>
  <c r="AE444" i="13" s="1"/>
  <c r="Z444" i="13"/>
  <c r="AA444" i="13"/>
  <c r="AB444" i="13"/>
  <c r="AD444" i="13"/>
  <c r="AG444" i="13"/>
  <c r="AH444" i="13"/>
  <c r="X449" i="13" l="1"/>
  <c r="AC449" i="13" s="1"/>
  <c r="Y450" i="13"/>
  <c r="Y449" i="13"/>
  <c r="X444" i="13"/>
  <c r="AC444" i="13" s="1"/>
  <c r="X446" i="13"/>
  <c r="AC446" i="13" s="1"/>
  <c r="AF444" i="13"/>
  <c r="X445" i="13"/>
  <c r="AC445" i="13" s="1"/>
  <c r="X447" i="13"/>
  <c r="AC447" i="13" s="1"/>
  <c r="X452" i="13"/>
  <c r="AC452" i="13" s="1"/>
  <c r="Y444" i="13"/>
  <c r="Y446" i="13"/>
  <c r="Y448" i="13"/>
  <c r="Y445" i="13"/>
  <c r="Y447" i="13"/>
  <c r="Y451" i="13"/>
  <c r="Y452" i="13"/>
  <c r="X450" i="13"/>
  <c r="AC450" i="13" s="1"/>
  <c r="X451" i="13"/>
  <c r="AC451" i="13" s="1"/>
  <c r="X448" i="13"/>
  <c r="AC448" i="13" s="1"/>
  <c r="W443" i="13"/>
  <c r="AE443" i="13" s="1"/>
  <c r="Z443" i="13"/>
  <c r="AA443" i="13"/>
  <c r="AB443" i="13"/>
  <c r="AD443" i="13"/>
  <c r="AF443" i="13"/>
  <c r="AG443" i="13"/>
  <c r="AH443" i="13"/>
  <c r="W442" i="13"/>
  <c r="AE442" i="13" s="1"/>
  <c r="Z442" i="13"/>
  <c r="AA442" i="13"/>
  <c r="AB442" i="13"/>
  <c r="AD442" i="13"/>
  <c r="AF442" i="13"/>
  <c r="AG442" i="13"/>
  <c r="AH442" i="13"/>
  <c r="W441" i="13"/>
  <c r="AE441" i="13" s="1"/>
  <c r="Z441" i="13"/>
  <c r="AA441" i="13"/>
  <c r="AB441" i="13"/>
  <c r="AD441" i="13"/>
  <c r="AF441" i="13"/>
  <c r="AG441" i="13"/>
  <c r="AH441" i="13"/>
  <c r="W440" i="13"/>
  <c r="AE440" i="13" s="1"/>
  <c r="Z440" i="13"/>
  <c r="AA440" i="13"/>
  <c r="AB440" i="13"/>
  <c r="AD440" i="13"/>
  <c r="AF440" i="13"/>
  <c r="AG440" i="13"/>
  <c r="AH440" i="13"/>
  <c r="W439" i="13"/>
  <c r="AE439" i="13" s="1"/>
  <c r="Z439" i="13"/>
  <c r="AA439" i="13"/>
  <c r="AB439" i="13"/>
  <c r="AD439" i="13"/>
  <c r="AF439" i="13"/>
  <c r="AG439" i="13"/>
  <c r="AH439" i="13"/>
  <c r="W438" i="13"/>
  <c r="AE438" i="13" s="1"/>
  <c r="Z438" i="13"/>
  <c r="AA438" i="13"/>
  <c r="AB438" i="13"/>
  <c r="AD438" i="13"/>
  <c r="AF438" i="13"/>
  <c r="AG438" i="13"/>
  <c r="AH438" i="13"/>
  <c r="W437" i="13"/>
  <c r="AE437" i="13" s="1"/>
  <c r="Z437" i="13"/>
  <c r="AA437" i="13"/>
  <c r="AB437" i="13"/>
  <c r="AD437" i="13"/>
  <c r="AF437" i="13"/>
  <c r="AG437" i="13"/>
  <c r="AH437" i="13"/>
  <c r="W436" i="13"/>
  <c r="AE436" i="13" s="1"/>
  <c r="Z436" i="13"/>
  <c r="AA436" i="13"/>
  <c r="AB436" i="13"/>
  <c r="AD436" i="13"/>
  <c r="AF436" i="13"/>
  <c r="AG436" i="13"/>
  <c r="AH436" i="13"/>
  <c r="W435" i="13"/>
  <c r="AE435" i="13" s="1"/>
  <c r="Z435" i="13"/>
  <c r="AA435" i="13"/>
  <c r="AB435" i="13"/>
  <c r="AD435" i="13"/>
  <c r="AF435" i="13"/>
  <c r="AG435" i="13"/>
  <c r="AH435" i="13"/>
  <c r="W434" i="13"/>
  <c r="AE434" i="13" s="1"/>
  <c r="Z434" i="13"/>
  <c r="AA434" i="13"/>
  <c r="AB434" i="13"/>
  <c r="AD434" i="13"/>
  <c r="AG434" i="13"/>
  <c r="AH434" i="13"/>
  <c r="W433" i="13"/>
  <c r="AE433" i="13" s="1"/>
  <c r="Z433" i="13"/>
  <c r="AA433" i="13"/>
  <c r="AB433" i="13"/>
  <c r="AD433" i="13"/>
  <c r="AF433" i="13"/>
  <c r="AG433" i="13"/>
  <c r="AH433" i="13"/>
  <c r="W432" i="13"/>
  <c r="AE432" i="13" s="1"/>
  <c r="Z432" i="13"/>
  <c r="AA432" i="13"/>
  <c r="AB432" i="13"/>
  <c r="AD432" i="13"/>
  <c r="AG432" i="13"/>
  <c r="AH432" i="13"/>
  <c r="W431" i="13"/>
  <c r="AE431" i="13" s="1"/>
  <c r="Z431" i="13"/>
  <c r="AA431" i="13"/>
  <c r="AB431" i="13"/>
  <c r="AD431" i="13"/>
  <c r="AF431" i="13"/>
  <c r="AG431" i="13"/>
  <c r="AH431" i="13"/>
  <c r="W430" i="13"/>
  <c r="AE430" i="13" s="1"/>
  <c r="Z430" i="13"/>
  <c r="AA430" i="13"/>
  <c r="AB430" i="13"/>
  <c r="AD430" i="13"/>
  <c r="AF430" i="13"/>
  <c r="AG430" i="13"/>
  <c r="AH430" i="13"/>
  <c r="W429" i="13"/>
  <c r="AE429" i="13" s="1"/>
  <c r="Z429" i="13"/>
  <c r="AA429" i="13"/>
  <c r="AB429" i="13"/>
  <c r="AD429" i="13"/>
  <c r="AF429" i="13"/>
  <c r="AG429" i="13"/>
  <c r="AH429" i="13"/>
  <c r="W428" i="13"/>
  <c r="AE428" i="13" s="1"/>
  <c r="Z428" i="13"/>
  <c r="AA428" i="13"/>
  <c r="AB428" i="13"/>
  <c r="AD428" i="13"/>
  <c r="AG428" i="13"/>
  <c r="AH428" i="13"/>
  <c r="W427" i="13"/>
  <c r="AE427" i="13" s="1"/>
  <c r="Z427" i="13"/>
  <c r="AA427" i="13"/>
  <c r="AB427" i="13"/>
  <c r="AD427" i="13"/>
  <c r="AF427" i="13"/>
  <c r="AG427" i="13"/>
  <c r="AH427" i="13"/>
  <c r="W426" i="13"/>
  <c r="AE426" i="13" s="1"/>
  <c r="Z426" i="13"/>
  <c r="AA426" i="13"/>
  <c r="AB426" i="13"/>
  <c r="AD426" i="13"/>
  <c r="AG426" i="13"/>
  <c r="AH426" i="13"/>
  <c r="W425" i="13"/>
  <c r="AE425" i="13" s="1"/>
  <c r="Z425" i="13"/>
  <c r="AA425" i="13"/>
  <c r="AB425" i="13"/>
  <c r="AD425" i="13"/>
  <c r="AF425" i="13"/>
  <c r="AG425" i="13"/>
  <c r="AH425" i="13"/>
  <c r="W424" i="13"/>
  <c r="AE424" i="13" s="1"/>
  <c r="Z424" i="13"/>
  <c r="AA424" i="13"/>
  <c r="AB424" i="13"/>
  <c r="AD424" i="13"/>
  <c r="AF424" i="13"/>
  <c r="AG424" i="13"/>
  <c r="AH424" i="13"/>
  <c r="X424" i="13" l="1"/>
  <c r="AC424" i="13" s="1"/>
  <c r="X426" i="13"/>
  <c r="AC426" i="13" s="1"/>
  <c r="X436" i="13"/>
  <c r="AC436" i="13" s="1"/>
  <c r="X440" i="13"/>
  <c r="AC440" i="13" s="1"/>
  <c r="X442" i="13"/>
  <c r="AC442" i="13" s="1"/>
  <c r="X430" i="13"/>
  <c r="AC430" i="13" s="1"/>
  <c r="X432" i="13"/>
  <c r="AC432" i="13" s="1"/>
  <c r="Y425" i="13"/>
  <c r="X428" i="13"/>
  <c r="AC428" i="13" s="1"/>
  <c r="X434" i="13"/>
  <c r="AC434" i="13" s="1"/>
  <c r="X438" i="13"/>
  <c r="AC438" i="13" s="1"/>
  <c r="X425" i="13"/>
  <c r="AC425" i="13" s="1"/>
  <c r="AF426" i="13"/>
  <c r="Y426" i="13" s="1"/>
  <c r="X427" i="13"/>
  <c r="AC427" i="13" s="1"/>
  <c r="AF428" i="13"/>
  <c r="Y428" i="13" s="1"/>
  <c r="X429" i="13"/>
  <c r="AC429" i="13" s="1"/>
  <c r="X431" i="13"/>
  <c r="AC431" i="13" s="1"/>
  <c r="AF432" i="13"/>
  <c r="X433" i="13"/>
  <c r="AC433" i="13" s="1"/>
  <c r="AF434" i="13"/>
  <c r="X435" i="13"/>
  <c r="AC435" i="13" s="1"/>
  <c r="X437" i="13"/>
  <c r="AC437" i="13" s="1"/>
  <c r="X439" i="13"/>
  <c r="AC439" i="13" s="1"/>
  <c r="X441" i="13"/>
  <c r="AC441" i="13" s="1"/>
  <c r="X443" i="13"/>
  <c r="AC443" i="13" s="1"/>
  <c r="Y427" i="13"/>
  <c r="Y429" i="13"/>
  <c r="Y433" i="13"/>
  <c r="Y437" i="13"/>
  <c r="Y424" i="13"/>
  <c r="Y430" i="13"/>
  <c r="Y436" i="13"/>
  <c r="Y438" i="13"/>
  <c r="Y440" i="13"/>
  <c r="Y442" i="13"/>
  <c r="Y431" i="13"/>
  <c r="Y439" i="13"/>
  <c r="Y441" i="13"/>
  <c r="Y443" i="13"/>
  <c r="Y432" i="13"/>
  <c r="Y435" i="13"/>
  <c r="Y434" i="13"/>
  <c r="W423" i="13"/>
  <c r="AE423" i="13" s="1"/>
  <c r="Z423" i="13"/>
  <c r="AA423" i="13"/>
  <c r="AB423" i="13"/>
  <c r="AD423" i="13"/>
  <c r="AG423" i="13"/>
  <c r="AH423" i="13"/>
  <c r="W422" i="13"/>
  <c r="AE422" i="13" s="1"/>
  <c r="Z422" i="13"/>
  <c r="AA422" i="13"/>
  <c r="AB422" i="13"/>
  <c r="AD422" i="13"/>
  <c r="AF422" i="13"/>
  <c r="AG422" i="13"/>
  <c r="AH422" i="13"/>
  <c r="W421" i="13"/>
  <c r="AE421" i="13" s="1"/>
  <c r="Z421" i="13"/>
  <c r="AA421" i="13"/>
  <c r="AB421" i="13"/>
  <c r="AD421" i="13"/>
  <c r="AF421" i="13"/>
  <c r="AG421" i="13"/>
  <c r="AH421" i="13"/>
  <c r="W420" i="13"/>
  <c r="AE420" i="13" s="1"/>
  <c r="Z420" i="13"/>
  <c r="AA420" i="13"/>
  <c r="AB420" i="13"/>
  <c r="AD420" i="13"/>
  <c r="AF420" i="13"/>
  <c r="AG420" i="13"/>
  <c r="AH420" i="13"/>
  <c r="W419" i="13"/>
  <c r="AE419" i="13" s="1"/>
  <c r="Z419" i="13"/>
  <c r="AA419" i="13"/>
  <c r="AB419" i="13"/>
  <c r="AD419" i="13"/>
  <c r="AF419" i="13"/>
  <c r="AG419" i="13"/>
  <c r="AH419" i="13"/>
  <c r="W418" i="13"/>
  <c r="AE418" i="13" s="1"/>
  <c r="Z418" i="13"/>
  <c r="AA418" i="13"/>
  <c r="AB418" i="13"/>
  <c r="AD418" i="13"/>
  <c r="AF418" i="13"/>
  <c r="AG418" i="13"/>
  <c r="AH418" i="13"/>
  <c r="W417" i="13"/>
  <c r="AE417" i="13" s="1"/>
  <c r="Z417" i="13"/>
  <c r="AA417" i="13"/>
  <c r="AB417" i="13"/>
  <c r="AD417" i="13"/>
  <c r="AF417" i="13"/>
  <c r="AG417" i="13"/>
  <c r="AH417" i="13"/>
  <c r="W416" i="13"/>
  <c r="AE416" i="13" s="1"/>
  <c r="Z416" i="13"/>
  <c r="AA416" i="13"/>
  <c r="AB416" i="13"/>
  <c r="AD416" i="13"/>
  <c r="AF416" i="13"/>
  <c r="AG416" i="13"/>
  <c r="AH416" i="13"/>
  <c r="W415" i="13"/>
  <c r="AE415" i="13" s="1"/>
  <c r="Z415" i="13"/>
  <c r="AA415" i="13"/>
  <c r="AB415" i="13"/>
  <c r="AD415" i="13"/>
  <c r="AF415" i="13"/>
  <c r="AG415" i="13"/>
  <c r="AH415" i="13"/>
  <c r="W414" i="13"/>
  <c r="AE414" i="13" s="1"/>
  <c r="Z414" i="13"/>
  <c r="AA414" i="13"/>
  <c r="AB414" i="13"/>
  <c r="AD414" i="13"/>
  <c r="AF414" i="13"/>
  <c r="AG414" i="13"/>
  <c r="AH414" i="13"/>
  <c r="W413" i="13"/>
  <c r="AE413" i="13" s="1"/>
  <c r="Z413" i="13"/>
  <c r="AA413" i="13"/>
  <c r="AB413" i="13"/>
  <c r="AD413" i="13"/>
  <c r="AG413" i="13"/>
  <c r="AH413" i="13"/>
  <c r="W412" i="13"/>
  <c r="AE412" i="13" s="1"/>
  <c r="Z412" i="13"/>
  <c r="AA412" i="13"/>
  <c r="AB412" i="13"/>
  <c r="AD412" i="13"/>
  <c r="AF412" i="13"/>
  <c r="AG412" i="13"/>
  <c r="AH412" i="13"/>
  <c r="W411" i="13"/>
  <c r="AE411" i="13" s="1"/>
  <c r="Z411" i="13"/>
  <c r="AA411" i="13"/>
  <c r="AB411" i="13"/>
  <c r="AD411" i="13"/>
  <c r="AG411" i="13"/>
  <c r="AH411" i="13"/>
  <c r="W410" i="13"/>
  <c r="AE410" i="13" s="1"/>
  <c r="Z410" i="13"/>
  <c r="AA410" i="13"/>
  <c r="AB410" i="13"/>
  <c r="AD410" i="13"/>
  <c r="AF410" i="13"/>
  <c r="AG410" i="13"/>
  <c r="AH410" i="13"/>
  <c r="W409" i="13"/>
  <c r="AE409" i="13" s="1"/>
  <c r="Z409" i="13"/>
  <c r="AA409" i="13"/>
  <c r="AB409" i="13"/>
  <c r="AD409" i="13"/>
  <c r="AG409" i="13"/>
  <c r="AH409" i="13"/>
  <c r="W408" i="13"/>
  <c r="AE408" i="13" s="1"/>
  <c r="Z408" i="13"/>
  <c r="AA408" i="13"/>
  <c r="AB408" i="13"/>
  <c r="AD408" i="13"/>
  <c r="AF408" i="13"/>
  <c r="AG408" i="13"/>
  <c r="AH408" i="13"/>
  <c r="W407" i="13"/>
  <c r="AE407" i="13" s="1"/>
  <c r="Z407" i="13"/>
  <c r="AA407" i="13"/>
  <c r="AB407" i="13"/>
  <c r="AD407" i="13"/>
  <c r="AF407" i="13"/>
  <c r="AG407" i="13"/>
  <c r="AH407" i="13"/>
  <c r="W406" i="13"/>
  <c r="AE406" i="13" s="1"/>
  <c r="Z406" i="13"/>
  <c r="AA406" i="13"/>
  <c r="AB406" i="13"/>
  <c r="AD406" i="13"/>
  <c r="AF406" i="13"/>
  <c r="AG406" i="13"/>
  <c r="AH406" i="13"/>
  <c r="W405" i="13"/>
  <c r="AE405" i="13" s="1"/>
  <c r="Z405" i="13"/>
  <c r="AA405" i="13"/>
  <c r="AB405" i="13"/>
  <c r="AD405" i="13"/>
  <c r="AG405" i="13"/>
  <c r="AH405" i="13"/>
  <c r="W404" i="13"/>
  <c r="AE404" i="13" s="1"/>
  <c r="Z404" i="13"/>
  <c r="AA404" i="13"/>
  <c r="AB404" i="13"/>
  <c r="AD404" i="13"/>
  <c r="AF404" i="13"/>
  <c r="AG404" i="13"/>
  <c r="AH404" i="13"/>
  <c r="W403" i="13"/>
  <c r="AE403" i="13" s="1"/>
  <c r="Z403" i="13"/>
  <c r="AA403" i="13"/>
  <c r="AB403" i="13"/>
  <c r="AD403" i="13"/>
  <c r="AF403" i="13"/>
  <c r="AG403" i="13"/>
  <c r="AH403" i="13"/>
  <c r="W402" i="13"/>
  <c r="AE402" i="13" s="1"/>
  <c r="Z402" i="13"/>
  <c r="AA402" i="13"/>
  <c r="AB402" i="13"/>
  <c r="AD402" i="13"/>
  <c r="AF402" i="13"/>
  <c r="AG402" i="13"/>
  <c r="AH402" i="13"/>
  <c r="W401" i="13"/>
  <c r="AE401" i="13" s="1"/>
  <c r="Z401" i="13"/>
  <c r="AA401" i="13"/>
  <c r="AB401" i="13"/>
  <c r="AD401" i="13"/>
  <c r="AG401" i="13"/>
  <c r="AH401" i="13"/>
  <c r="W400" i="13"/>
  <c r="AE400" i="13" s="1"/>
  <c r="Z400" i="13"/>
  <c r="AA400" i="13"/>
  <c r="AB400" i="13"/>
  <c r="AD400" i="13"/>
  <c r="AF400" i="13"/>
  <c r="AG400" i="13"/>
  <c r="AH400" i="13"/>
  <c r="W399" i="13"/>
  <c r="AE399" i="13" s="1"/>
  <c r="Z399" i="13"/>
  <c r="AA399" i="13"/>
  <c r="AB399" i="13"/>
  <c r="AD399" i="13"/>
  <c r="AG399" i="13"/>
  <c r="AH399" i="13"/>
  <c r="W398" i="13"/>
  <c r="AE398" i="13" s="1"/>
  <c r="Z398" i="13"/>
  <c r="AA398" i="13"/>
  <c r="AB398" i="13"/>
  <c r="AD398" i="13"/>
  <c r="AF398" i="13"/>
  <c r="AG398" i="13"/>
  <c r="AH398" i="13"/>
  <c r="W397" i="13"/>
  <c r="AE397" i="13" s="1"/>
  <c r="Z397" i="13"/>
  <c r="AA397" i="13"/>
  <c r="AB397" i="13"/>
  <c r="AD397" i="13"/>
  <c r="AF397" i="13"/>
  <c r="AG397" i="13"/>
  <c r="AH397" i="13"/>
  <c r="W396" i="13"/>
  <c r="AE396" i="13" s="1"/>
  <c r="Z396" i="13"/>
  <c r="AA396" i="13"/>
  <c r="AB396" i="13"/>
  <c r="AD396" i="13"/>
  <c r="AF396" i="13"/>
  <c r="AG396" i="13"/>
  <c r="AH396" i="13"/>
  <c r="W395" i="13"/>
  <c r="AE395" i="13" s="1"/>
  <c r="Z395" i="13"/>
  <c r="AA395" i="13"/>
  <c r="AB395" i="13"/>
  <c r="AD395" i="13"/>
  <c r="AF395" i="13"/>
  <c r="AG395" i="13"/>
  <c r="AH395" i="13"/>
  <c r="W394" i="13"/>
  <c r="AE394" i="13" s="1"/>
  <c r="Z394" i="13"/>
  <c r="AA394" i="13"/>
  <c r="AB394" i="13"/>
  <c r="AD394" i="13"/>
  <c r="AF394" i="13"/>
  <c r="AG394" i="13"/>
  <c r="AH394" i="13"/>
  <c r="X417" i="13" l="1"/>
  <c r="AC417" i="13" s="1"/>
  <c r="X397" i="13"/>
  <c r="AC397" i="13" s="1"/>
  <c r="X399" i="13"/>
  <c r="AC399" i="13" s="1"/>
  <c r="X401" i="13"/>
  <c r="AC401" i="13" s="1"/>
  <c r="X407" i="13"/>
  <c r="AC407" i="13" s="1"/>
  <c r="X409" i="13"/>
  <c r="AC409" i="13" s="1"/>
  <c r="X411" i="13"/>
  <c r="AC411" i="13" s="1"/>
  <c r="X413" i="13"/>
  <c r="AC413" i="13" s="1"/>
  <c r="X421" i="13"/>
  <c r="AC421" i="13" s="1"/>
  <c r="X423" i="13"/>
  <c r="AC423" i="13" s="1"/>
  <c r="X395" i="13"/>
  <c r="AC395" i="13" s="1"/>
  <c r="Y396" i="13"/>
  <c r="X403" i="13"/>
  <c r="AC403" i="13" s="1"/>
  <c r="X405" i="13"/>
  <c r="AC405" i="13" s="1"/>
  <c r="X415" i="13"/>
  <c r="AC415" i="13" s="1"/>
  <c r="X419" i="13"/>
  <c r="AC419" i="13" s="1"/>
  <c r="X396" i="13"/>
  <c r="AC396" i="13" s="1"/>
  <c r="AF399" i="13"/>
  <c r="X400" i="13"/>
  <c r="AC400" i="13" s="1"/>
  <c r="AF401" i="13"/>
  <c r="Y401" i="13" s="1"/>
  <c r="X402" i="13"/>
  <c r="AC402" i="13" s="1"/>
  <c r="X404" i="13"/>
  <c r="AC404" i="13" s="1"/>
  <c r="AF405" i="13"/>
  <c r="Y405" i="13" s="1"/>
  <c r="X406" i="13"/>
  <c r="AC406" i="13" s="1"/>
  <c r="X408" i="13"/>
  <c r="AC408" i="13" s="1"/>
  <c r="AF409" i="13"/>
  <c r="Y409" i="13" s="1"/>
  <c r="X410" i="13"/>
  <c r="AC410" i="13" s="1"/>
  <c r="AF411" i="13"/>
  <c r="Y411" i="13" s="1"/>
  <c r="X412" i="13"/>
  <c r="AC412" i="13" s="1"/>
  <c r="AF413" i="13"/>
  <c r="Y413" i="13" s="1"/>
  <c r="X414" i="13"/>
  <c r="AC414" i="13" s="1"/>
  <c r="X416" i="13"/>
  <c r="AC416" i="13" s="1"/>
  <c r="X418" i="13"/>
  <c r="AC418" i="13" s="1"/>
  <c r="X420" i="13"/>
  <c r="AC420" i="13" s="1"/>
  <c r="X422" i="13"/>
  <c r="AC422" i="13" s="1"/>
  <c r="AF423" i="13"/>
  <c r="Y423" i="13" s="1"/>
  <c r="Y397" i="13"/>
  <c r="Y399" i="13"/>
  <c r="Y415" i="13"/>
  <c r="Y419" i="13"/>
  <c r="Y416" i="13"/>
  <c r="Y422" i="13"/>
  <c r="Y394" i="13"/>
  <c r="Y407" i="13"/>
  <c r="Y417" i="13"/>
  <c r="Y420" i="13"/>
  <c r="Y400" i="13"/>
  <c r="Y406" i="13"/>
  <c r="Y408" i="13"/>
  <c r="Y410" i="13"/>
  <c r="Y412" i="13"/>
  <c r="Y414" i="13"/>
  <c r="Y418" i="13"/>
  <c r="Y421" i="13"/>
  <c r="Y402" i="13"/>
  <c r="Y404" i="13"/>
  <c r="Y395" i="13"/>
  <c r="Y398" i="13"/>
  <c r="Y403" i="13"/>
  <c r="X398" i="13"/>
  <c r="AC398" i="13" s="1"/>
  <c r="X394" i="13"/>
  <c r="AC394" i="13" s="1"/>
  <c r="W393" i="13"/>
  <c r="AE393" i="13" s="1"/>
  <c r="Z393" i="13"/>
  <c r="AA393" i="13"/>
  <c r="AB393" i="13"/>
  <c r="AD393" i="13"/>
  <c r="AF393" i="13"/>
  <c r="AG393" i="13"/>
  <c r="AH393" i="13"/>
  <c r="W392" i="13"/>
  <c r="AE392" i="13" s="1"/>
  <c r="Z392" i="13"/>
  <c r="AA392" i="13"/>
  <c r="AB392" i="13"/>
  <c r="AD392" i="13"/>
  <c r="AF392" i="13"/>
  <c r="AG392" i="13"/>
  <c r="AH392" i="13"/>
  <c r="W391" i="13"/>
  <c r="AE391" i="13" s="1"/>
  <c r="Z391" i="13"/>
  <c r="AA391" i="13"/>
  <c r="AB391" i="13"/>
  <c r="AD391" i="13"/>
  <c r="AF391" i="13"/>
  <c r="AG391" i="13"/>
  <c r="AH391" i="13"/>
  <c r="W390" i="13"/>
  <c r="AE390" i="13" s="1"/>
  <c r="Z390" i="13"/>
  <c r="AA390" i="13"/>
  <c r="AB390" i="13"/>
  <c r="AD390" i="13"/>
  <c r="AF390" i="13"/>
  <c r="AG390" i="13"/>
  <c r="AH390" i="13"/>
  <c r="W389" i="13"/>
  <c r="AE389" i="13" s="1"/>
  <c r="Z389" i="13"/>
  <c r="AA389" i="13"/>
  <c r="AB389" i="13"/>
  <c r="AD389" i="13"/>
  <c r="AG389" i="13"/>
  <c r="AH389" i="13"/>
  <c r="W388" i="13"/>
  <c r="AE388" i="13" s="1"/>
  <c r="Z388" i="13"/>
  <c r="AA388" i="13"/>
  <c r="AB388" i="13"/>
  <c r="AD388" i="13"/>
  <c r="AF388" i="13"/>
  <c r="AG388" i="13"/>
  <c r="AH388" i="13"/>
  <c r="W387" i="13"/>
  <c r="AE387" i="13" s="1"/>
  <c r="Z387" i="13"/>
  <c r="AA387" i="13"/>
  <c r="AB387" i="13"/>
  <c r="AD387" i="13"/>
  <c r="AG387" i="13"/>
  <c r="AH387" i="13"/>
  <c r="W386" i="13"/>
  <c r="AE386" i="13" s="1"/>
  <c r="Z386" i="13"/>
  <c r="AA386" i="13"/>
  <c r="AB386" i="13"/>
  <c r="AD386" i="13"/>
  <c r="AF386" i="13"/>
  <c r="AG386" i="13"/>
  <c r="AH386" i="13"/>
  <c r="W385" i="13"/>
  <c r="AE385" i="13" s="1"/>
  <c r="Z385" i="13"/>
  <c r="AA385" i="13"/>
  <c r="AB385" i="13"/>
  <c r="AD385" i="13"/>
  <c r="AF385" i="13"/>
  <c r="AG385" i="13"/>
  <c r="AH385" i="13"/>
  <c r="W384" i="13"/>
  <c r="AE384" i="13" s="1"/>
  <c r="Z384" i="13"/>
  <c r="AA384" i="13"/>
  <c r="AB384" i="13"/>
  <c r="AD384" i="13"/>
  <c r="AG384" i="13"/>
  <c r="AH384" i="13"/>
  <c r="W383" i="13"/>
  <c r="AE383" i="13" s="1"/>
  <c r="Z383" i="13"/>
  <c r="AA383" i="13"/>
  <c r="AB383" i="13"/>
  <c r="AD383" i="13"/>
  <c r="AF383" i="13"/>
  <c r="AG383" i="13"/>
  <c r="AH383" i="13"/>
  <c r="W382" i="13"/>
  <c r="AE382" i="13" s="1"/>
  <c r="Z382" i="13"/>
  <c r="AA382" i="13"/>
  <c r="AB382" i="13"/>
  <c r="AD382" i="13"/>
  <c r="AF382" i="13"/>
  <c r="AG382" i="13"/>
  <c r="AH382" i="13"/>
  <c r="W381" i="13"/>
  <c r="AE381" i="13" s="1"/>
  <c r="Z381" i="13"/>
  <c r="AA381" i="13"/>
  <c r="AB381" i="13"/>
  <c r="AD381" i="13"/>
  <c r="AF381" i="13"/>
  <c r="AG381" i="13"/>
  <c r="AH381" i="13"/>
  <c r="W380" i="13"/>
  <c r="AE380" i="13" s="1"/>
  <c r="Z380" i="13"/>
  <c r="AA380" i="13"/>
  <c r="AB380" i="13"/>
  <c r="AD380" i="13"/>
  <c r="AG380" i="13"/>
  <c r="AH380" i="13"/>
  <c r="W379" i="13"/>
  <c r="AE379" i="13" s="1"/>
  <c r="Z379" i="13"/>
  <c r="AA379" i="13"/>
  <c r="AB379" i="13"/>
  <c r="AD379" i="13"/>
  <c r="AF379" i="13"/>
  <c r="AG379" i="13"/>
  <c r="AH379" i="13"/>
  <c r="W378" i="13"/>
  <c r="AE378" i="13" s="1"/>
  <c r="Z378" i="13"/>
  <c r="AA378" i="13"/>
  <c r="AB378" i="13"/>
  <c r="AD378" i="13"/>
  <c r="AF378" i="13"/>
  <c r="AG378" i="13"/>
  <c r="AH378" i="13"/>
  <c r="W377" i="13"/>
  <c r="AE377" i="13" s="1"/>
  <c r="Z377" i="13"/>
  <c r="AA377" i="13"/>
  <c r="AB377" i="13"/>
  <c r="AD377" i="13"/>
  <c r="AF377" i="13"/>
  <c r="AG377" i="13"/>
  <c r="AH377" i="13"/>
  <c r="W376" i="13"/>
  <c r="AE376" i="13" s="1"/>
  <c r="Z376" i="13"/>
  <c r="AA376" i="13"/>
  <c r="AB376" i="13"/>
  <c r="AD376" i="13"/>
  <c r="AF376" i="13"/>
  <c r="AG376" i="13"/>
  <c r="AH376" i="13"/>
  <c r="W375" i="13"/>
  <c r="AE375" i="13" s="1"/>
  <c r="Z375" i="13"/>
  <c r="AA375" i="13"/>
  <c r="AB375" i="13"/>
  <c r="AD375" i="13"/>
  <c r="AF375" i="13"/>
  <c r="AG375" i="13"/>
  <c r="AH375" i="13"/>
  <c r="W374" i="13"/>
  <c r="AE374" i="13" s="1"/>
  <c r="Z374" i="13"/>
  <c r="AA374" i="13"/>
  <c r="AB374" i="13"/>
  <c r="AD374" i="13"/>
  <c r="AG374" i="13"/>
  <c r="AH374" i="13"/>
  <c r="W373" i="13"/>
  <c r="AE373" i="13" s="1"/>
  <c r="Z373" i="13"/>
  <c r="AA373" i="13"/>
  <c r="AB373" i="13"/>
  <c r="AD373" i="13"/>
  <c r="AF373" i="13"/>
  <c r="AG373" i="13"/>
  <c r="AH373" i="13"/>
  <c r="W372" i="13"/>
  <c r="AE372" i="13" s="1"/>
  <c r="Z372" i="13"/>
  <c r="AA372" i="13"/>
  <c r="AB372" i="13"/>
  <c r="AD372" i="13"/>
  <c r="AF372" i="13"/>
  <c r="AG372" i="13"/>
  <c r="AH372" i="13"/>
  <c r="W371" i="13"/>
  <c r="AE371" i="13" s="1"/>
  <c r="Z371" i="13"/>
  <c r="AA371" i="13"/>
  <c r="AB371" i="13"/>
  <c r="AD371" i="13"/>
  <c r="AG371" i="13"/>
  <c r="AH371" i="13"/>
  <c r="W370" i="13"/>
  <c r="AE370" i="13" s="1"/>
  <c r="Z370" i="13"/>
  <c r="AF370" i="13" s="1"/>
  <c r="AA370" i="13"/>
  <c r="AB370" i="13"/>
  <c r="AD370" i="13"/>
  <c r="AG370" i="13"/>
  <c r="AH370" i="13"/>
  <c r="W369" i="13"/>
  <c r="AE369" i="13" s="1"/>
  <c r="Z369" i="13"/>
  <c r="AA369" i="13"/>
  <c r="AB369" i="13"/>
  <c r="AD369" i="13"/>
  <c r="AF369" i="13"/>
  <c r="AG369" i="13"/>
  <c r="AH369" i="13"/>
  <c r="W368" i="13"/>
  <c r="AE368" i="13" s="1"/>
  <c r="Z368" i="13"/>
  <c r="AA368" i="13"/>
  <c r="AB368" i="13"/>
  <c r="AD368" i="13"/>
  <c r="AF368" i="13"/>
  <c r="AG368" i="13"/>
  <c r="AH368" i="13"/>
  <c r="W367" i="13"/>
  <c r="AE367" i="13" s="1"/>
  <c r="Z367" i="13"/>
  <c r="AA367" i="13"/>
  <c r="AB367" i="13"/>
  <c r="AD367" i="13"/>
  <c r="AG367" i="13"/>
  <c r="AH367" i="13"/>
  <c r="W366" i="13"/>
  <c r="AE366" i="13" s="1"/>
  <c r="Z366" i="13"/>
  <c r="AA366" i="13"/>
  <c r="AB366" i="13"/>
  <c r="AD366" i="13"/>
  <c r="AF366" i="13"/>
  <c r="AG366" i="13"/>
  <c r="AH366" i="13"/>
  <c r="W365" i="13"/>
  <c r="AE365" i="13" s="1"/>
  <c r="Z365" i="13"/>
  <c r="AA365" i="13"/>
  <c r="AB365" i="13"/>
  <c r="AD365" i="13"/>
  <c r="AF365" i="13"/>
  <c r="AG365" i="13"/>
  <c r="AH365" i="13"/>
  <c r="X380" i="13" l="1"/>
  <c r="AC380" i="13" s="1"/>
  <c r="X393" i="13"/>
  <c r="AC393" i="13" s="1"/>
  <c r="X374" i="13"/>
  <c r="AC374" i="13" s="1"/>
  <c r="X382" i="13"/>
  <c r="AC382" i="13" s="1"/>
  <c r="X384" i="13"/>
  <c r="AC384" i="13" s="1"/>
  <c r="X387" i="13"/>
  <c r="AC387" i="13" s="1"/>
  <c r="X370" i="13"/>
  <c r="AC370" i="13" s="1"/>
  <c r="AF374" i="13"/>
  <c r="Y374" i="13" s="1"/>
  <c r="X375" i="13"/>
  <c r="AC375" i="13" s="1"/>
  <c r="X379" i="13"/>
  <c r="AC379" i="13" s="1"/>
  <c r="AF380" i="13"/>
  <c r="Y380" i="13" s="1"/>
  <c r="X381" i="13"/>
  <c r="AC381" i="13" s="1"/>
  <c r="X389" i="13"/>
  <c r="AC389" i="13" s="1"/>
  <c r="Y379" i="13"/>
  <c r="Y381" i="13"/>
  <c r="Y382" i="13"/>
  <c r="X391" i="13"/>
  <c r="AC391" i="13" s="1"/>
  <c r="Y365" i="13"/>
  <c r="X367" i="13"/>
  <c r="AC367" i="13" s="1"/>
  <c r="X377" i="13"/>
  <c r="AC377" i="13" s="1"/>
  <c r="Y366" i="13"/>
  <c r="Y369" i="13"/>
  <c r="X373" i="13"/>
  <c r="AC373" i="13" s="1"/>
  <c r="Y377" i="13"/>
  <c r="X383" i="13"/>
  <c r="AC383" i="13" s="1"/>
  <c r="AF384" i="13"/>
  <c r="Y384" i="13" s="1"/>
  <c r="X385" i="13"/>
  <c r="AC385" i="13" s="1"/>
  <c r="AF387" i="13"/>
  <c r="Y387" i="13" s="1"/>
  <c r="X388" i="13"/>
  <c r="AC388" i="13" s="1"/>
  <c r="AF389" i="13"/>
  <c r="Y389" i="13" s="1"/>
  <c r="X390" i="13"/>
  <c r="AC390" i="13" s="1"/>
  <c r="Y391" i="13"/>
  <c r="X392" i="13"/>
  <c r="AC392" i="13" s="1"/>
  <c r="X366" i="13"/>
  <c r="AC366" i="13" s="1"/>
  <c r="AF367" i="13"/>
  <c r="Y367" i="13" s="1"/>
  <c r="X369" i="13"/>
  <c r="AC369" i="13" s="1"/>
  <c r="Y383" i="13"/>
  <c r="Y390" i="13"/>
  <c r="Y373" i="13"/>
  <c r="Y375" i="13"/>
  <c r="Y370" i="13"/>
  <c r="Y385" i="13"/>
  <c r="Y388" i="13"/>
  <c r="Y393" i="13"/>
  <c r="Y392" i="13"/>
  <c r="X365" i="13"/>
  <c r="AC365" i="13" s="1"/>
  <c r="X371" i="13"/>
  <c r="AC371" i="13" s="1"/>
  <c r="X376" i="13"/>
  <c r="AC376" i="13" s="1"/>
  <c r="Y368" i="13"/>
  <c r="Y372" i="13"/>
  <c r="Y378" i="13"/>
  <c r="X386" i="13"/>
  <c r="AC386" i="13" s="1"/>
  <c r="X368" i="13"/>
  <c r="AC368" i="13" s="1"/>
  <c r="AF371" i="13"/>
  <c r="Y371" i="13" s="1"/>
  <c r="X372" i="13"/>
  <c r="AC372" i="13" s="1"/>
  <c r="Y376" i="13"/>
  <c r="X378" i="13"/>
  <c r="AC378" i="13" s="1"/>
  <c r="Y386" i="13"/>
  <c r="W364" i="13"/>
  <c r="AE364" i="13" s="1"/>
  <c r="Z364" i="13"/>
  <c r="AF364" i="13" s="1"/>
  <c r="AA364" i="13"/>
  <c r="AB364" i="13"/>
  <c r="AD364" i="13"/>
  <c r="AG364" i="13"/>
  <c r="AH364" i="13"/>
  <c r="W363" i="13"/>
  <c r="AE363" i="13" s="1"/>
  <c r="Z363" i="13"/>
  <c r="AA363" i="13"/>
  <c r="AB363" i="13"/>
  <c r="AD363" i="13"/>
  <c r="AF363" i="13"/>
  <c r="AG363" i="13"/>
  <c r="AH363" i="13"/>
  <c r="W362" i="13"/>
  <c r="AE362" i="13" s="1"/>
  <c r="Z362" i="13"/>
  <c r="AA362" i="13"/>
  <c r="AB362" i="13"/>
  <c r="AD362" i="13"/>
  <c r="AF362" i="13"/>
  <c r="AG362" i="13"/>
  <c r="AH362" i="13"/>
  <c r="W361" i="13"/>
  <c r="AE361" i="13" s="1"/>
  <c r="Z361" i="13"/>
  <c r="AA361" i="13"/>
  <c r="AB361" i="13"/>
  <c r="AD361" i="13"/>
  <c r="AG361" i="13"/>
  <c r="AH361" i="13"/>
  <c r="W360" i="13"/>
  <c r="AE360" i="13" s="1"/>
  <c r="Z360" i="13"/>
  <c r="AA360" i="13"/>
  <c r="AB360" i="13"/>
  <c r="AD360" i="13"/>
  <c r="AF360" i="13"/>
  <c r="AG360" i="13"/>
  <c r="AH360" i="13"/>
  <c r="W359" i="13"/>
  <c r="AE359" i="13" s="1"/>
  <c r="Z359" i="13"/>
  <c r="AA359" i="13"/>
  <c r="AB359" i="13"/>
  <c r="AD359" i="13"/>
  <c r="AF359" i="13"/>
  <c r="AG359" i="13"/>
  <c r="AH359" i="13"/>
  <c r="W358" i="13"/>
  <c r="AE358" i="13" s="1"/>
  <c r="Z358" i="13"/>
  <c r="AA358" i="13"/>
  <c r="AB358" i="13"/>
  <c r="AD358" i="13"/>
  <c r="AF358" i="13"/>
  <c r="AG358" i="13"/>
  <c r="AH358" i="13"/>
  <c r="W357" i="13"/>
  <c r="AE357" i="13" s="1"/>
  <c r="Z357" i="13"/>
  <c r="AA357" i="13"/>
  <c r="AB357" i="13"/>
  <c r="AD357" i="13"/>
  <c r="AF357" i="13"/>
  <c r="AG357" i="13"/>
  <c r="AH357" i="13"/>
  <c r="W356" i="13"/>
  <c r="AE356" i="13" s="1"/>
  <c r="Z356" i="13"/>
  <c r="AA356" i="13"/>
  <c r="AB356" i="13"/>
  <c r="AD356" i="13"/>
  <c r="AG356" i="13"/>
  <c r="AH356" i="13"/>
  <c r="W355" i="13"/>
  <c r="AE355" i="13" s="1"/>
  <c r="Z355" i="13"/>
  <c r="AA355" i="13"/>
  <c r="AB355" i="13"/>
  <c r="AD355" i="13"/>
  <c r="AF355" i="13"/>
  <c r="AG355" i="13"/>
  <c r="AH355" i="13"/>
  <c r="W354" i="13"/>
  <c r="AE354" i="13" s="1"/>
  <c r="Z354" i="13"/>
  <c r="AA354" i="13"/>
  <c r="AB354" i="13"/>
  <c r="AD354" i="13"/>
  <c r="AG354" i="13"/>
  <c r="AH354" i="13"/>
  <c r="W353" i="13"/>
  <c r="AE353" i="13" s="1"/>
  <c r="Z353" i="13"/>
  <c r="AA353" i="13"/>
  <c r="AB353" i="13"/>
  <c r="AD353" i="13"/>
  <c r="AF353" i="13"/>
  <c r="AG353" i="13"/>
  <c r="AH353" i="13"/>
  <c r="W352" i="13"/>
  <c r="AE352" i="13" s="1"/>
  <c r="Z352" i="13"/>
  <c r="AA352" i="13"/>
  <c r="AB352" i="13"/>
  <c r="AD352" i="13"/>
  <c r="AF352" i="13"/>
  <c r="AG352" i="13"/>
  <c r="AH352" i="13"/>
  <c r="W351" i="13"/>
  <c r="AE351" i="13" s="1"/>
  <c r="Z351" i="13"/>
  <c r="AA351" i="13"/>
  <c r="AB351" i="13"/>
  <c r="AD351" i="13"/>
  <c r="AG351" i="13"/>
  <c r="AH351" i="13"/>
  <c r="W350" i="13"/>
  <c r="AE350" i="13" s="1"/>
  <c r="Z350" i="13"/>
  <c r="AA350" i="13"/>
  <c r="AB350" i="13"/>
  <c r="AD350" i="13"/>
  <c r="AF350" i="13"/>
  <c r="AG350" i="13"/>
  <c r="AH350" i="13"/>
  <c r="W349" i="13"/>
  <c r="AE349" i="13" s="1"/>
  <c r="Z349" i="13"/>
  <c r="AA349" i="13"/>
  <c r="AB349" i="13"/>
  <c r="AD349" i="13"/>
  <c r="AF349" i="13"/>
  <c r="AG349" i="13"/>
  <c r="AH349" i="13"/>
  <c r="W348" i="13"/>
  <c r="AE348" i="13" s="1"/>
  <c r="Z348" i="13"/>
  <c r="AA348" i="13"/>
  <c r="AB348" i="13"/>
  <c r="AD348" i="13"/>
  <c r="AF348" i="13"/>
  <c r="AG348" i="13"/>
  <c r="AH348" i="13"/>
  <c r="W347" i="13"/>
  <c r="AE347" i="13" s="1"/>
  <c r="Z347" i="13"/>
  <c r="AA347" i="13"/>
  <c r="AB347" i="13"/>
  <c r="AD347" i="13"/>
  <c r="AF347" i="13"/>
  <c r="AG347" i="13"/>
  <c r="AH347" i="13"/>
  <c r="W346" i="13"/>
  <c r="AE346" i="13" s="1"/>
  <c r="Z346" i="13"/>
  <c r="AA346" i="13"/>
  <c r="AB346" i="13"/>
  <c r="AD346" i="13"/>
  <c r="AF346" i="13"/>
  <c r="AG346" i="13"/>
  <c r="AH346" i="13"/>
  <c r="W345" i="13"/>
  <c r="AE345" i="13" s="1"/>
  <c r="Z345" i="13"/>
  <c r="AA345" i="13"/>
  <c r="AB345" i="13"/>
  <c r="AD345" i="13"/>
  <c r="AF345" i="13"/>
  <c r="AG345" i="13"/>
  <c r="AH345" i="13"/>
  <c r="W344" i="13"/>
  <c r="AE344" i="13" s="1"/>
  <c r="Z344" i="13"/>
  <c r="AA344" i="13"/>
  <c r="AB344" i="13"/>
  <c r="AD344" i="13"/>
  <c r="AF344" i="13"/>
  <c r="AG344" i="13"/>
  <c r="AH344" i="13"/>
  <c r="W343" i="13"/>
  <c r="AE343" i="13" s="1"/>
  <c r="Z343" i="13"/>
  <c r="AF343" i="13" s="1"/>
  <c r="AA343" i="13"/>
  <c r="AB343" i="13"/>
  <c r="AD343" i="13"/>
  <c r="AG343" i="13"/>
  <c r="AH343" i="13"/>
  <c r="W342" i="13"/>
  <c r="AE342" i="13" s="1"/>
  <c r="Z342" i="13"/>
  <c r="AA342" i="13"/>
  <c r="AB342" i="13"/>
  <c r="AD342" i="13"/>
  <c r="AG342" i="13"/>
  <c r="AH342" i="13"/>
  <c r="W341" i="13"/>
  <c r="AE341" i="13" s="1"/>
  <c r="Z341" i="13"/>
  <c r="AA341" i="13"/>
  <c r="AB341" i="13"/>
  <c r="AD341" i="13"/>
  <c r="AF341" i="13"/>
  <c r="AG341" i="13"/>
  <c r="AH341" i="13"/>
  <c r="W340" i="13"/>
  <c r="AE340" i="13" s="1"/>
  <c r="Z340" i="13"/>
  <c r="AA340" i="13"/>
  <c r="AB340" i="13"/>
  <c r="AD340" i="13"/>
  <c r="AG340" i="13"/>
  <c r="AH340" i="13"/>
  <c r="W339" i="13"/>
  <c r="AE339" i="13" s="1"/>
  <c r="Z339" i="13"/>
  <c r="AA339" i="13"/>
  <c r="AB339" i="13"/>
  <c r="AD339" i="13"/>
  <c r="AF339" i="13"/>
  <c r="AG339" i="13"/>
  <c r="AH339" i="13"/>
  <c r="W338" i="13"/>
  <c r="AE338" i="13" s="1"/>
  <c r="Z338" i="13"/>
  <c r="AA338" i="13"/>
  <c r="AB338" i="13"/>
  <c r="AD338" i="13"/>
  <c r="AG338" i="13"/>
  <c r="AH338" i="13"/>
  <c r="W337" i="13"/>
  <c r="AE337" i="13" s="1"/>
  <c r="Z337" i="13"/>
  <c r="AA337" i="13"/>
  <c r="AB337" i="13"/>
  <c r="AD337" i="13"/>
  <c r="AF337" i="13"/>
  <c r="AG337" i="13"/>
  <c r="AH337" i="13"/>
  <c r="W336" i="13"/>
  <c r="AE336" i="13" s="1"/>
  <c r="Z336" i="13"/>
  <c r="AA336" i="13"/>
  <c r="AB336" i="13"/>
  <c r="AD336" i="13"/>
  <c r="AF336" i="13"/>
  <c r="AG336" i="13"/>
  <c r="AH336" i="13"/>
  <c r="W335" i="13"/>
  <c r="AE335" i="13" s="1"/>
  <c r="Z335" i="13"/>
  <c r="AA335" i="13"/>
  <c r="AB335" i="13"/>
  <c r="AD335" i="13"/>
  <c r="AF335" i="13"/>
  <c r="AG335" i="13"/>
  <c r="AH335" i="13"/>
  <c r="W334" i="13"/>
  <c r="AE334" i="13" s="1"/>
  <c r="Z334" i="13"/>
  <c r="AA334" i="13"/>
  <c r="AB334" i="13"/>
  <c r="AD334" i="13"/>
  <c r="AF334" i="13"/>
  <c r="AG334" i="13"/>
  <c r="AH334" i="13"/>
  <c r="W333" i="13"/>
  <c r="AE333" i="13" s="1"/>
  <c r="Z333" i="13"/>
  <c r="AA333" i="13"/>
  <c r="AB333" i="13"/>
  <c r="AD333" i="13"/>
  <c r="AF333" i="13"/>
  <c r="AG333" i="13"/>
  <c r="AH333" i="13"/>
  <c r="W332" i="13"/>
  <c r="AE332" i="13" s="1"/>
  <c r="Z332" i="13"/>
  <c r="AA332" i="13"/>
  <c r="AB332" i="13"/>
  <c r="AD332" i="13"/>
  <c r="AF332" i="13"/>
  <c r="AG332" i="13"/>
  <c r="AH332" i="13"/>
  <c r="W331" i="13"/>
  <c r="AE331" i="13" s="1"/>
  <c r="Z331" i="13"/>
  <c r="AA331" i="13"/>
  <c r="AB331" i="13"/>
  <c r="AD331" i="13"/>
  <c r="AG331" i="13"/>
  <c r="AH331" i="13"/>
  <c r="W330" i="13"/>
  <c r="AE330" i="13" s="1"/>
  <c r="Z330" i="13"/>
  <c r="AA330" i="13"/>
  <c r="AB330" i="13"/>
  <c r="AD330" i="13"/>
  <c r="AF330" i="13"/>
  <c r="AG330" i="13"/>
  <c r="AH330" i="13"/>
  <c r="W329" i="13"/>
  <c r="AE329" i="13" s="1"/>
  <c r="Z329" i="13"/>
  <c r="AA329" i="13"/>
  <c r="AB329" i="13"/>
  <c r="AD329" i="13"/>
  <c r="AF329" i="13"/>
  <c r="AG329" i="13"/>
  <c r="AH329" i="13"/>
  <c r="W328" i="13"/>
  <c r="AE328" i="13" s="1"/>
  <c r="Z328" i="13"/>
  <c r="AA328" i="13"/>
  <c r="AB328" i="13"/>
  <c r="AD328" i="13"/>
  <c r="AG328" i="13"/>
  <c r="AH328" i="13"/>
  <c r="W327" i="13"/>
  <c r="AE327" i="13" s="1"/>
  <c r="Z327" i="13"/>
  <c r="AA327" i="13"/>
  <c r="AB327" i="13"/>
  <c r="AD327" i="13"/>
  <c r="AF327" i="13"/>
  <c r="AG327" i="13"/>
  <c r="AH327" i="13"/>
  <c r="W326" i="13"/>
  <c r="AE326" i="13" s="1"/>
  <c r="Z326" i="13"/>
  <c r="AA326" i="13"/>
  <c r="AB326" i="13"/>
  <c r="AD326" i="13"/>
  <c r="AF326" i="13"/>
  <c r="AG326" i="13"/>
  <c r="AH326" i="13"/>
  <c r="X361" i="13" l="1"/>
  <c r="AC361" i="13" s="1"/>
  <c r="X363" i="13"/>
  <c r="AC363" i="13" s="1"/>
  <c r="X360" i="13"/>
  <c r="AC360" i="13" s="1"/>
  <c r="AF361" i="13"/>
  <c r="Y361" i="13" s="1"/>
  <c r="X362" i="13"/>
  <c r="AC362" i="13" s="1"/>
  <c r="X328" i="13"/>
  <c r="AC328" i="13" s="1"/>
  <c r="X332" i="13"/>
  <c r="AC332" i="13" s="1"/>
  <c r="X353" i="13"/>
  <c r="AC353" i="13" s="1"/>
  <c r="Y362" i="13"/>
  <c r="Y363" i="13"/>
  <c r="Y360" i="13"/>
  <c r="Y353" i="13"/>
  <c r="AF328" i="13"/>
  <c r="Y328" i="13" s="1"/>
  <c r="Y332" i="13"/>
  <c r="Y348" i="13"/>
  <c r="X348" i="13"/>
  <c r="AC348" i="13" s="1"/>
  <c r="X326" i="13"/>
  <c r="AC326" i="13" s="1"/>
  <c r="X334" i="13"/>
  <c r="AC334" i="13" s="1"/>
  <c r="X344" i="13"/>
  <c r="AC344" i="13" s="1"/>
  <c r="X349" i="13"/>
  <c r="AC349" i="13" s="1"/>
  <c r="X351" i="13"/>
  <c r="AC351" i="13" s="1"/>
  <c r="X354" i="13"/>
  <c r="AC354" i="13" s="1"/>
  <c r="X356" i="13"/>
  <c r="AC356" i="13" s="1"/>
  <c r="Y327" i="13"/>
  <c r="X329" i="13"/>
  <c r="AC329" i="13" s="1"/>
  <c r="X331" i="13"/>
  <c r="AC331" i="13" s="1"/>
  <c r="X336" i="13"/>
  <c r="AC336" i="13" s="1"/>
  <c r="X338" i="13"/>
  <c r="AC338" i="13" s="1"/>
  <c r="X340" i="13"/>
  <c r="AC340" i="13" s="1"/>
  <c r="X342" i="13"/>
  <c r="AC342" i="13" s="1"/>
  <c r="X346" i="13"/>
  <c r="AC346" i="13" s="1"/>
  <c r="X358" i="13"/>
  <c r="AC358" i="13" s="1"/>
  <c r="Y330" i="13"/>
  <c r="Y333" i="13"/>
  <c r="Y335" i="13"/>
  <c r="Y337" i="13"/>
  <c r="Y339" i="13"/>
  <c r="Y341" i="13"/>
  <c r="Y343" i="13"/>
  <c r="Y345" i="13"/>
  <c r="Y347" i="13"/>
  <c r="Y350" i="13"/>
  <c r="Y352" i="13"/>
  <c r="Y355" i="13"/>
  <c r="Y357" i="13"/>
  <c r="Y359" i="13"/>
  <c r="X364" i="13"/>
  <c r="AC364" i="13" s="1"/>
  <c r="Y326" i="13"/>
  <c r="X327" i="13"/>
  <c r="AC327" i="13" s="1"/>
  <c r="Y329" i="13"/>
  <c r="X330" i="13"/>
  <c r="AC330" i="13" s="1"/>
  <c r="AF331" i="13"/>
  <c r="Y331" i="13" s="1"/>
  <c r="X333" i="13"/>
  <c r="AC333" i="13" s="1"/>
  <c r="Y334" i="13"/>
  <c r="X335" i="13"/>
  <c r="AC335" i="13" s="1"/>
  <c r="Y336" i="13"/>
  <c r="X337" i="13"/>
  <c r="AC337" i="13" s="1"/>
  <c r="AF338" i="13"/>
  <c r="Y338" i="13" s="1"/>
  <c r="X339" i="13"/>
  <c r="AC339" i="13" s="1"/>
  <c r="AF340" i="13"/>
  <c r="Y340" i="13" s="1"/>
  <c r="X341" i="13"/>
  <c r="AC341" i="13" s="1"/>
  <c r="AF342" i="13"/>
  <c r="Y342" i="13" s="1"/>
  <c r="X343" i="13"/>
  <c r="AC343" i="13" s="1"/>
  <c r="Y344" i="13"/>
  <c r="X345" i="13"/>
  <c r="AC345" i="13" s="1"/>
  <c r="Y346" i="13"/>
  <c r="X347" i="13"/>
  <c r="AC347" i="13" s="1"/>
  <c r="Y349" i="13"/>
  <c r="X350" i="13"/>
  <c r="AC350" i="13" s="1"/>
  <c r="AF351" i="13"/>
  <c r="Y351" i="13" s="1"/>
  <c r="X352" i="13"/>
  <c r="AC352" i="13" s="1"/>
  <c r="AF354" i="13"/>
  <c r="Y354" i="13" s="1"/>
  <c r="X355" i="13"/>
  <c r="AC355" i="13" s="1"/>
  <c r="AF356" i="13"/>
  <c r="Y356" i="13" s="1"/>
  <c r="X357" i="13"/>
  <c r="AC357" i="13" s="1"/>
  <c r="Y358" i="13"/>
  <c r="X359" i="13"/>
  <c r="AC359" i="13" s="1"/>
  <c r="Y364" i="13"/>
  <c r="W325" i="13"/>
  <c r="AE325" i="13" s="1"/>
  <c r="Z325" i="13"/>
  <c r="AA325" i="13"/>
  <c r="AB325" i="13"/>
  <c r="AD325" i="13"/>
  <c r="AG325" i="13"/>
  <c r="AH325" i="13"/>
  <c r="W324" i="13"/>
  <c r="AE324" i="13" s="1"/>
  <c r="Z324" i="13"/>
  <c r="AA324" i="13"/>
  <c r="AB324" i="13"/>
  <c r="AD324" i="13"/>
  <c r="AF324" i="13"/>
  <c r="AG324" i="13"/>
  <c r="AH324" i="13"/>
  <c r="W323" i="13"/>
  <c r="AE323" i="13" s="1"/>
  <c r="Z323" i="13"/>
  <c r="AA323" i="13"/>
  <c r="AB323" i="13"/>
  <c r="AD323" i="13"/>
  <c r="AG323" i="13"/>
  <c r="AH323" i="13"/>
  <c r="W322" i="13"/>
  <c r="AE322" i="13" s="1"/>
  <c r="Z322" i="13"/>
  <c r="AF322" i="13" s="1"/>
  <c r="AA322" i="13"/>
  <c r="AB322" i="13"/>
  <c r="AD322" i="13"/>
  <c r="AG322" i="13"/>
  <c r="AH322" i="13"/>
  <c r="W321" i="13"/>
  <c r="AE321" i="13" s="1"/>
  <c r="Z321" i="13"/>
  <c r="AA321" i="13"/>
  <c r="AB321" i="13"/>
  <c r="AD321" i="13"/>
  <c r="AF321" i="13"/>
  <c r="AG321" i="13"/>
  <c r="AH321" i="13"/>
  <c r="X325" i="13" l="1"/>
  <c r="AC325" i="13" s="1"/>
  <c r="AF325" i="13"/>
  <c r="Y325" i="13" s="1"/>
  <c r="X321" i="13"/>
  <c r="AC321" i="13" s="1"/>
  <c r="Y322" i="13"/>
  <c r="X323" i="13"/>
  <c r="AC323" i="13" s="1"/>
  <c r="Y321" i="13"/>
  <c r="AF323" i="13"/>
  <c r="Y323" i="13" s="1"/>
  <c r="X324" i="13"/>
  <c r="AC324" i="13" s="1"/>
  <c r="Y324" i="13"/>
  <c r="X322" i="13"/>
  <c r="AC322" i="13" s="1"/>
  <c r="W320" i="13"/>
  <c r="AE320" i="13" s="1"/>
  <c r="Z320" i="13"/>
  <c r="AA320" i="13"/>
  <c r="AB320" i="13"/>
  <c r="AD320" i="13"/>
  <c r="AF320" i="13"/>
  <c r="AG320" i="13"/>
  <c r="AH320" i="13"/>
  <c r="W319" i="13"/>
  <c r="AE319" i="13" s="1"/>
  <c r="Z319" i="13"/>
  <c r="AA319" i="13"/>
  <c r="AB319" i="13"/>
  <c r="AD319" i="13"/>
  <c r="AF319" i="13"/>
  <c r="AG319" i="13"/>
  <c r="AH319" i="13"/>
  <c r="X320" i="13" l="1"/>
  <c r="AC320" i="13" s="1"/>
  <c r="Y319" i="13"/>
  <c r="X319" i="13"/>
  <c r="AC319" i="13" s="1"/>
  <c r="Y320" i="13"/>
  <c r="W318" i="13"/>
  <c r="AE318" i="13" s="1"/>
  <c r="Z318" i="13"/>
  <c r="AA318" i="13"/>
  <c r="AB318" i="13"/>
  <c r="AD318" i="13"/>
  <c r="AF318" i="13"/>
  <c r="AG318" i="13"/>
  <c r="AH318" i="13"/>
  <c r="W317" i="13"/>
  <c r="AE317" i="13" s="1"/>
  <c r="Z317" i="13"/>
  <c r="AA317" i="13"/>
  <c r="AB317" i="13"/>
  <c r="AD317" i="13"/>
  <c r="AF317" i="13"/>
  <c r="AG317" i="13"/>
  <c r="AH317" i="13"/>
  <c r="W316" i="13"/>
  <c r="AE316" i="13" s="1"/>
  <c r="Z316" i="13"/>
  <c r="AA316" i="13"/>
  <c r="AB316" i="13"/>
  <c r="AD316" i="13"/>
  <c r="AF316" i="13"/>
  <c r="AG316" i="13"/>
  <c r="AH316" i="13"/>
  <c r="W315" i="13"/>
  <c r="AE315" i="13" s="1"/>
  <c r="Z315" i="13"/>
  <c r="AA315" i="13"/>
  <c r="AB315" i="13"/>
  <c r="AD315" i="13"/>
  <c r="AF315" i="13"/>
  <c r="AG315" i="13"/>
  <c r="AH315" i="13"/>
  <c r="W314" i="13"/>
  <c r="AE314" i="13" s="1"/>
  <c r="Z314" i="13"/>
  <c r="AA314" i="13"/>
  <c r="AB314" i="13"/>
  <c r="AD314" i="13"/>
  <c r="AF314" i="13"/>
  <c r="AG314" i="13"/>
  <c r="AH314" i="13"/>
  <c r="W313" i="13"/>
  <c r="AE313" i="13" s="1"/>
  <c r="Z313" i="13"/>
  <c r="AA313" i="13"/>
  <c r="AB313" i="13"/>
  <c r="AD313" i="13"/>
  <c r="AF313" i="13"/>
  <c r="AG313" i="13"/>
  <c r="AH313" i="13"/>
  <c r="W312" i="13"/>
  <c r="AE312" i="13" s="1"/>
  <c r="Z312" i="13"/>
  <c r="AA312" i="13"/>
  <c r="AB312" i="13"/>
  <c r="AD312" i="13"/>
  <c r="AG312" i="13"/>
  <c r="AH312" i="13"/>
  <c r="W311" i="13"/>
  <c r="AE311" i="13" s="1"/>
  <c r="Z311" i="13"/>
  <c r="AA311" i="13"/>
  <c r="AB311" i="13"/>
  <c r="AD311" i="13"/>
  <c r="AF311" i="13"/>
  <c r="AG311" i="13"/>
  <c r="AH311" i="13"/>
  <c r="W310" i="13"/>
  <c r="AE310" i="13" s="1"/>
  <c r="Z310" i="13"/>
  <c r="AA310" i="13"/>
  <c r="AB310" i="13"/>
  <c r="AD310" i="13"/>
  <c r="AG310" i="13"/>
  <c r="AH310" i="13"/>
  <c r="W309" i="13"/>
  <c r="AE309" i="13" s="1"/>
  <c r="Z309" i="13"/>
  <c r="AA309" i="13"/>
  <c r="AB309" i="13"/>
  <c r="AD309" i="13"/>
  <c r="AF309" i="13"/>
  <c r="AG309" i="13"/>
  <c r="AH309" i="13"/>
  <c r="W308" i="13"/>
  <c r="AE308" i="13" s="1"/>
  <c r="Z308" i="13"/>
  <c r="AA308" i="13"/>
  <c r="AB308" i="13"/>
  <c r="AD308" i="13"/>
  <c r="AF308" i="13"/>
  <c r="AG308" i="13"/>
  <c r="AH308" i="13"/>
  <c r="W307" i="13"/>
  <c r="AE307" i="13" s="1"/>
  <c r="Z307" i="13"/>
  <c r="AA307" i="13"/>
  <c r="AB307" i="13"/>
  <c r="AD307" i="13"/>
  <c r="AG307" i="13"/>
  <c r="AH307" i="13"/>
  <c r="W306" i="13"/>
  <c r="AE306" i="13" s="1"/>
  <c r="Z306" i="13"/>
  <c r="AA306" i="13"/>
  <c r="AB306" i="13"/>
  <c r="AD306" i="13"/>
  <c r="AF306" i="13"/>
  <c r="AG306" i="13"/>
  <c r="AH306" i="13"/>
  <c r="W305" i="13"/>
  <c r="AE305" i="13" s="1"/>
  <c r="Z305" i="13"/>
  <c r="AA305" i="13"/>
  <c r="AB305" i="13"/>
  <c r="AD305" i="13"/>
  <c r="AF305" i="13"/>
  <c r="AG305" i="13"/>
  <c r="AH305" i="13"/>
  <c r="W304" i="13"/>
  <c r="AE304" i="13" s="1"/>
  <c r="Z304" i="13"/>
  <c r="AA304" i="13"/>
  <c r="AB304" i="13"/>
  <c r="AD304" i="13"/>
  <c r="AG304" i="13"/>
  <c r="AH304" i="13"/>
  <c r="W303" i="13"/>
  <c r="AE303" i="13" s="1"/>
  <c r="Z303" i="13"/>
  <c r="AA303" i="13"/>
  <c r="AB303" i="13"/>
  <c r="AD303" i="13"/>
  <c r="AF303" i="13"/>
  <c r="AG303" i="13"/>
  <c r="AH303" i="13"/>
  <c r="W302" i="13"/>
  <c r="AE302" i="13" s="1"/>
  <c r="Z302" i="13"/>
  <c r="AA302" i="13"/>
  <c r="AB302" i="13"/>
  <c r="AD302" i="13"/>
  <c r="AF302" i="13"/>
  <c r="AG302" i="13"/>
  <c r="AH302" i="13"/>
  <c r="W301" i="13"/>
  <c r="AE301" i="13" s="1"/>
  <c r="Z301" i="13"/>
  <c r="AA301" i="13"/>
  <c r="AB301" i="13"/>
  <c r="AD301" i="13"/>
  <c r="AF301" i="13"/>
  <c r="AG301" i="13"/>
  <c r="AH301" i="13"/>
  <c r="W300" i="13"/>
  <c r="AE300" i="13" s="1"/>
  <c r="Z300" i="13"/>
  <c r="AA300" i="13"/>
  <c r="AB300" i="13"/>
  <c r="AD300" i="13"/>
  <c r="AG300" i="13"/>
  <c r="AH300" i="13"/>
  <c r="W299" i="13"/>
  <c r="AE299" i="13" s="1"/>
  <c r="Z299" i="13"/>
  <c r="AA299" i="13"/>
  <c r="AB299" i="13"/>
  <c r="AD299" i="13"/>
  <c r="AF299" i="13"/>
  <c r="AG299" i="13"/>
  <c r="AH299" i="13"/>
  <c r="W298" i="13"/>
  <c r="AE298" i="13" s="1"/>
  <c r="Z298" i="13"/>
  <c r="AA298" i="13"/>
  <c r="AB298" i="13"/>
  <c r="AD298" i="13"/>
  <c r="AG298" i="13"/>
  <c r="AH298" i="13"/>
  <c r="W297" i="13"/>
  <c r="AE297" i="13" s="1"/>
  <c r="Z297" i="13"/>
  <c r="AA297" i="13"/>
  <c r="AB297" i="13"/>
  <c r="AD297" i="13"/>
  <c r="AF297" i="13"/>
  <c r="AG297" i="13"/>
  <c r="AH297" i="13"/>
  <c r="W296" i="13"/>
  <c r="AE296" i="13" s="1"/>
  <c r="Z296" i="13"/>
  <c r="AA296" i="13"/>
  <c r="AB296" i="13"/>
  <c r="AD296" i="13"/>
  <c r="AF296" i="13"/>
  <c r="AG296" i="13"/>
  <c r="AH296" i="13"/>
  <c r="W295" i="13"/>
  <c r="AE295" i="13" s="1"/>
  <c r="Z295" i="13"/>
  <c r="AA295" i="13"/>
  <c r="AB295" i="13"/>
  <c r="AD295" i="13"/>
  <c r="AF295" i="13"/>
  <c r="AG295" i="13"/>
  <c r="AH295" i="13"/>
  <c r="W294" i="13"/>
  <c r="AE294" i="13" s="1"/>
  <c r="Z294" i="13"/>
  <c r="AA294" i="13"/>
  <c r="AB294" i="13"/>
  <c r="AD294" i="13"/>
  <c r="AG294" i="13"/>
  <c r="AH294" i="13"/>
  <c r="W293" i="13"/>
  <c r="AE293" i="13" s="1"/>
  <c r="Z293" i="13"/>
  <c r="AA293" i="13"/>
  <c r="AB293" i="13"/>
  <c r="AD293" i="13"/>
  <c r="AF293" i="13"/>
  <c r="AG293" i="13"/>
  <c r="AH293" i="13"/>
  <c r="W292" i="13"/>
  <c r="AE292" i="13" s="1"/>
  <c r="Z292" i="13"/>
  <c r="AA292" i="13"/>
  <c r="AB292" i="13"/>
  <c r="AD292" i="13"/>
  <c r="AF292" i="13"/>
  <c r="AG292" i="13"/>
  <c r="AH292" i="13"/>
  <c r="W291" i="13"/>
  <c r="AE291" i="13" s="1"/>
  <c r="Z291" i="13"/>
  <c r="AA291" i="13"/>
  <c r="AB291" i="13"/>
  <c r="AD291" i="13"/>
  <c r="AF291" i="13"/>
  <c r="AG291" i="13"/>
  <c r="AH291" i="13"/>
  <c r="W290" i="13"/>
  <c r="AE290" i="13" s="1"/>
  <c r="Z290" i="13"/>
  <c r="AA290" i="13"/>
  <c r="AB290" i="13"/>
  <c r="AD290" i="13"/>
  <c r="AG290" i="13"/>
  <c r="AH290" i="13"/>
  <c r="W289" i="13"/>
  <c r="AE289" i="13" s="1"/>
  <c r="Z289" i="13"/>
  <c r="AA289" i="13"/>
  <c r="AB289" i="13"/>
  <c r="AD289" i="13"/>
  <c r="AF289" i="13"/>
  <c r="AG289" i="13"/>
  <c r="AH289" i="13"/>
  <c r="W288" i="13"/>
  <c r="AE288" i="13" s="1"/>
  <c r="Z288" i="13"/>
  <c r="AA288" i="13"/>
  <c r="AB288" i="13"/>
  <c r="AD288" i="13"/>
  <c r="AG288" i="13"/>
  <c r="AH288" i="13"/>
  <c r="W287" i="13"/>
  <c r="AE287" i="13" s="1"/>
  <c r="Z287" i="13"/>
  <c r="AA287" i="13"/>
  <c r="AB287" i="13"/>
  <c r="AD287" i="13"/>
  <c r="AF287" i="13"/>
  <c r="AG287" i="13"/>
  <c r="AH287" i="13"/>
  <c r="W286" i="13"/>
  <c r="AE286" i="13" s="1"/>
  <c r="Z286" i="13"/>
  <c r="AA286" i="13"/>
  <c r="AB286" i="13"/>
  <c r="AD286" i="13"/>
  <c r="AG286" i="13"/>
  <c r="AH286" i="13"/>
  <c r="W285" i="13"/>
  <c r="AE285" i="13" s="1"/>
  <c r="Z285" i="13"/>
  <c r="AF285" i="13" s="1"/>
  <c r="AA285" i="13"/>
  <c r="AB285" i="13"/>
  <c r="AD285" i="13"/>
  <c r="AG285" i="13"/>
  <c r="AH285" i="13"/>
  <c r="W284" i="13"/>
  <c r="AE284" i="13" s="1"/>
  <c r="Z284" i="13"/>
  <c r="AA284" i="13"/>
  <c r="AB284" i="13"/>
  <c r="AD284" i="13"/>
  <c r="AF284" i="13"/>
  <c r="AG284" i="13"/>
  <c r="AH284" i="13"/>
  <c r="W283" i="13"/>
  <c r="AE283" i="13" s="1"/>
  <c r="Z283" i="13"/>
  <c r="AA283" i="13"/>
  <c r="AB283" i="13"/>
  <c r="AD283" i="13"/>
  <c r="AF283" i="13"/>
  <c r="AG283" i="13"/>
  <c r="AH283" i="13"/>
  <c r="W282" i="13"/>
  <c r="AE282" i="13" s="1"/>
  <c r="Z282" i="13"/>
  <c r="AA282" i="13"/>
  <c r="AB282" i="13"/>
  <c r="AD282" i="13"/>
  <c r="AG282" i="13"/>
  <c r="AH282" i="13"/>
  <c r="W281" i="13"/>
  <c r="AE281" i="13" s="1"/>
  <c r="Z281" i="13"/>
  <c r="AA281" i="13"/>
  <c r="AB281" i="13"/>
  <c r="AD281" i="13"/>
  <c r="AF281" i="13"/>
  <c r="AG281" i="13"/>
  <c r="AH281" i="13"/>
  <c r="W280" i="13"/>
  <c r="AE280" i="13" s="1"/>
  <c r="Z280" i="13"/>
  <c r="AA280" i="13"/>
  <c r="AB280" i="13"/>
  <c r="AD280" i="13"/>
  <c r="AF280" i="13"/>
  <c r="AG280" i="13"/>
  <c r="AH280" i="13"/>
  <c r="W279" i="13"/>
  <c r="AE279" i="13" s="1"/>
  <c r="Z279" i="13"/>
  <c r="AA279" i="13"/>
  <c r="AB279" i="13"/>
  <c r="AD279" i="13"/>
  <c r="AF279" i="13"/>
  <c r="AG279" i="13"/>
  <c r="AH279" i="13"/>
  <c r="W278" i="13"/>
  <c r="AE278" i="13" s="1"/>
  <c r="Z278" i="13"/>
  <c r="AA278" i="13"/>
  <c r="AB278" i="13"/>
  <c r="AD278" i="13"/>
  <c r="AG278" i="13"/>
  <c r="AH278" i="13"/>
  <c r="W277" i="13"/>
  <c r="AE277" i="13" s="1"/>
  <c r="Z277" i="13"/>
  <c r="AA277" i="13"/>
  <c r="AB277" i="13"/>
  <c r="AD277" i="13"/>
  <c r="AF277" i="13"/>
  <c r="AG277" i="13"/>
  <c r="AH277" i="13"/>
  <c r="W276" i="13"/>
  <c r="AE276" i="13" s="1"/>
  <c r="Z276" i="13"/>
  <c r="AA276" i="13"/>
  <c r="AB276" i="13"/>
  <c r="AD276" i="13"/>
  <c r="AF276" i="13"/>
  <c r="AG276" i="13"/>
  <c r="AH276" i="13"/>
  <c r="W275" i="13"/>
  <c r="AE275" i="13" s="1"/>
  <c r="Z275" i="13"/>
  <c r="AA275" i="13"/>
  <c r="AB275" i="13"/>
  <c r="AD275" i="13"/>
  <c r="AF275" i="13"/>
  <c r="AG275" i="13"/>
  <c r="AH275" i="13"/>
  <c r="X317" i="13" l="1"/>
  <c r="AC317" i="13" s="1"/>
  <c r="X308" i="13"/>
  <c r="AC308" i="13" s="1"/>
  <c r="Y308" i="13"/>
  <c r="X316" i="13"/>
  <c r="AC316" i="13" s="1"/>
  <c r="Y317" i="13"/>
  <c r="X318" i="13"/>
  <c r="AC318" i="13" s="1"/>
  <c r="Y316" i="13"/>
  <c r="Y318" i="13"/>
  <c r="X276" i="13"/>
  <c r="AC276" i="13" s="1"/>
  <c r="X278" i="13"/>
  <c r="AC278" i="13" s="1"/>
  <c r="X284" i="13"/>
  <c r="AC284" i="13" s="1"/>
  <c r="X286" i="13"/>
  <c r="AC286" i="13" s="1"/>
  <c r="X288" i="13"/>
  <c r="AC288" i="13" s="1"/>
  <c r="X307" i="13"/>
  <c r="AC307" i="13" s="1"/>
  <c r="X310" i="13"/>
  <c r="AC310" i="13" s="1"/>
  <c r="X312" i="13"/>
  <c r="AC312" i="13" s="1"/>
  <c r="X290" i="13"/>
  <c r="AC290" i="13" s="1"/>
  <c r="X296" i="13"/>
  <c r="AC296" i="13" s="1"/>
  <c r="X298" i="13"/>
  <c r="AC298" i="13" s="1"/>
  <c r="X300" i="13"/>
  <c r="AC300" i="13" s="1"/>
  <c r="X306" i="13"/>
  <c r="AC306" i="13" s="1"/>
  <c r="AF307" i="13"/>
  <c r="Y307" i="13" s="1"/>
  <c r="X315" i="13"/>
  <c r="AC315" i="13" s="1"/>
  <c r="Y315" i="13"/>
  <c r="X280" i="13"/>
  <c r="AC280" i="13" s="1"/>
  <c r="X282" i="13"/>
  <c r="AC282" i="13" s="1"/>
  <c r="X292" i="13"/>
  <c r="AC292" i="13" s="1"/>
  <c r="X294" i="13"/>
  <c r="AC294" i="13" s="1"/>
  <c r="X302" i="13"/>
  <c r="AC302" i="13" s="1"/>
  <c r="X304" i="13"/>
  <c r="AC304" i="13" s="1"/>
  <c r="X314" i="13"/>
  <c r="AC314" i="13" s="1"/>
  <c r="X275" i="13"/>
  <c r="AC275" i="13" s="1"/>
  <c r="X277" i="13"/>
  <c r="AC277" i="13" s="1"/>
  <c r="AF278" i="13"/>
  <c r="X279" i="13"/>
  <c r="AC279" i="13" s="1"/>
  <c r="X281" i="13"/>
  <c r="AC281" i="13" s="1"/>
  <c r="AF282" i="13"/>
  <c r="Y282" i="13" s="1"/>
  <c r="X283" i="13"/>
  <c r="AC283" i="13" s="1"/>
  <c r="X285" i="13"/>
  <c r="AC285" i="13" s="1"/>
  <c r="AF286" i="13"/>
  <c r="Y286" i="13" s="1"/>
  <c r="X287" i="13"/>
  <c r="AC287" i="13" s="1"/>
  <c r="AF288" i="13"/>
  <c r="Y288" i="13" s="1"/>
  <c r="X289" i="13"/>
  <c r="AC289" i="13" s="1"/>
  <c r="AF290" i="13"/>
  <c r="Y290" i="13" s="1"/>
  <c r="X291" i="13"/>
  <c r="AC291" i="13" s="1"/>
  <c r="X293" i="13"/>
  <c r="AC293" i="13" s="1"/>
  <c r="AF294" i="13"/>
  <c r="Y294" i="13" s="1"/>
  <c r="X295" i="13"/>
  <c r="AC295" i="13" s="1"/>
  <c r="X297" i="13"/>
  <c r="AC297" i="13" s="1"/>
  <c r="AF298" i="13"/>
  <c r="Y298" i="13" s="1"/>
  <c r="X299" i="13"/>
  <c r="AC299" i="13" s="1"/>
  <c r="AF300" i="13"/>
  <c r="Y300" i="13" s="1"/>
  <c r="X301" i="13"/>
  <c r="AC301" i="13" s="1"/>
  <c r="X303" i="13"/>
  <c r="AC303" i="13" s="1"/>
  <c r="AF304" i="13"/>
  <c r="Y304" i="13" s="1"/>
  <c r="X305" i="13"/>
  <c r="AC305" i="13" s="1"/>
  <c r="X309" i="13"/>
  <c r="AC309" i="13" s="1"/>
  <c r="AF310" i="13"/>
  <c r="Y310" i="13" s="1"/>
  <c r="X311" i="13"/>
  <c r="AC311" i="13" s="1"/>
  <c r="AF312" i="13"/>
  <c r="Y312" i="13" s="1"/>
  <c r="X313" i="13"/>
  <c r="AC313" i="13" s="1"/>
  <c r="Y275" i="13"/>
  <c r="Y277" i="13"/>
  <c r="Y279" i="13"/>
  <c r="Y281" i="13"/>
  <c r="Y283" i="13"/>
  <c r="Y285" i="13"/>
  <c r="Y287" i="13"/>
  <c r="Y289" i="13"/>
  <c r="Y291" i="13"/>
  <c r="Y293" i="13"/>
  <c r="Y295" i="13"/>
  <c r="Y297" i="13"/>
  <c r="Y299" i="13"/>
  <c r="Y301" i="13"/>
  <c r="Y303" i="13"/>
  <c r="Y305" i="13"/>
  <c r="Y309" i="13"/>
  <c r="Y311" i="13"/>
  <c r="Y313" i="13"/>
  <c r="Y276" i="13"/>
  <c r="Y278" i="13"/>
  <c r="Y280" i="13"/>
  <c r="Y284" i="13"/>
  <c r="Y292" i="13"/>
  <c r="Y296" i="13"/>
  <c r="Y302" i="13"/>
  <c r="Y306" i="13"/>
  <c r="Y314" i="13"/>
  <c r="W274" i="13"/>
  <c r="AE274" i="13" s="1"/>
  <c r="Z274" i="13"/>
  <c r="AA274" i="13"/>
  <c r="AB274" i="13"/>
  <c r="AD274" i="13"/>
  <c r="AG274" i="13"/>
  <c r="AH274" i="13"/>
  <c r="W273" i="13"/>
  <c r="AE273" i="13" s="1"/>
  <c r="Z273" i="13"/>
  <c r="AA273" i="13"/>
  <c r="AB273" i="13"/>
  <c r="AD273" i="13"/>
  <c r="AF273" i="13"/>
  <c r="AG273" i="13"/>
  <c r="AH273" i="13"/>
  <c r="W272" i="13"/>
  <c r="AE272" i="13" s="1"/>
  <c r="Z272" i="13"/>
  <c r="AA272" i="13"/>
  <c r="AB272" i="13"/>
  <c r="AD272" i="13"/>
  <c r="AF272" i="13"/>
  <c r="AG272" i="13"/>
  <c r="AH272" i="13"/>
  <c r="W271" i="13"/>
  <c r="AE271" i="13" s="1"/>
  <c r="Z271" i="13"/>
  <c r="AF271" i="13" s="1"/>
  <c r="AA271" i="13"/>
  <c r="AB271" i="13"/>
  <c r="AD271" i="13"/>
  <c r="AG271" i="13"/>
  <c r="AH271" i="13"/>
  <c r="W270" i="13"/>
  <c r="AE270" i="13" s="1"/>
  <c r="Z270" i="13"/>
  <c r="AA270" i="13"/>
  <c r="AB270" i="13"/>
  <c r="AD270" i="13"/>
  <c r="AF270" i="13"/>
  <c r="AG270" i="13"/>
  <c r="AH270" i="13"/>
  <c r="W269" i="13"/>
  <c r="AE269" i="13" s="1"/>
  <c r="Z269" i="13"/>
  <c r="AA269" i="13"/>
  <c r="AB269" i="13"/>
  <c r="AD269" i="13"/>
  <c r="AF269" i="13"/>
  <c r="AG269" i="13"/>
  <c r="AH269" i="13"/>
  <c r="W268" i="13"/>
  <c r="AE268" i="13" s="1"/>
  <c r="Z268" i="13"/>
  <c r="AA268" i="13"/>
  <c r="AB268" i="13"/>
  <c r="AD268" i="13"/>
  <c r="AF268" i="13"/>
  <c r="AG268" i="13"/>
  <c r="AH268" i="13"/>
  <c r="X272" i="13" l="1"/>
  <c r="AC272" i="13" s="1"/>
  <c r="X274" i="13"/>
  <c r="AC274" i="13" s="1"/>
  <c r="X271" i="13"/>
  <c r="AC271" i="13" s="1"/>
  <c r="Y271" i="13"/>
  <c r="X269" i="13"/>
  <c r="AC269" i="13" s="1"/>
  <c r="X268" i="13"/>
  <c r="AC268" i="13" s="1"/>
  <c r="Y269" i="13"/>
  <c r="X270" i="13"/>
  <c r="AC270" i="13" s="1"/>
  <c r="X273" i="13"/>
  <c r="AC273" i="13" s="1"/>
  <c r="AF274" i="13"/>
  <c r="Y274" i="13" s="1"/>
  <c r="Y268" i="13"/>
  <c r="Y270" i="13"/>
  <c r="Y273" i="13"/>
  <c r="Y272" i="13"/>
  <c r="W267" i="13"/>
  <c r="AE267" i="13" s="1"/>
  <c r="Z267" i="13"/>
  <c r="AA267" i="13"/>
  <c r="AB267" i="13"/>
  <c r="AD267" i="13"/>
  <c r="AF267" i="13"/>
  <c r="AG267" i="13"/>
  <c r="AH267" i="13"/>
  <c r="W266" i="13"/>
  <c r="AE266" i="13" s="1"/>
  <c r="Z266" i="13"/>
  <c r="AA266" i="13"/>
  <c r="AB266" i="13"/>
  <c r="AD266" i="13"/>
  <c r="AG266" i="13"/>
  <c r="AH266" i="13"/>
  <c r="W265" i="13"/>
  <c r="AE265" i="13" s="1"/>
  <c r="Z265" i="13"/>
  <c r="AA265" i="13"/>
  <c r="AB265" i="13"/>
  <c r="AD265" i="13"/>
  <c r="AF265" i="13"/>
  <c r="AG265" i="13"/>
  <c r="AH265" i="13"/>
  <c r="W264" i="13"/>
  <c r="AE264" i="13" s="1"/>
  <c r="Z264" i="13"/>
  <c r="AA264" i="13"/>
  <c r="AB264" i="13"/>
  <c r="AD264" i="13"/>
  <c r="AF264" i="13"/>
  <c r="AG264" i="13"/>
  <c r="AH264" i="13"/>
  <c r="W263" i="13"/>
  <c r="AE263" i="13" s="1"/>
  <c r="Z263" i="13"/>
  <c r="AA263" i="13"/>
  <c r="AB263" i="13"/>
  <c r="AD263" i="13"/>
  <c r="AF263" i="13"/>
  <c r="AG263" i="13"/>
  <c r="AH263" i="13"/>
  <c r="W262" i="13"/>
  <c r="AE262" i="13" s="1"/>
  <c r="Z262" i="13"/>
  <c r="AA262" i="13"/>
  <c r="AB262" i="13"/>
  <c r="AD262" i="13"/>
  <c r="AG262" i="13"/>
  <c r="AH262" i="13"/>
  <c r="W261" i="13"/>
  <c r="AE261" i="13" s="1"/>
  <c r="Z261" i="13"/>
  <c r="AA261" i="13"/>
  <c r="AB261" i="13"/>
  <c r="AD261" i="13"/>
  <c r="AF261" i="13"/>
  <c r="AG261" i="13"/>
  <c r="AH261" i="13"/>
  <c r="W260" i="13"/>
  <c r="AE260" i="13" s="1"/>
  <c r="Z260" i="13"/>
  <c r="AA260" i="13"/>
  <c r="AB260" i="13"/>
  <c r="AD260" i="13"/>
  <c r="AF260" i="13"/>
  <c r="AG260" i="13"/>
  <c r="AH260" i="13"/>
  <c r="W259" i="13"/>
  <c r="AE259" i="13" s="1"/>
  <c r="Z259" i="13"/>
  <c r="AF259" i="13" s="1"/>
  <c r="AA259" i="13"/>
  <c r="AB259" i="13"/>
  <c r="AD259" i="13"/>
  <c r="AG259" i="13"/>
  <c r="AH259" i="13"/>
  <c r="W258" i="13"/>
  <c r="AE258" i="13" s="1"/>
  <c r="Z258" i="13"/>
  <c r="AA258" i="13"/>
  <c r="AB258" i="13"/>
  <c r="AD258" i="13"/>
  <c r="AF258" i="13"/>
  <c r="AG258" i="13"/>
  <c r="AH258" i="13"/>
  <c r="W257" i="13"/>
  <c r="AE257" i="13" s="1"/>
  <c r="Z257" i="13"/>
  <c r="AA257" i="13"/>
  <c r="AB257" i="13"/>
  <c r="AD257" i="13"/>
  <c r="AF257" i="13"/>
  <c r="AG257" i="13"/>
  <c r="AH257" i="13"/>
  <c r="W256" i="13"/>
  <c r="AE256" i="13" s="1"/>
  <c r="Z256" i="13"/>
  <c r="AA256" i="13"/>
  <c r="AB256" i="13"/>
  <c r="AD256" i="13"/>
  <c r="AF256" i="13"/>
  <c r="AG256" i="13"/>
  <c r="AH256" i="13"/>
  <c r="W255" i="13"/>
  <c r="AE255" i="13" s="1"/>
  <c r="Z255" i="13"/>
  <c r="AF255" i="13" s="1"/>
  <c r="AA255" i="13"/>
  <c r="AB255" i="13"/>
  <c r="AD255" i="13"/>
  <c r="AG255" i="13"/>
  <c r="AH255" i="13"/>
  <c r="W254" i="13"/>
  <c r="AE254" i="13" s="1"/>
  <c r="Z254" i="13"/>
  <c r="AF254" i="13" s="1"/>
  <c r="AA254" i="13"/>
  <c r="AB254" i="13"/>
  <c r="AD254" i="13"/>
  <c r="AG254" i="13"/>
  <c r="AH254" i="13"/>
  <c r="X256" i="13" l="1"/>
  <c r="AC256" i="13" s="1"/>
  <c r="X260" i="13"/>
  <c r="AC260" i="13" s="1"/>
  <c r="X262" i="13"/>
  <c r="AC262" i="13" s="1"/>
  <c r="X258" i="13"/>
  <c r="AC258" i="13" s="1"/>
  <c r="X264" i="13"/>
  <c r="AC264" i="13" s="1"/>
  <c r="X266" i="13"/>
  <c r="AC266" i="13" s="1"/>
  <c r="X257" i="13"/>
  <c r="AC257" i="13" s="1"/>
  <c r="X259" i="13"/>
  <c r="AC259" i="13" s="1"/>
  <c r="X261" i="13"/>
  <c r="AC261" i="13" s="1"/>
  <c r="AF262" i="13"/>
  <c r="Y262" i="13" s="1"/>
  <c r="X263" i="13"/>
  <c r="AC263" i="13" s="1"/>
  <c r="X265" i="13"/>
  <c r="AC265" i="13" s="1"/>
  <c r="AF266" i="13"/>
  <c r="Y266" i="13" s="1"/>
  <c r="X267" i="13"/>
  <c r="AC267" i="13" s="1"/>
  <c r="Y255" i="13"/>
  <c r="Y257" i="13"/>
  <c r="Y259" i="13"/>
  <c r="Y261" i="13"/>
  <c r="Y263" i="13"/>
  <c r="Y265" i="13"/>
  <c r="Y267" i="13"/>
  <c r="Y256" i="13"/>
  <c r="Y258" i="13"/>
  <c r="Y260" i="13"/>
  <c r="Y264" i="13"/>
  <c r="X254" i="13"/>
  <c r="AC254" i="13" s="1"/>
  <c r="Y254" i="13"/>
  <c r="X255" i="13"/>
  <c r="AC255" i="13" s="1"/>
  <c r="W253" i="13"/>
  <c r="AE253" i="13" s="1"/>
  <c r="Z253" i="13"/>
  <c r="AF253" i="13" s="1"/>
  <c r="AA253" i="13"/>
  <c r="AB253" i="13"/>
  <c r="AD253" i="13"/>
  <c r="AG253" i="13"/>
  <c r="AH253" i="13"/>
  <c r="W252" i="13"/>
  <c r="AE252" i="13" s="1"/>
  <c r="Z252" i="13"/>
  <c r="AA252" i="13"/>
  <c r="AB252" i="13"/>
  <c r="AD252" i="13"/>
  <c r="AF252" i="13"/>
  <c r="AG252" i="13"/>
  <c r="AH252" i="13"/>
  <c r="W251" i="13"/>
  <c r="AE251" i="13" s="1"/>
  <c r="Z251" i="13"/>
  <c r="AA251" i="13"/>
  <c r="AB251" i="13"/>
  <c r="AD251" i="13"/>
  <c r="AF251" i="13"/>
  <c r="AG251" i="13"/>
  <c r="AH251" i="13"/>
  <c r="W250" i="13"/>
  <c r="AE250" i="13" s="1"/>
  <c r="Z250" i="13"/>
  <c r="AA250" i="13"/>
  <c r="AB250" i="13"/>
  <c r="AD250" i="13"/>
  <c r="AF250" i="13"/>
  <c r="AG250" i="13"/>
  <c r="AH250" i="13"/>
  <c r="W249" i="13"/>
  <c r="AE249" i="13" s="1"/>
  <c r="Z249" i="13"/>
  <c r="AA249" i="13"/>
  <c r="AB249" i="13"/>
  <c r="AD249" i="13"/>
  <c r="AF249" i="13"/>
  <c r="AG249" i="13"/>
  <c r="AH249" i="13"/>
  <c r="W248" i="13"/>
  <c r="AE248" i="13" s="1"/>
  <c r="Z248" i="13"/>
  <c r="AA248" i="13"/>
  <c r="AB248" i="13"/>
  <c r="AD248" i="13"/>
  <c r="AF248" i="13"/>
  <c r="AG248" i="13"/>
  <c r="AH248" i="13"/>
  <c r="W247" i="13"/>
  <c r="AE247" i="13" s="1"/>
  <c r="Z247" i="13"/>
  <c r="AA247" i="13"/>
  <c r="AB247" i="13"/>
  <c r="AD247" i="13"/>
  <c r="AG247" i="13"/>
  <c r="AH247" i="13"/>
  <c r="W246" i="13"/>
  <c r="AE246" i="13" s="1"/>
  <c r="Z246" i="13"/>
  <c r="AA246" i="13"/>
  <c r="AB246" i="13"/>
  <c r="AD246" i="13"/>
  <c r="AF246" i="13"/>
  <c r="AG246" i="13"/>
  <c r="AH246" i="13"/>
  <c r="W245" i="13"/>
  <c r="AE245" i="13" s="1"/>
  <c r="Z245" i="13"/>
  <c r="AA245" i="13"/>
  <c r="AB245" i="13"/>
  <c r="AD245" i="13"/>
  <c r="AF245" i="13"/>
  <c r="AG245" i="13"/>
  <c r="AH245" i="13"/>
  <c r="W244" i="13"/>
  <c r="AE244" i="13" s="1"/>
  <c r="Z244" i="13"/>
  <c r="AA244" i="13"/>
  <c r="AB244" i="13"/>
  <c r="AD244" i="13"/>
  <c r="AG244" i="13"/>
  <c r="AH244" i="13"/>
  <c r="W243" i="13"/>
  <c r="AE243" i="13" s="1"/>
  <c r="Z243" i="13"/>
  <c r="AA243" i="13"/>
  <c r="AB243" i="13"/>
  <c r="AD243" i="13"/>
  <c r="AF243" i="13"/>
  <c r="AG243" i="13"/>
  <c r="AH243" i="13"/>
  <c r="W242" i="13"/>
  <c r="AE242" i="13" s="1"/>
  <c r="Z242" i="13"/>
  <c r="AA242" i="13"/>
  <c r="AB242" i="13"/>
  <c r="AD242" i="13"/>
  <c r="AF242" i="13"/>
  <c r="AG242" i="13"/>
  <c r="AH242" i="13"/>
  <c r="W241" i="13"/>
  <c r="AE241" i="13" s="1"/>
  <c r="Z241" i="13"/>
  <c r="AA241" i="13"/>
  <c r="AB241" i="13"/>
  <c r="AD241" i="13"/>
  <c r="AF241" i="13"/>
  <c r="AG241" i="13"/>
  <c r="AH241" i="13"/>
  <c r="W240" i="13"/>
  <c r="AE240" i="13" s="1"/>
  <c r="Z240" i="13"/>
  <c r="AA240" i="13"/>
  <c r="AB240" i="13"/>
  <c r="AD240" i="13"/>
  <c r="AG240" i="13"/>
  <c r="AH240" i="13"/>
  <c r="W232" i="13"/>
  <c r="AE232" i="13" s="1"/>
  <c r="Z232" i="13"/>
  <c r="AA232" i="13"/>
  <c r="W239" i="13"/>
  <c r="AE239" i="13" s="1"/>
  <c r="Z239" i="13"/>
  <c r="AA239" i="13"/>
  <c r="AB239" i="13"/>
  <c r="AD239" i="13"/>
  <c r="AG239" i="13"/>
  <c r="AH239" i="13"/>
  <c r="W238" i="13"/>
  <c r="AE238" i="13" s="1"/>
  <c r="Z238" i="13"/>
  <c r="AA238" i="13"/>
  <c r="AB238" i="13"/>
  <c r="AD238" i="13"/>
  <c r="AF238" i="13"/>
  <c r="AG238" i="13"/>
  <c r="AH238" i="13"/>
  <c r="W237" i="13"/>
  <c r="AE237" i="13" s="1"/>
  <c r="Z237" i="13"/>
  <c r="AA237" i="13"/>
  <c r="AB237" i="13"/>
  <c r="AD237" i="13"/>
  <c r="AF237" i="13"/>
  <c r="AG237" i="13"/>
  <c r="AH237" i="13"/>
  <c r="W236" i="13"/>
  <c r="AE236" i="13" s="1"/>
  <c r="Z236" i="13"/>
  <c r="AA236" i="13"/>
  <c r="AB236" i="13"/>
  <c r="AD236" i="13"/>
  <c r="AG236" i="13"/>
  <c r="AH236" i="13"/>
  <c r="W235" i="13"/>
  <c r="AE235" i="13" s="1"/>
  <c r="Z235" i="13"/>
  <c r="AA235" i="13"/>
  <c r="AB235" i="13"/>
  <c r="AD235" i="13"/>
  <c r="AF235" i="13"/>
  <c r="AG235" i="13"/>
  <c r="AH235" i="13"/>
  <c r="W234" i="13"/>
  <c r="AE234" i="13" s="1"/>
  <c r="Z234" i="13"/>
  <c r="AA234" i="13"/>
  <c r="AB234" i="13"/>
  <c r="AD234" i="13"/>
  <c r="AG234" i="13"/>
  <c r="AH234" i="13"/>
  <c r="W233" i="13"/>
  <c r="AE233" i="13" s="1"/>
  <c r="Z233" i="13"/>
  <c r="AA233" i="13"/>
  <c r="AB233" i="13"/>
  <c r="AD233" i="13"/>
  <c r="AF233" i="13"/>
  <c r="AG233" i="13"/>
  <c r="AH233" i="13"/>
  <c r="AB232" i="13"/>
  <c r="AD232" i="13"/>
  <c r="AF232" i="13"/>
  <c r="AG232" i="13"/>
  <c r="AH232" i="13"/>
  <c r="W231" i="13"/>
  <c r="AE231" i="13" s="1"/>
  <c r="Z231" i="13"/>
  <c r="AA231" i="13"/>
  <c r="AB231" i="13"/>
  <c r="AD231" i="13"/>
  <c r="AF231" i="13"/>
  <c r="AG231" i="13"/>
  <c r="AH231" i="13"/>
  <c r="W230" i="13"/>
  <c r="AE230" i="13" s="1"/>
  <c r="Z230" i="13"/>
  <c r="AA230" i="13"/>
  <c r="AB230" i="13"/>
  <c r="AD230" i="13"/>
  <c r="AF230" i="13"/>
  <c r="AG230" i="13"/>
  <c r="AH230" i="13"/>
  <c r="W229" i="13"/>
  <c r="AE229" i="13" s="1"/>
  <c r="Z229" i="13"/>
  <c r="AF229" i="13" s="1"/>
  <c r="AA229" i="13"/>
  <c r="AB229" i="13"/>
  <c r="AD229" i="13"/>
  <c r="AG229" i="13"/>
  <c r="AH229" i="13"/>
  <c r="X240" i="13" l="1"/>
  <c r="AC240" i="13" s="1"/>
  <c r="X244" i="13"/>
  <c r="AC244" i="13" s="1"/>
  <c r="X249" i="13"/>
  <c r="AC249" i="13" s="1"/>
  <c r="X239" i="13"/>
  <c r="AC239" i="13" s="1"/>
  <c r="X252" i="13"/>
  <c r="AC252" i="13" s="1"/>
  <c r="X229" i="13"/>
  <c r="AC229" i="13" s="1"/>
  <c r="X238" i="13"/>
  <c r="AC238" i="13" s="1"/>
  <c r="AF239" i="13"/>
  <c r="AF240" i="13"/>
  <c r="Y240" i="13" s="1"/>
  <c r="X242" i="13"/>
  <c r="AC242" i="13" s="1"/>
  <c r="AF244" i="13"/>
  <c r="Y244" i="13" s="1"/>
  <c r="X245" i="13"/>
  <c r="AC245" i="13" s="1"/>
  <c r="X248" i="13"/>
  <c r="AC248" i="13" s="1"/>
  <c r="X251" i="13"/>
  <c r="AC251" i="13" s="1"/>
  <c r="X253" i="13"/>
  <c r="AC253" i="13" s="1"/>
  <c r="Y239" i="13"/>
  <c r="Y249" i="13"/>
  <c r="Y252" i="13"/>
  <c r="Y229" i="13"/>
  <c r="Y238" i="13"/>
  <c r="Y242" i="13"/>
  <c r="Y245" i="13"/>
  <c r="Y248" i="13"/>
  <c r="Y251" i="13"/>
  <c r="Y253" i="13"/>
  <c r="X234" i="13"/>
  <c r="AC234" i="13" s="1"/>
  <c r="Y232" i="13"/>
  <c r="Y233" i="13"/>
  <c r="X232" i="13"/>
  <c r="AC232" i="13" s="1"/>
  <c r="X233" i="13"/>
  <c r="AC233" i="13" s="1"/>
  <c r="AF234" i="13"/>
  <c r="Y234" i="13" s="1"/>
  <c r="X236" i="13"/>
  <c r="AC236" i="13" s="1"/>
  <c r="X243" i="13"/>
  <c r="AC243" i="13" s="1"/>
  <c r="X247" i="13"/>
  <c r="AC247" i="13" s="1"/>
  <c r="X235" i="13"/>
  <c r="AC235" i="13" s="1"/>
  <c r="AF236" i="13"/>
  <c r="X237" i="13"/>
  <c r="AC237" i="13" s="1"/>
  <c r="X241" i="13"/>
  <c r="AC241" i="13" s="1"/>
  <c r="X246" i="13"/>
  <c r="AC246" i="13" s="1"/>
  <c r="AF247" i="13"/>
  <c r="Y247" i="13" s="1"/>
  <c r="X250" i="13"/>
  <c r="AC250" i="13" s="1"/>
  <c r="Y243" i="13"/>
  <c r="Y241" i="13"/>
  <c r="Y236" i="13"/>
  <c r="Y246" i="13"/>
  <c r="Y250" i="13"/>
  <c r="Y235" i="13"/>
  <c r="Y237" i="13"/>
  <c r="X230" i="13"/>
  <c r="AC230" i="13" s="1"/>
  <c r="Y230" i="13"/>
  <c r="X231" i="13"/>
  <c r="AC231" i="13" s="1"/>
  <c r="Y231" i="13"/>
  <c r="G92" i="2"/>
  <c r="W228" i="13"/>
  <c r="AE228" i="13" s="1"/>
  <c r="Z228" i="13"/>
  <c r="AA228" i="13"/>
  <c r="AB228" i="13"/>
  <c r="AD228" i="13"/>
  <c r="AF228" i="13"/>
  <c r="AG228" i="13"/>
  <c r="AH228" i="13"/>
  <c r="W227" i="13"/>
  <c r="AE227" i="13" s="1"/>
  <c r="Z227" i="13"/>
  <c r="AA227" i="13"/>
  <c r="AB227" i="13"/>
  <c r="AD227" i="13"/>
  <c r="AF227" i="13"/>
  <c r="AG227" i="13"/>
  <c r="AH227" i="13"/>
  <c r="W226" i="13"/>
  <c r="AE226" i="13" s="1"/>
  <c r="Z226" i="13"/>
  <c r="AA226" i="13"/>
  <c r="AB226" i="13"/>
  <c r="AD226" i="13"/>
  <c r="AF226" i="13"/>
  <c r="AG226" i="13"/>
  <c r="AH226" i="13"/>
  <c r="W225" i="13"/>
  <c r="AE225" i="13" s="1"/>
  <c r="Z225" i="13"/>
  <c r="AA225" i="13"/>
  <c r="AB225" i="13"/>
  <c r="AD225" i="13"/>
  <c r="AF225" i="13"/>
  <c r="AG225" i="13"/>
  <c r="AH225" i="13"/>
  <c r="W224" i="13"/>
  <c r="AE224" i="13" s="1"/>
  <c r="Z224" i="13"/>
  <c r="AA224" i="13"/>
  <c r="AB224" i="13"/>
  <c r="AD224" i="13"/>
  <c r="AF224" i="13"/>
  <c r="AG224" i="13"/>
  <c r="AH224" i="13"/>
  <c r="W223" i="13"/>
  <c r="AE223" i="13" s="1"/>
  <c r="Z223" i="13"/>
  <c r="AA223" i="13"/>
  <c r="AB223" i="13"/>
  <c r="AD223" i="13"/>
  <c r="AF223" i="13"/>
  <c r="AG223" i="13"/>
  <c r="AH223" i="13"/>
  <c r="W222" i="13"/>
  <c r="AE222" i="13" s="1"/>
  <c r="Z222" i="13"/>
  <c r="AA222" i="13"/>
  <c r="AB222" i="13"/>
  <c r="AD222" i="13"/>
  <c r="AF222" i="13"/>
  <c r="AG222" i="13"/>
  <c r="AH222" i="13"/>
  <c r="W221" i="13"/>
  <c r="AE221" i="13" s="1"/>
  <c r="Z221" i="13"/>
  <c r="AA221" i="13"/>
  <c r="AB221" i="13"/>
  <c r="AD221" i="13"/>
  <c r="AG221" i="13"/>
  <c r="AH221" i="13"/>
  <c r="W220" i="13"/>
  <c r="AE220" i="13" s="1"/>
  <c r="Z220" i="13"/>
  <c r="AF220" i="13" s="1"/>
  <c r="AA220" i="13"/>
  <c r="AB220" i="13"/>
  <c r="AD220" i="13"/>
  <c r="AG220" i="13"/>
  <c r="AH220" i="13"/>
  <c r="W219" i="13"/>
  <c r="AE219" i="13" s="1"/>
  <c r="Z219" i="13"/>
  <c r="AA219" i="13"/>
  <c r="AB219" i="13"/>
  <c r="AD219" i="13"/>
  <c r="AG219" i="13"/>
  <c r="AH219" i="13"/>
  <c r="W218" i="13"/>
  <c r="AE218" i="13" s="1"/>
  <c r="Z218" i="13"/>
  <c r="AA218" i="13"/>
  <c r="AB218" i="13"/>
  <c r="AD218" i="13"/>
  <c r="AF218" i="13"/>
  <c r="AG218" i="13"/>
  <c r="AH218" i="13"/>
  <c r="W217" i="13"/>
  <c r="AE217" i="13" s="1"/>
  <c r="Z217" i="13"/>
  <c r="AA217" i="13"/>
  <c r="AB217" i="13"/>
  <c r="AD217" i="13"/>
  <c r="AF217" i="13"/>
  <c r="AG217" i="13"/>
  <c r="AH217" i="13"/>
  <c r="W216" i="13"/>
  <c r="AE216" i="13" s="1"/>
  <c r="Z216" i="13"/>
  <c r="AA216" i="13"/>
  <c r="AB216" i="13"/>
  <c r="AD216" i="13"/>
  <c r="AG216" i="13"/>
  <c r="AH216" i="13"/>
  <c r="W215" i="13"/>
  <c r="AE215" i="13" s="1"/>
  <c r="Z215" i="13"/>
  <c r="AA215" i="13"/>
  <c r="AB215" i="13"/>
  <c r="AD215" i="13"/>
  <c r="AF215" i="13"/>
  <c r="AG215" i="13"/>
  <c r="AH215" i="13"/>
  <c r="W214" i="13"/>
  <c r="AE214" i="13" s="1"/>
  <c r="Z214" i="13"/>
  <c r="AA214" i="13"/>
  <c r="AB214" i="13"/>
  <c r="AD214" i="13"/>
  <c r="AF214" i="13"/>
  <c r="AG214" i="13"/>
  <c r="AH214" i="13"/>
  <c r="W213" i="13"/>
  <c r="AE213" i="13" s="1"/>
  <c r="Z213" i="13"/>
  <c r="AA213" i="13"/>
  <c r="AB213" i="13"/>
  <c r="AD213" i="13"/>
  <c r="AF213" i="13"/>
  <c r="AG213" i="13"/>
  <c r="AH213" i="13"/>
  <c r="W212" i="13"/>
  <c r="AE212" i="13" s="1"/>
  <c r="Z212" i="13"/>
  <c r="AA212" i="13"/>
  <c r="AB212" i="13"/>
  <c r="AD212" i="13"/>
  <c r="AG212" i="13"/>
  <c r="AH212" i="13"/>
  <c r="X227" i="13" l="1"/>
  <c r="AC227" i="13" s="1"/>
  <c r="X217" i="13"/>
  <c r="AC217" i="13" s="1"/>
  <c r="X228" i="13"/>
  <c r="AC228" i="13" s="1"/>
  <c r="Y227" i="13"/>
  <c r="Y217" i="13"/>
  <c r="Y228" i="13"/>
  <c r="X212" i="13"/>
  <c r="AC212" i="13" s="1"/>
  <c r="Y215" i="13"/>
  <c r="Y222" i="13"/>
  <c r="AF212" i="13"/>
  <c r="Y212" i="13" s="1"/>
  <c r="X215" i="13"/>
  <c r="AC215" i="13" s="1"/>
  <c r="X222" i="13"/>
  <c r="AC222" i="13" s="1"/>
  <c r="X216" i="13"/>
  <c r="AC216" i="13" s="1"/>
  <c r="X219" i="13"/>
  <c r="AC219" i="13" s="1"/>
  <c r="X221" i="13"/>
  <c r="AC221" i="13" s="1"/>
  <c r="X213" i="13"/>
  <c r="AC213" i="13" s="1"/>
  <c r="AF216" i="13"/>
  <c r="Y216" i="13" s="1"/>
  <c r="X224" i="13"/>
  <c r="AC224" i="13" s="1"/>
  <c r="X214" i="13"/>
  <c r="AC214" i="13" s="1"/>
  <c r="X218" i="13"/>
  <c r="AC218" i="13" s="1"/>
  <c r="AF219" i="13"/>
  <c r="Y219" i="13" s="1"/>
  <c r="X220" i="13"/>
  <c r="AC220" i="13" s="1"/>
  <c r="AF221" i="13"/>
  <c r="Y221" i="13" s="1"/>
  <c r="X223" i="13"/>
  <c r="AC223" i="13" s="1"/>
  <c r="X226" i="13"/>
  <c r="AC226" i="13" s="1"/>
  <c r="Y214" i="13"/>
  <c r="Y218" i="13"/>
  <c r="Y220" i="13"/>
  <c r="Y223" i="13"/>
  <c r="Y226" i="13"/>
  <c r="Y213" i="13"/>
  <c r="Y224" i="13"/>
  <c r="X225" i="13"/>
  <c r="AC225" i="13" s="1"/>
  <c r="Y225" i="13"/>
  <c r="W211" i="13"/>
  <c r="AE211" i="13" s="1"/>
  <c r="Z211" i="13"/>
  <c r="AA211" i="13"/>
  <c r="AB211" i="13"/>
  <c r="AD211" i="13"/>
  <c r="AF211" i="13"/>
  <c r="AG211" i="13"/>
  <c r="AH211" i="13"/>
  <c r="W210" i="13"/>
  <c r="AE210" i="13" s="1"/>
  <c r="Z210" i="13"/>
  <c r="AA210" i="13"/>
  <c r="AB210" i="13"/>
  <c r="AD210" i="13"/>
  <c r="AF210" i="13"/>
  <c r="AG210" i="13"/>
  <c r="AH210" i="13"/>
  <c r="W209" i="13"/>
  <c r="AE209" i="13" s="1"/>
  <c r="Z209" i="13"/>
  <c r="AA209" i="13"/>
  <c r="AB209" i="13"/>
  <c r="AD209" i="13"/>
  <c r="AF209" i="13"/>
  <c r="AG209" i="13"/>
  <c r="AH209" i="13"/>
  <c r="W208" i="13"/>
  <c r="AE208" i="13" s="1"/>
  <c r="Z208" i="13"/>
  <c r="AA208" i="13"/>
  <c r="AB208" i="13"/>
  <c r="AD208" i="13"/>
  <c r="AF208" i="13"/>
  <c r="AG208" i="13"/>
  <c r="AH208" i="13"/>
  <c r="W207" i="13"/>
  <c r="AE207" i="13" s="1"/>
  <c r="Z207" i="13"/>
  <c r="AA207" i="13"/>
  <c r="AB207" i="13"/>
  <c r="AD207" i="13"/>
  <c r="AF207" i="13"/>
  <c r="AG207" i="13"/>
  <c r="AH207" i="13"/>
  <c r="W206" i="13"/>
  <c r="AE206" i="13" s="1"/>
  <c r="Z206" i="13"/>
  <c r="AF206" i="13" s="1"/>
  <c r="AA206" i="13"/>
  <c r="AB206" i="13"/>
  <c r="AD206" i="13"/>
  <c r="AG206" i="13"/>
  <c r="AH206" i="13"/>
  <c r="W205" i="13"/>
  <c r="AE205" i="13" s="1"/>
  <c r="Z205" i="13"/>
  <c r="AA205" i="13"/>
  <c r="AB205" i="13"/>
  <c r="AD205" i="13"/>
  <c r="AG205" i="13"/>
  <c r="AH205" i="13"/>
  <c r="W204" i="13"/>
  <c r="AE204" i="13" s="1"/>
  <c r="Z204" i="13"/>
  <c r="AA204" i="13"/>
  <c r="AB204" i="13"/>
  <c r="AD204" i="13"/>
  <c r="AF204" i="13"/>
  <c r="AG204" i="13"/>
  <c r="AH204" i="13"/>
  <c r="W203" i="13"/>
  <c r="AE203" i="13" s="1"/>
  <c r="Z203" i="13"/>
  <c r="AA203" i="13"/>
  <c r="AB203" i="13"/>
  <c r="AD203" i="13"/>
  <c r="AF203" i="13"/>
  <c r="AG203" i="13"/>
  <c r="AH203" i="13"/>
  <c r="W202" i="13"/>
  <c r="AE202" i="13" s="1"/>
  <c r="Z202" i="13"/>
  <c r="AA202" i="13"/>
  <c r="AB202" i="13"/>
  <c r="AD202" i="13"/>
  <c r="AF202" i="13"/>
  <c r="AG202" i="13"/>
  <c r="AH202" i="13"/>
  <c r="W201" i="13"/>
  <c r="AE201" i="13" s="1"/>
  <c r="Z201" i="13"/>
  <c r="AA201" i="13"/>
  <c r="AB201" i="13"/>
  <c r="AD201" i="13"/>
  <c r="AF201" i="13"/>
  <c r="AG201" i="13"/>
  <c r="AH201" i="13"/>
  <c r="W200" i="13"/>
  <c r="AE200" i="13" s="1"/>
  <c r="Z200" i="13"/>
  <c r="AA200" i="13"/>
  <c r="AB200" i="13"/>
  <c r="AD200" i="13"/>
  <c r="AF200" i="13"/>
  <c r="AG200" i="13"/>
  <c r="AH200" i="13"/>
  <c r="W199" i="13"/>
  <c r="AE199" i="13" s="1"/>
  <c r="Z199" i="13"/>
  <c r="AA199" i="13"/>
  <c r="AB199" i="13"/>
  <c r="AD199" i="13"/>
  <c r="AF199" i="13"/>
  <c r="AG199" i="13"/>
  <c r="AH199" i="13"/>
  <c r="W198" i="13"/>
  <c r="AE198" i="13" s="1"/>
  <c r="Z198" i="13"/>
  <c r="AA198" i="13"/>
  <c r="AB198" i="13"/>
  <c r="AD198" i="13"/>
  <c r="AF198" i="13"/>
  <c r="AG198" i="13"/>
  <c r="AH198" i="13"/>
  <c r="W197" i="13"/>
  <c r="AE197" i="13" s="1"/>
  <c r="Z197" i="13"/>
  <c r="AA197" i="13"/>
  <c r="AB197" i="13"/>
  <c r="AD197" i="13"/>
  <c r="AG197" i="13"/>
  <c r="AH197" i="13"/>
  <c r="W196" i="13"/>
  <c r="AE196" i="13" s="1"/>
  <c r="Z196" i="13"/>
  <c r="AA196" i="13"/>
  <c r="AB196" i="13"/>
  <c r="AD196" i="13"/>
  <c r="AF196" i="13"/>
  <c r="AG196" i="13"/>
  <c r="AH196" i="13"/>
  <c r="W195" i="13"/>
  <c r="AE195" i="13" s="1"/>
  <c r="Z195" i="13"/>
  <c r="AA195" i="13"/>
  <c r="AB195" i="13"/>
  <c r="AD195" i="13"/>
  <c r="AF195" i="13"/>
  <c r="AG195" i="13"/>
  <c r="AH195" i="13"/>
  <c r="W194" i="13"/>
  <c r="AE194" i="13" s="1"/>
  <c r="Z194" i="13"/>
  <c r="AA194" i="13"/>
  <c r="AB194" i="13"/>
  <c r="AD194" i="13"/>
  <c r="AG194" i="13"/>
  <c r="AH194" i="13"/>
  <c r="W193" i="13"/>
  <c r="AE193" i="13" s="1"/>
  <c r="Z193" i="13"/>
  <c r="AA193" i="13"/>
  <c r="AB193" i="13"/>
  <c r="AD193" i="13"/>
  <c r="AF193" i="13"/>
  <c r="AG193" i="13"/>
  <c r="AH193" i="13"/>
  <c r="W192" i="13"/>
  <c r="AE192" i="13" s="1"/>
  <c r="Z192" i="13"/>
  <c r="AA192" i="13"/>
  <c r="AB192" i="13"/>
  <c r="AD192" i="13"/>
  <c r="AG192" i="13"/>
  <c r="AH192" i="13"/>
  <c r="W191" i="13"/>
  <c r="AE191" i="13" s="1"/>
  <c r="Z191" i="13"/>
  <c r="AF191" i="13" s="1"/>
  <c r="AA191" i="13"/>
  <c r="AB191" i="13"/>
  <c r="AD191" i="13"/>
  <c r="AG191" i="13"/>
  <c r="AH191" i="13"/>
  <c r="W190" i="13"/>
  <c r="AE190" i="13" s="1"/>
  <c r="Z190" i="13"/>
  <c r="AA190" i="13"/>
  <c r="AB190" i="13"/>
  <c r="AD190" i="13"/>
  <c r="AF190" i="13"/>
  <c r="AG190" i="13"/>
  <c r="AH190" i="13"/>
  <c r="W189" i="13"/>
  <c r="AE189" i="13" s="1"/>
  <c r="Z189" i="13"/>
  <c r="AA189" i="13"/>
  <c r="AB189" i="13"/>
  <c r="AD189" i="13"/>
  <c r="AF189" i="13"/>
  <c r="AG189" i="13"/>
  <c r="AH189" i="13"/>
  <c r="W188" i="13"/>
  <c r="AE188" i="13" s="1"/>
  <c r="Z188" i="13"/>
  <c r="AA188" i="13"/>
  <c r="AB188" i="13"/>
  <c r="AD188" i="13"/>
  <c r="AF188" i="13"/>
  <c r="AG188" i="13"/>
  <c r="AH188" i="13"/>
  <c r="W187" i="13"/>
  <c r="AE187" i="13" s="1"/>
  <c r="Z187" i="13"/>
  <c r="AA187" i="13"/>
  <c r="AB187" i="13"/>
  <c r="AD187" i="13"/>
  <c r="AF187" i="13"/>
  <c r="AG187" i="13"/>
  <c r="AH187" i="13"/>
  <c r="W186" i="13"/>
  <c r="AE186" i="13" s="1"/>
  <c r="Z186" i="13"/>
  <c r="AA186" i="13"/>
  <c r="AB186" i="13"/>
  <c r="AD186" i="13"/>
  <c r="AG186" i="13"/>
  <c r="AH186" i="13"/>
  <c r="W185" i="13"/>
  <c r="AE185" i="13" s="1"/>
  <c r="Z185" i="13"/>
  <c r="AF185" i="13" s="1"/>
  <c r="AA185" i="13"/>
  <c r="AB185" i="13"/>
  <c r="AD185" i="13"/>
  <c r="AG185" i="13"/>
  <c r="AH185" i="13"/>
  <c r="W184" i="13"/>
  <c r="AE184" i="13" s="1"/>
  <c r="Z184" i="13"/>
  <c r="AA184" i="13"/>
  <c r="AB184" i="13"/>
  <c r="AD184" i="13"/>
  <c r="AF184" i="13"/>
  <c r="AG184" i="13"/>
  <c r="AH184" i="13"/>
  <c r="W183" i="13"/>
  <c r="AE183" i="13" s="1"/>
  <c r="Z183" i="13"/>
  <c r="AA183" i="13"/>
  <c r="AB183" i="13"/>
  <c r="AD183" i="13"/>
  <c r="AF183" i="13"/>
  <c r="AG183" i="13"/>
  <c r="AH183" i="13"/>
  <c r="W182" i="13"/>
  <c r="AE182" i="13" s="1"/>
  <c r="Z182" i="13"/>
  <c r="AA182" i="13"/>
  <c r="AB182" i="13"/>
  <c r="AD182" i="13"/>
  <c r="AF182" i="13"/>
  <c r="AG182" i="13"/>
  <c r="AH182" i="13"/>
  <c r="W181" i="13"/>
  <c r="AE181" i="13" s="1"/>
  <c r="Z181" i="13"/>
  <c r="AA181" i="13"/>
  <c r="AB181" i="13"/>
  <c r="AD181" i="13"/>
  <c r="AF181" i="13"/>
  <c r="AG181" i="13"/>
  <c r="AH181" i="13"/>
  <c r="W180" i="13"/>
  <c r="AE180" i="13" s="1"/>
  <c r="Z180" i="13"/>
  <c r="AA180" i="13"/>
  <c r="AB180" i="13"/>
  <c r="AD180" i="13"/>
  <c r="AF180" i="13"/>
  <c r="AG180" i="13"/>
  <c r="AH180" i="13"/>
  <c r="X201" i="13" l="1"/>
  <c r="AC201" i="13" s="1"/>
  <c r="X205" i="13"/>
  <c r="AC205" i="13" s="1"/>
  <c r="X194" i="13"/>
  <c r="AC194" i="13" s="1"/>
  <c r="X197" i="13"/>
  <c r="AC197" i="13" s="1"/>
  <c r="X208" i="13"/>
  <c r="AC208" i="13" s="1"/>
  <c r="X181" i="13"/>
  <c r="AC181" i="13" s="1"/>
  <c r="X186" i="13"/>
  <c r="AC186" i="13" s="1"/>
  <c r="X193" i="13"/>
  <c r="AC193" i="13" s="1"/>
  <c r="AF194" i="13"/>
  <c r="Y194" i="13" s="1"/>
  <c r="X196" i="13"/>
  <c r="AC196" i="13" s="1"/>
  <c r="AF197" i="13"/>
  <c r="Y197" i="13" s="1"/>
  <c r="X198" i="13"/>
  <c r="AC198" i="13" s="1"/>
  <c r="X204" i="13"/>
  <c r="AC204" i="13" s="1"/>
  <c r="AF205" i="13"/>
  <c r="Y205" i="13" s="1"/>
  <c r="X207" i="13"/>
  <c r="AC207" i="13" s="1"/>
  <c r="Y208" i="13"/>
  <c r="X211" i="13"/>
  <c r="AC211" i="13" s="1"/>
  <c r="Y193" i="13"/>
  <c r="Y196" i="13"/>
  <c r="Y198" i="13"/>
  <c r="Y204" i="13"/>
  <c r="Y207" i="13"/>
  <c r="Y211" i="13"/>
  <c r="X190" i="13"/>
  <c r="AC190" i="13" s="1"/>
  <c r="X192" i="13"/>
  <c r="AC192" i="13" s="1"/>
  <c r="X203" i="13"/>
  <c r="AC203" i="13" s="1"/>
  <c r="X188" i="13"/>
  <c r="AC188" i="13" s="1"/>
  <c r="X199" i="13"/>
  <c r="AC199" i="13" s="1"/>
  <c r="X209" i="13"/>
  <c r="AC209" i="13" s="1"/>
  <c r="X180" i="13"/>
  <c r="AC180" i="13" s="1"/>
  <c r="X185" i="13"/>
  <c r="AC185" i="13" s="1"/>
  <c r="AF186" i="13"/>
  <c r="Y186" i="13" s="1"/>
  <c r="X187" i="13"/>
  <c r="AC187" i="13" s="1"/>
  <c r="X189" i="13"/>
  <c r="AC189" i="13" s="1"/>
  <c r="X191" i="13"/>
  <c r="AC191" i="13" s="1"/>
  <c r="AF192" i="13"/>
  <c r="Y192" i="13" s="1"/>
  <c r="X195" i="13"/>
  <c r="AC195" i="13" s="1"/>
  <c r="X200" i="13"/>
  <c r="AC200" i="13" s="1"/>
  <c r="X202" i="13"/>
  <c r="AC202" i="13" s="1"/>
  <c r="X206" i="13"/>
  <c r="AC206" i="13" s="1"/>
  <c r="X210" i="13"/>
  <c r="AC210" i="13" s="1"/>
  <c r="Y181" i="13"/>
  <c r="Y188" i="13"/>
  <c r="Y190" i="13"/>
  <c r="Y199" i="13"/>
  <c r="Y201" i="13"/>
  <c r="Y203" i="13"/>
  <c r="Y209" i="13"/>
  <c r="Y180" i="13"/>
  <c r="Y185" i="13"/>
  <c r="Y187" i="13"/>
  <c r="Y189" i="13"/>
  <c r="Y191" i="13"/>
  <c r="Y195" i="13"/>
  <c r="Y200" i="13"/>
  <c r="Y202" i="13"/>
  <c r="Y206" i="13"/>
  <c r="Y210" i="13"/>
  <c r="X183" i="13"/>
  <c r="AC183" i="13" s="1"/>
  <c r="X182" i="13"/>
  <c r="AC182" i="13" s="1"/>
  <c r="Y183" i="13"/>
  <c r="X184" i="13"/>
  <c r="AC184" i="13" s="1"/>
  <c r="Y182" i="13"/>
  <c r="Y184" i="13"/>
  <c r="W179" i="13"/>
  <c r="AE179" i="13" s="1"/>
  <c r="Z179" i="13"/>
  <c r="AA179" i="13"/>
  <c r="AB179" i="13"/>
  <c r="AD179" i="13"/>
  <c r="AG179" i="13"/>
  <c r="AH179" i="13"/>
  <c r="W178" i="13"/>
  <c r="AE178" i="13" s="1"/>
  <c r="Z178" i="13"/>
  <c r="AA178" i="13"/>
  <c r="AB178" i="13"/>
  <c r="AD178" i="13"/>
  <c r="AF178" i="13"/>
  <c r="AG178" i="13"/>
  <c r="AH178" i="13"/>
  <c r="W177" i="13"/>
  <c r="AE177" i="13" s="1"/>
  <c r="Z177" i="13"/>
  <c r="AA177" i="13"/>
  <c r="AB177" i="13"/>
  <c r="AD177" i="13"/>
  <c r="AF177" i="13"/>
  <c r="AG177" i="13"/>
  <c r="AH177" i="13"/>
  <c r="W176" i="13"/>
  <c r="AE176" i="13" s="1"/>
  <c r="Z176" i="13"/>
  <c r="AA176" i="13"/>
  <c r="AB176" i="13"/>
  <c r="AD176" i="13"/>
  <c r="AF176" i="13"/>
  <c r="AG176" i="13"/>
  <c r="AH176" i="13"/>
  <c r="W175" i="13"/>
  <c r="AE175" i="13" s="1"/>
  <c r="Z175" i="13"/>
  <c r="AA175" i="13"/>
  <c r="AB175" i="13"/>
  <c r="AD175" i="13"/>
  <c r="AF175" i="13"/>
  <c r="AG175" i="13"/>
  <c r="AH175" i="13"/>
  <c r="W174" i="13"/>
  <c r="AE174" i="13" s="1"/>
  <c r="Z174" i="13"/>
  <c r="AA174" i="13"/>
  <c r="AB174" i="13"/>
  <c r="AD174" i="13"/>
  <c r="AG174" i="13"/>
  <c r="AH174" i="13"/>
  <c r="W173" i="13"/>
  <c r="AE173" i="13" s="1"/>
  <c r="Z173" i="13"/>
  <c r="AA173" i="13"/>
  <c r="AB173" i="13"/>
  <c r="AD173" i="13"/>
  <c r="AF173" i="13"/>
  <c r="AG173" i="13"/>
  <c r="AH173" i="13"/>
  <c r="W172" i="13"/>
  <c r="AE172" i="13" s="1"/>
  <c r="Z172" i="13"/>
  <c r="AA172" i="13"/>
  <c r="AB172" i="13"/>
  <c r="AD172" i="13"/>
  <c r="AF172" i="13"/>
  <c r="AG172" i="13"/>
  <c r="AH172" i="13"/>
  <c r="W171" i="13"/>
  <c r="AE171" i="13" s="1"/>
  <c r="Z171" i="13"/>
  <c r="AA171" i="13"/>
  <c r="AB171" i="13"/>
  <c r="AD171" i="13"/>
  <c r="AF171" i="13"/>
  <c r="AG171" i="13"/>
  <c r="AH171" i="13"/>
  <c r="W170" i="13"/>
  <c r="AE170" i="13" s="1"/>
  <c r="Z170" i="13"/>
  <c r="AA170" i="13"/>
  <c r="AB170" i="13"/>
  <c r="AD170" i="13"/>
  <c r="AF170" i="13"/>
  <c r="AG170" i="13"/>
  <c r="AH170" i="13"/>
  <c r="W169" i="13"/>
  <c r="AE169" i="13" s="1"/>
  <c r="Z169" i="13"/>
  <c r="AF169" i="13" s="1"/>
  <c r="AA169" i="13"/>
  <c r="AB169" i="13"/>
  <c r="AD169" i="13"/>
  <c r="AG169" i="13"/>
  <c r="AH169" i="13"/>
  <c r="W168" i="13"/>
  <c r="AE168" i="13" s="1"/>
  <c r="Z168" i="13"/>
  <c r="AA168" i="13"/>
  <c r="AB168" i="13"/>
  <c r="AD168" i="13"/>
  <c r="AG168" i="13"/>
  <c r="AH168" i="13"/>
  <c r="W167" i="13"/>
  <c r="AE167" i="13" s="1"/>
  <c r="Z167" i="13"/>
  <c r="AA167" i="13"/>
  <c r="AB167" i="13"/>
  <c r="AD167" i="13"/>
  <c r="AF167" i="13"/>
  <c r="AG167" i="13"/>
  <c r="AH167" i="13"/>
  <c r="W166" i="13"/>
  <c r="AE166" i="13" s="1"/>
  <c r="Z166" i="13"/>
  <c r="AA166" i="13"/>
  <c r="AB166" i="13"/>
  <c r="AD166" i="13"/>
  <c r="AF166" i="13"/>
  <c r="AG166" i="13"/>
  <c r="AH166" i="13"/>
  <c r="W165" i="13"/>
  <c r="AE165" i="13" s="1"/>
  <c r="Z165" i="13"/>
  <c r="AF165" i="13" s="1"/>
  <c r="AA165" i="13"/>
  <c r="AB165" i="13"/>
  <c r="AD165" i="13"/>
  <c r="AG165" i="13"/>
  <c r="AH165" i="13"/>
  <c r="W164" i="13"/>
  <c r="AE164" i="13" s="1"/>
  <c r="Z164" i="13"/>
  <c r="AA164" i="13"/>
  <c r="AB164" i="13"/>
  <c r="AD164" i="13"/>
  <c r="AG164" i="13"/>
  <c r="AH164" i="13"/>
  <c r="W163" i="13"/>
  <c r="AE163" i="13" s="1"/>
  <c r="Z163" i="13"/>
  <c r="AA163" i="13"/>
  <c r="AB163" i="13"/>
  <c r="AD163" i="13"/>
  <c r="AF163" i="13"/>
  <c r="AG163" i="13"/>
  <c r="AH163" i="13"/>
  <c r="W162" i="13"/>
  <c r="AE162" i="13" s="1"/>
  <c r="Z162" i="13"/>
  <c r="AA162" i="13"/>
  <c r="AB162" i="13"/>
  <c r="AD162" i="13"/>
  <c r="AF162" i="13"/>
  <c r="AG162" i="13"/>
  <c r="AH162" i="13"/>
  <c r="W161" i="13"/>
  <c r="AE161" i="13" s="1"/>
  <c r="Z161" i="13"/>
  <c r="AA161" i="13"/>
  <c r="AB161" i="13"/>
  <c r="AD161" i="13"/>
  <c r="AF161" i="13"/>
  <c r="AG161" i="13"/>
  <c r="AH161" i="13"/>
  <c r="W160" i="13"/>
  <c r="AE160" i="13" s="1"/>
  <c r="Z160" i="13"/>
  <c r="AA160" i="13"/>
  <c r="AB160" i="13"/>
  <c r="AD160" i="13"/>
  <c r="AF160" i="13"/>
  <c r="AG160" i="13"/>
  <c r="AH160" i="13"/>
  <c r="W159" i="13"/>
  <c r="AE159" i="13" s="1"/>
  <c r="Z159" i="13"/>
  <c r="AA159" i="13"/>
  <c r="AB159" i="13"/>
  <c r="AD159" i="13"/>
  <c r="AF159" i="13"/>
  <c r="AG159" i="13"/>
  <c r="AH159" i="13"/>
  <c r="X172" i="13" l="1"/>
  <c r="AC172" i="13" s="1"/>
  <c r="X176" i="13"/>
  <c r="AC176" i="13" s="1"/>
  <c r="X179" i="13"/>
  <c r="AC179" i="13" s="1"/>
  <c r="Y160" i="13"/>
  <c r="Y159" i="13"/>
  <c r="X159" i="13"/>
  <c r="AC159" i="13" s="1"/>
  <c r="X163" i="13"/>
  <c r="AC163" i="13" s="1"/>
  <c r="Y176" i="13"/>
  <c r="X178" i="13"/>
  <c r="AC178" i="13" s="1"/>
  <c r="AF179" i="13"/>
  <c r="Y179" i="13" s="1"/>
  <c r="Y163" i="13"/>
  <c r="Y178" i="13"/>
  <c r="X168" i="13"/>
  <c r="AC168" i="13" s="1"/>
  <c r="X164" i="13"/>
  <c r="AC164" i="13" s="1"/>
  <c r="AF168" i="13"/>
  <c r="Y168" i="13" s="1"/>
  <c r="X161" i="13"/>
  <c r="AC161" i="13" s="1"/>
  <c r="AF164" i="13"/>
  <c r="Y164" i="13" s="1"/>
  <c r="X165" i="13"/>
  <c r="AC165" i="13" s="1"/>
  <c r="X169" i="13"/>
  <c r="AC169" i="13" s="1"/>
  <c r="X177" i="13"/>
  <c r="AC177" i="13" s="1"/>
  <c r="Y177" i="13"/>
  <c r="Y161" i="13"/>
  <c r="Y165" i="13"/>
  <c r="Y169" i="13"/>
  <c r="X170" i="13"/>
  <c r="AC170" i="13" s="1"/>
  <c r="X171" i="13"/>
  <c r="AC171" i="13" s="1"/>
  <c r="Y170" i="13"/>
  <c r="Y172" i="13"/>
  <c r="Y171" i="13"/>
  <c r="X160" i="13"/>
  <c r="AC160" i="13" s="1"/>
  <c r="X162" i="13"/>
  <c r="AC162" i="13" s="1"/>
  <c r="X174" i="13"/>
  <c r="AC174" i="13" s="1"/>
  <c r="Y162" i="13"/>
  <c r="X167" i="13"/>
  <c r="AC167" i="13" s="1"/>
  <c r="AF174" i="13"/>
  <c r="Y174" i="13" s="1"/>
  <c r="X175" i="13"/>
  <c r="AC175" i="13" s="1"/>
  <c r="Y167" i="13"/>
  <c r="Y175" i="13"/>
  <c r="Y166" i="13"/>
  <c r="X173" i="13"/>
  <c r="AC173" i="13" s="1"/>
  <c r="X166" i="13"/>
  <c r="AC166" i="13" s="1"/>
  <c r="Y173" i="13"/>
  <c r="W158" i="13"/>
  <c r="AE158" i="13" s="1"/>
  <c r="Z158" i="13"/>
  <c r="AF158" i="13" s="1"/>
  <c r="AA158" i="13"/>
  <c r="AB158" i="13"/>
  <c r="AD158" i="13"/>
  <c r="AG158" i="13"/>
  <c r="AH158" i="13"/>
  <c r="W157" i="13"/>
  <c r="AE157" i="13" s="1"/>
  <c r="Z157" i="13"/>
  <c r="AA157" i="13"/>
  <c r="AB157" i="13"/>
  <c r="AD157" i="13"/>
  <c r="AF157" i="13"/>
  <c r="AG157" i="13"/>
  <c r="AH157" i="13"/>
  <c r="X157" i="13" l="1"/>
  <c r="AC157" i="13" s="1"/>
  <c r="Y157" i="13"/>
  <c r="X158" i="13"/>
  <c r="AC158" i="13" s="1"/>
  <c r="Y158" i="13"/>
  <c r="AH156" i="13"/>
  <c r="AG156" i="13"/>
  <c r="AD156" i="13"/>
  <c r="AB156" i="13"/>
  <c r="AA156" i="13"/>
  <c r="Z156" i="13"/>
  <c r="AF156" i="13" s="1"/>
  <c r="W156" i="13"/>
  <c r="AE156" i="13" s="1"/>
  <c r="W155" i="13"/>
  <c r="AE155" i="13" s="1"/>
  <c r="Z155" i="13"/>
  <c r="AF155" i="13" s="1"/>
  <c r="AA155" i="13"/>
  <c r="AB155" i="13"/>
  <c r="AD155" i="13"/>
  <c r="AG155" i="13"/>
  <c r="AH155" i="13"/>
  <c r="W154" i="13"/>
  <c r="AE154" i="13" s="1"/>
  <c r="Z154" i="13"/>
  <c r="AA154" i="13"/>
  <c r="AB154" i="13"/>
  <c r="AD154" i="13"/>
  <c r="AF154" i="13"/>
  <c r="AG154" i="13"/>
  <c r="AH154" i="13"/>
  <c r="W153" i="13"/>
  <c r="AE153" i="13" s="1"/>
  <c r="Z153" i="13"/>
  <c r="AA153" i="13"/>
  <c r="AB153" i="13"/>
  <c r="AD153" i="13"/>
  <c r="AF153" i="13"/>
  <c r="AG153" i="13"/>
  <c r="AH153" i="13"/>
  <c r="W152" i="13"/>
  <c r="AE152" i="13" s="1"/>
  <c r="Z152" i="13"/>
  <c r="AA152" i="13"/>
  <c r="AB152" i="13"/>
  <c r="AD152" i="13"/>
  <c r="AF152" i="13"/>
  <c r="AG152" i="13"/>
  <c r="AH152" i="13"/>
  <c r="W151" i="13"/>
  <c r="AE151" i="13" s="1"/>
  <c r="Z151" i="13"/>
  <c r="AA151" i="13"/>
  <c r="AB151" i="13"/>
  <c r="AD151" i="13"/>
  <c r="AF151" i="13"/>
  <c r="AG151" i="13"/>
  <c r="AH151" i="13"/>
  <c r="W150" i="13"/>
  <c r="AE150" i="13" s="1"/>
  <c r="Z150" i="13"/>
  <c r="AA150" i="13"/>
  <c r="AB150" i="13"/>
  <c r="AD150" i="13"/>
  <c r="AF150" i="13"/>
  <c r="AG150" i="13"/>
  <c r="AH150" i="13"/>
  <c r="W149" i="13"/>
  <c r="AE149" i="13" s="1"/>
  <c r="Z149" i="13"/>
  <c r="AA149" i="13"/>
  <c r="AB149" i="13"/>
  <c r="AD149" i="13"/>
  <c r="AF149" i="13"/>
  <c r="AG149" i="13"/>
  <c r="AH149" i="13"/>
  <c r="W148" i="13"/>
  <c r="AE148" i="13" s="1"/>
  <c r="Z148" i="13"/>
  <c r="AA148" i="13"/>
  <c r="AB148" i="13"/>
  <c r="AD148" i="13"/>
  <c r="AF148" i="13"/>
  <c r="AG148" i="13"/>
  <c r="AH148" i="13"/>
  <c r="X149" i="13" l="1"/>
  <c r="AC149" i="13" s="1"/>
  <c r="Y149" i="13"/>
  <c r="X151" i="13"/>
  <c r="AC151" i="13" s="1"/>
  <c r="X153" i="13"/>
  <c r="AC153" i="13" s="1"/>
  <c r="X148" i="13"/>
  <c r="AC148" i="13" s="1"/>
  <c r="X150" i="13"/>
  <c r="AC150" i="13" s="1"/>
  <c r="X152" i="13"/>
  <c r="AC152" i="13" s="1"/>
  <c r="Y156" i="13"/>
  <c r="Y150" i="13"/>
  <c r="Y152" i="13"/>
  <c r="Y155" i="13"/>
  <c r="Y148" i="13"/>
  <c r="Y151" i="13"/>
  <c r="Y153" i="13"/>
  <c r="X155" i="13"/>
  <c r="AC155" i="13" s="1"/>
  <c r="X154" i="13"/>
  <c r="AC154" i="13" s="1"/>
  <c r="Y154" i="13"/>
  <c r="X156" i="13"/>
  <c r="AC156" i="13" s="1"/>
  <c r="W147" i="13"/>
  <c r="AE147" i="13" s="1"/>
  <c r="Z147" i="13"/>
  <c r="AA147" i="13"/>
  <c r="AB147" i="13"/>
  <c r="AD147" i="13"/>
  <c r="AF147" i="13"/>
  <c r="AG147" i="13"/>
  <c r="AH147" i="13"/>
  <c r="W146" i="13"/>
  <c r="AE146" i="13" s="1"/>
  <c r="Z146" i="13"/>
  <c r="AA146" i="13"/>
  <c r="AB146" i="13"/>
  <c r="AD146" i="13"/>
  <c r="AF146" i="13"/>
  <c r="AG146" i="13"/>
  <c r="AH146" i="13"/>
  <c r="W145" i="13"/>
  <c r="AE145" i="13" s="1"/>
  <c r="Z145" i="13"/>
  <c r="AA145" i="13"/>
  <c r="AB145" i="13"/>
  <c r="AD145" i="13"/>
  <c r="AF145" i="13"/>
  <c r="AG145" i="13"/>
  <c r="AH145" i="13"/>
  <c r="X147" i="13" l="1"/>
  <c r="AC147" i="13" s="1"/>
  <c r="Y147" i="13"/>
  <c r="X145" i="13"/>
  <c r="AC145" i="13" s="1"/>
  <c r="Y145" i="13"/>
  <c r="X146" i="13"/>
  <c r="AC146" i="13" s="1"/>
  <c r="Y146" i="13"/>
  <c r="W144" i="13"/>
  <c r="AE144" i="13" s="1"/>
  <c r="Z144" i="13"/>
  <c r="AA144" i="13"/>
  <c r="AB144" i="13"/>
  <c r="AD144" i="13"/>
  <c r="AF144" i="13"/>
  <c r="AG144" i="13"/>
  <c r="AH144" i="13"/>
  <c r="W143" i="13"/>
  <c r="AE143" i="13" s="1"/>
  <c r="Z143" i="13"/>
  <c r="AF143" i="13" s="1"/>
  <c r="AA143" i="13"/>
  <c r="AB143" i="13"/>
  <c r="AD143" i="13"/>
  <c r="AG143" i="13"/>
  <c r="AH143" i="13"/>
  <c r="W142" i="13"/>
  <c r="AE142" i="13" s="1"/>
  <c r="Z142" i="13"/>
  <c r="AA142" i="13"/>
  <c r="AB142" i="13"/>
  <c r="AD142" i="13"/>
  <c r="AF142" i="13"/>
  <c r="AG142" i="13"/>
  <c r="AH142" i="13"/>
  <c r="W141" i="13"/>
  <c r="AE141" i="13" s="1"/>
  <c r="Z141" i="13"/>
  <c r="AA141" i="13"/>
  <c r="AB141" i="13"/>
  <c r="AD141" i="13"/>
  <c r="AF141" i="13"/>
  <c r="AG141" i="13"/>
  <c r="AH141" i="13"/>
  <c r="W140" i="13"/>
  <c r="AE140" i="13" s="1"/>
  <c r="Z140" i="13"/>
  <c r="AA140" i="13"/>
  <c r="AB140" i="13"/>
  <c r="AD140" i="13"/>
  <c r="AF140" i="13"/>
  <c r="AG140" i="13"/>
  <c r="AH140" i="13"/>
  <c r="W139" i="13"/>
  <c r="AE139" i="13" s="1"/>
  <c r="Z139" i="13"/>
  <c r="AA139" i="13"/>
  <c r="AB139" i="13"/>
  <c r="AD139" i="13"/>
  <c r="AF139" i="13"/>
  <c r="AG139" i="13"/>
  <c r="AH139" i="13"/>
  <c r="W138" i="13"/>
  <c r="AE138" i="13" s="1"/>
  <c r="Z138" i="13"/>
  <c r="AA138" i="13"/>
  <c r="AB138" i="13"/>
  <c r="AD138" i="13"/>
  <c r="AF138" i="13"/>
  <c r="AG138" i="13"/>
  <c r="AH138" i="13"/>
  <c r="W137" i="13"/>
  <c r="AE137" i="13" s="1"/>
  <c r="Z137" i="13"/>
  <c r="AA137" i="13"/>
  <c r="AB137" i="13"/>
  <c r="AD137" i="13"/>
  <c r="AF137" i="13"/>
  <c r="AG137" i="13"/>
  <c r="AH137" i="13"/>
  <c r="W136" i="13"/>
  <c r="AE136" i="13" s="1"/>
  <c r="Z136" i="13"/>
  <c r="AA136" i="13"/>
  <c r="AB136" i="13"/>
  <c r="AD136" i="13"/>
  <c r="AG136" i="13"/>
  <c r="AH136" i="13"/>
  <c r="W135" i="13"/>
  <c r="AE135" i="13" s="1"/>
  <c r="Z135" i="13"/>
  <c r="AA135" i="13"/>
  <c r="AB135" i="13"/>
  <c r="AD135" i="13"/>
  <c r="AF135" i="13"/>
  <c r="AG135" i="13"/>
  <c r="AH135" i="13"/>
  <c r="W134" i="13"/>
  <c r="AE134" i="13" s="1"/>
  <c r="Z134" i="13"/>
  <c r="AA134" i="13"/>
  <c r="AB134" i="13"/>
  <c r="AD134" i="13"/>
  <c r="AF134" i="13"/>
  <c r="AG134" i="13"/>
  <c r="AH134" i="13"/>
  <c r="W133" i="13"/>
  <c r="AE133" i="13" s="1"/>
  <c r="Z133" i="13"/>
  <c r="AF133" i="13" s="1"/>
  <c r="AA133" i="13"/>
  <c r="AB133" i="13"/>
  <c r="AD133" i="13"/>
  <c r="AG133" i="13"/>
  <c r="AH133" i="13"/>
  <c r="W132" i="13"/>
  <c r="AE132" i="13" s="1"/>
  <c r="Z132" i="13"/>
  <c r="AA132" i="13"/>
  <c r="AB132" i="13"/>
  <c r="AD132" i="13"/>
  <c r="AG132" i="13"/>
  <c r="AH132" i="13"/>
  <c r="W131" i="13"/>
  <c r="AE131" i="13" s="1"/>
  <c r="Z131" i="13"/>
  <c r="AA131" i="13"/>
  <c r="AB131" i="13"/>
  <c r="AD131" i="13"/>
  <c r="AF131" i="13"/>
  <c r="AG131" i="13"/>
  <c r="AH131" i="13"/>
  <c r="W130" i="13"/>
  <c r="AE130" i="13" s="1"/>
  <c r="Z130" i="13"/>
  <c r="AA130" i="13"/>
  <c r="AB130" i="13"/>
  <c r="AD130" i="13"/>
  <c r="AG130" i="13"/>
  <c r="AH130" i="13"/>
  <c r="W129" i="13"/>
  <c r="AE129" i="13" s="1"/>
  <c r="Z129" i="13"/>
  <c r="AA129" i="13"/>
  <c r="AB129" i="13"/>
  <c r="AD129" i="13"/>
  <c r="AF129" i="13"/>
  <c r="AG129" i="13"/>
  <c r="AH129" i="13"/>
  <c r="W128" i="13"/>
  <c r="AE128" i="13" s="1"/>
  <c r="Z128" i="13"/>
  <c r="AA128" i="13"/>
  <c r="AB128" i="13"/>
  <c r="AD128" i="13"/>
  <c r="AF128" i="13"/>
  <c r="AG128" i="13"/>
  <c r="AH128" i="13"/>
  <c r="W127" i="13"/>
  <c r="AE127" i="13" s="1"/>
  <c r="Z127" i="13"/>
  <c r="AA127" i="13"/>
  <c r="AB127" i="13"/>
  <c r="AD127" i="13"/>
  <c r="AF127" i="13"/>
  <c r="AG127" i="13"/>
  <c r="AH127" i="13"/>
  <c r="W126" i="13"/>
  <c r="AE126" i="13" s="1"/>
  <c r="Z126" i="13"/>
  <c r="AA126" i="13"/>
  <c r="AB126" i="13"/>
  <c r="AD126" i="13"/>
  <c r="AG126" i="13"/>
  <c r="AH126" i="13"/>
  <c r="W125" i="13"/>
  <c r="AE125" i="13" s="1"/>
  <c r="Z125" i="13"/>
  <c r="AA125" i="13"/>
  <c r="AB125" i="13"/>
  <c r="AD125" i="13"/>
  <c r="AF125" i="13"/>
  <c r="AG125" i="13"/>
  <c r="AH125" i="13"/>
  <c r="W124" i="13"/>
  <c r="AE124" i="13" s="1"/>
  <c r="Z124" i="13"/>
  <c r="AA124" i="13"/>
  <c r="AB124" i="13"/>
  <c r="AD124" i="13"/>
  <c r="AF124" i="13"/>
  <c r="AG124" i="13"/>
  <c r="AH124" i="13"/>
  <c r="W123" i="13"/>
  <c r="AE123" i="13" s="1"/>
  <c r="Z123" i="13"/>
  <c r="AF123" i="13" s="1"/>
  <c r="AA123" i="13"/>
  <c r="AB123" i="13"/>
  <c r="AD123" i="13"/>
  <c r="AG123" i="13"/>
  <c r="AH123" i="13"/>
  <c r="W122" i="13"/>
  <c r="AE122" i="13" s="1"/>
  <c r="Z122" i="13"/>
  <c r="AA122" i="13"/>
  <c r="AB122" i="13"/>
  <c r="AD122" i="13"/>
  <c r="AF122" i="13"/>
  <c r="AG122" i="13"/>
  <c r="AH122" i="13"/>
  <c r="W121" i="13"/>
  <c r="AE121" i="13" s="1"/>
  <c r="Z121" i="13"/>
  <c r="AA121" i="13"/>
  <c r="AB121" i="13"/>
  <c r="AD121" i="13"/>
  <c r="AF121" i="13"/>
  <c r="AG121" i="13"/>
  <c r="AH121" i="13"/>
  <c r="W120" i="13"/>
  <c r="AE120" i="13" s="1"/>
  <c r="Z120" i="13"/>
  <c r="AA120" i="13"/>
  <c r="AB120" i="13"/>
  <c r="AD120" i="13"/>
  <c r="AF120" i="13"/>
  <c r="AG120" i="13"/>
  <c r="AH120" i="13"/>
  <c r="W119" i="13"/>
  <c r="AE119" i="13" s="1"/>
  <c r="Z119" i="13"/>
  <c r="AA119" i="13"/>
  <c r="AB119" i="13"/>
  <c r="AD119" i="13"/>
  <c r="AF119" i="13"/>
  <c r="AG119" i="13"/>
  <c r="AH119" i="13"/>
  <c r="W118" i="13"/>
  <c r="AE118" i="13" s="1"/>
  <c r="Z118" i="13"/>
  <c r="AA118" i="13"/>
  <c r="AB118" i="13"/>
  <c r="AD118" i="13"/>
  <c r="AF118" i="13"/>
  <c r="AG118" i="13"/>
  <c r="AH118" i="13"/>
  <c r="W117" i="13"/>
  <c r="AE117" i="13" s="1"/>
  <c r="Z117" i="13"/>
  <c r="AA117" i="13"/>
  <c r="AB117" i="13"/>
  <c r="AD117" i="13"/>
  <c r="AF117" i="13"/>
  <c r="AG117" i="13"/>
  <c r="AH117" i="13"/>
  <c r="W116" i="13"/>
  <c r="AE116" i="13" s="1"/>
  <c r="Z116" i="13"/>
  <c r="AA116" i="13"/>
  <c r="AB116" i="13"/>
  <c r="AD116" i="13"/>
  <c r="AG116" i="13"/>
  <c r="AH116" i="13"/>
  <c r="W115" i="13"/>
  <c r="AE115" i="13" s="1"/>
  <c r="Z115" i="13"/>
  <c r="AA115" i="13"/>
  <c r="AB115" i="13"/>
  <c r="AD115" i="13"/>
  <c r="AF115" i="13"/>
  <c r="AG115" i="13"/>
  <c r="AH115" i="13"/>
  <c r="W114" i="13"/>
  <c r="AE114" i="13" s="1"/>
  <c r="Z114" i="13"/>
  <c r="AA114" i="13"/>
  <c r="AB114" i="13"/>
  <c r="AD114" i="13"/>
  <c r="AF114" i="13"/>
  <c r="AG114" i="13"/>
  <c r="AH114" i="13"/>
  <c r="W113" i="13"/>
  <c r="AE113" i="13" s="1"/>
  <c r="Z113" i="13"/>
  <c r="AA113" i="13"/>
  <c r="AB113" i="13"/>
  <c r="AD113" i="13"/>
  <c r="AF113" i="13"/>
  <c r="AG113" i="13"/>
  <c r="AH113" i="13"/>
  <c r="W112" i="13"/>
  <c r="AE112" i="13" s="1"/>
  <c r="Z112" i="13"/>
  <c r="AA112" i="13"/>
  <c r="AB112" i="13"/>
  <c r="AD112" i="13"/>
  <c r="AF112" i="13"/>
  <c r="AG112" i="13"/>
  <c r="AH112" i="13"/>
  <c r="W111" i="13"/>
  <c r="AE111" i="13" s="1"/>
  <c r="Z111" i="13"/>
  <c r="AA111" i="13"/>
  <c r="AB111" i="13"/>
  <c r="AD111" i="13"/>
  <c r="AF111" i="13"/>
  <c r="AG111" i="13"/>
  <c r="AH111" i="13"/>
  <c r="W110" i="13"/>
  <c r="AE110" i="13" s="1"/>
  <c r="Z110" i="13"/>
  <c r="AF110" i="13" s="1"/>
  <c r="AA110" i="13"/>
  <c r="AB110" i="13"/>
  <c r="AD110" i="13"/>
  <c r="AG110" i="13"/>
  <c r="AH110" i="13"/>
  <c r="W109" i="13"/>
  <c r="AE109" i="13" s="1"/>
  <c r="Z109" i="13"/>
  <c r="AA109" i="13"/>
  <c r="AB109" i="13"/>
  <c r="AD109" i="13"/>
  <c r="AG109" i="13"/>
  <c r="AH109" i="13"/>
  <c r="W108" i="13"/>
  <c r="AE108" i="13" s="1"/>
  <c r="Z108" i="13"/>
  <c r="AA108" i="13"/>
  <c r="AB108" i="13"/>
  <c r="AD108" i="13"/>
  <c r="AF108" i="13"/>
  <c r="AG108" i="13"/>
  <c r="AH108" i="13"/>
  <c r="W107" i="13"/>
  <c r="AE107" i="13" s="1"/>
  <c r="Z107" i="13"/>
  <c r="AA107" i="13"/>
  <c r="AB107" i="13"/>
  <c r="AD107" i="13"/>
  <c r="AG107" i="13"/>
  <c r="AH107" i="13"/>
  <c r="W106" i="13"/>
  <c r="AE106" i="13" s="1"/>
  <c r="Z106" i="13"/>
  <c r="AA106" i="13"/>
  <c r="AB106" i="13"/>
  <c r="AD106" i="13"/>
  <c r="AF106" i="13"/>
  <c r="AG106" i="13"/>
  <c r="AH106" i="13"/>
  <c r="W105" i="13"/>
  <c r="AE105" i="13" s="1"/>
  <c r="Z105" i="13"/>
  <c r="AA105" i="13"/>
  <c r="AB105" i="13"/>
  <c r="AD105" i="13"/>
  <c r="AG105" i="13"/>
  <c r="AH105" i="13"/>
  <c r="W104" i="13"/>
  <c r="AE104" i="13" s="1"/>
  <c r="Z104" i="13"/>
  <c r="AF104" i="13" s="1"/>
  <c r="AA104" i="13"/>
  <c r="AB104" i="13"/>
  <c r="AD104" i="13"/>
  <c r="AG104" i="13"/>
  <c r="AH104" i="13"/>
  <c r="W103" i="13"/>
  <c r="AE103" i="13" s="1"/>
  <c r="Z103" i="13"/>
  <c r="AA103" i="13"/>
  <c r="AB103" i="13"/>
  <c r="AD103" i="13"/>
  <c r="AG103" i="13"/>
  <c r="AH103" i="13"/>
  <c r="W102" i="13"/>
  <c r="AE102" i="13" s="1"/>
  <c r="Z102" i="13"/>
  <c r="AA102" i="13"/>
  <c r="AB102" i="13"/>
  <c r="AD102" i="13"/>
  <c r="AF102" i="13"/>
  <c r="AG102" i="13"/>
  <c r="AH102" i="13"/>
  <c r="W101" i="13"/>
  <c r="AE101" i="13" s="1"/>
  <c r="Z101" i="13"/>
  <c r="AA101" i="13"/>
  <c r="AB101" i="13"/>
  <c r="AD101" i="13"/>
  <c r="AG101" i="13"/>
  <c r="AH101" i="13"/>
  <c r="W100" i="13"/>
  <c r="AE100" i="13" s="1"/>
  <c r="Z100" i="13"/>
  <c r="AA100" i="13"/>
  <c r="AB100" i="13"/>
  <c r="AD100" i="13"/>
  <c r="AF100" i="13"/>
  <c r="AG100" i="13"/>
  <c r="AH100" i="13"/>
  <c r="W99" i="13"/>
  <c r="AE99" i="13" s="1"/>
  <c r="Z99" i="13"/>
  <c r="AA99" i="13"/>
  <c r="AB99" i="13"/>
  <c r="AD99" i="13"/>
  <c r="AF99" i="13"/>
  <c r="AG99" i="13"/>
  <c r="AH99" i="13"/>
  <c r="W98" i="13"/>
  <c r="AE98" i="13" s="1"/>
  <c r="Z98" i="13"/>
  <c r="AA98" i="13"/>
  <c r="AB98" i="13"/>
  <c r="AD98" i="13"/>
  <c r="AF98" i="13"/>
  <c r="AG98" i="13"/>
  <c r="AH98" i="13"/>
  <c r="Y79" i="13"/>
  <c r="W92" i="13"/>
  <c r="AE92" i="13" s="1"/>
  <c r="Z92" i="13"/>
  <c r="AF92" i="13" s="1"/>
  <c r="AA92" i="13"/>
  <c r="AB92" i="13"/>
  <c r="AD92" i="13"/>
  <c r="AG92" i="13"/>
  <c r="AH92" i="13"/>
  <c r="W97" i="13"/>
  <c r="AE97" i="13" s="1"/>
  <c r="Z97" i="13"/>
  <c r="AA97" i="13"/>
  <c r="AB97" i="13"/>
  <c r="AD97" i="13"/>
  <c r="AF97" i="13"/>
  <c r="AG97" i="13"/>
  <c r="AH97" i="13"/>
  <c r="W96" i="13"/>
  <c r="AE96" i="13" s="1"/>
  <c r="Z96" i="13"/>
  <c r="AA96" i="13"/>
  <c r="AB96" i="13"/>
  <c r="AD96" i="13"/>
  <c r="AF96" i="13"/>
  <c r="AG96" i="13"/>
  <c r="AH96" i="13"/>
  <c r="W95" i="13"/>
  <c r="AE95" i="13" s="1"/>
  <c r="Z95" i="13"/>
  <c r="AA95" i="13"/>
  <c r="AB95" i="13"/>
  <c r="AD95" i="13"/>
  <c r="AG95" i="13"/>
  <c r="AH95" i="13"/>
  <c r="W94" i="13"/>
  <c r="AE94" i="13" s="1"/>
  <c r="Z94" i="13"/>
  <c r="AA94" i="13"/>
  <c r="AB94" i="13"/>
  <c r="AD94" i="13"/>
  <c r="AF94" i="13"/>
  <c r="AG94" i="13"/>
  <c r="AH94" i="13"/>
  <c r="W93" i="13"/>
  <c r="AE93" i="13" s="1"/>
  <c r="Z93" i="13"/>
  <c r="AA93" i="13"/>
  <c r="AB93" i="13"/>
  <c r="AD93" i="13"/>
  <c r="AF93" i="13"/>
  <c r="AG93" i="13"/>
  <c r="AH93" i="13"/>
  <c r="W91" i="13"/>
  <c r="AE91" i="13" s="1"/>
  <c r="Z91" i="13"/>
  <c r="AA91" i="13"/>
  <c r="AB91" i="13"/>
  <c r="AD91" i="13"/>
  <c r="AF91" i="13"/>
  <c r="AG91" i="13"/>
  <c r="AH91" i="13"/>
  <c r="W90" i="13"/>
  <c r="AE90" i="13" s="1"/>
  <c r="Z90" i="13"/>
  <c r="AA90" i="13"/>
  <c r="AB90" i="13"/>
  <c r="AD90" i="13"/>
  <c r="AF90" i="13"/>
  <c r="AG90" i="13"/>
  <c r="AH90" i="13"/>
  <c r="W89" i="13"/>
  <c r="AE89" i="13" s="1"/>
  <c r="Z89" i="13"/>
  <c r="AA89" i="13"/>
  <c r="AB89" i="13"/>
  <c r="AD89" i="13"/>
  <c r="AF89" i="13"/>
  <c r="AG89" i="13"/>
  <c r="AH89" i="13"/>
  <c r="X103" i="13" l="1"/>
  <c r="AC103" i="13" s="1"/>
  <c r="X105" i="13"/>
  <c r="AC105" i="13" s="1"/>
  <c r="X120" i="13"/>
  <c r="AC120" i="13" s="1"/>
  <c r="X134" i="13"/>
  <c r="AC134" i="13" s="1"/>
  <c r="Y89" i="13"/>
  <c r="X97" i="13"/>
  <c r="AC97" i="13" s="1"/>
  <c r="X98" i="13"/>
  <c r="AC98" i="13" s="1"/>
  <c r="X101" i="13"/>
  <c r="AC101" i="13" s="1"/>
  <c r="X136" i="13"/>
  <c r="AC136" i="13" s="1"/>
  <c r="X138" i="13"/>
  <c r="AC138" i="13" s="1"/>
  <c r="X142" i="13"/>
  <c r="AC142" i="13" s="1"/>
  <c r="X114" i="13"/>
  <c r="AC114" i="13" s="1"/>
  <c r="X116" i="13"/>
  <c r="AC116" i="13" s="1"/>
  <c r="X124" i="13"/>
  <c r="AC124" i="13" s="1"/>
  <c r="X126" i="13"/>
  <c r="AC126" i="13" s="1"/>
  <c r="X144" i="13"/>
  <c r="AC144" i="13" s="1"/>
  <c r="X140" i="13"/>
  <c r="AC140" i="13" s="1"/>
  <c r="X90" i="13"/>
  <c r="AC90" i="13" s="1"/>
  <c r="Y91" i="13"/>
  <c r="X95" i="13"/>
  <c r="AC95" i="13" s="1"/>
  <c r="X112" i="13"/>
  <c r="AC112" i="13" s="1"/>
  <c r="X118" i="13"/>
  <c r="AC118" i="13" s="1"/>
  <c r="X122" i="13"/>
  <c r="AC122" i="13" s="1"/>
  <c r="X128" i="13"/>
  <c r="AC128" i="13" s="1"/>
  <c r="X130" i="13"/>
  <c r="AC130" i="13" s="1"/>
  <c r="X132" i="13"/>
  <c r="AC132" i="13" s="1"/>
  <c r="X89" i="13"/>
  <c r="AC89" i="13" s="1"/>
  <c r="Y90" i="13"/>
  <c r="X91" i="13"/>
  <c r="AC91" i="13" s="1"/>
  <c r="Y94" i="13"/>
  <c r="AF95" i="13"/>
  <c r="Y95" i="13" s="1"/>
  <c r="X96" i="13"/>
  <c r="AC96" i="13" s="1"/>
  <c r="Y97" i="13"/>
  <c r="Y98" i="13"/>
  <c r="X100" i="13"/>
  <c r="AC100" i="13" s="1"/>
  <c r="AF101" i="13"/>
  <c r="Y101" i="13" s="1"/>
  <c r="X102" i="13"/>
  <c r="AC102" i="13" s="1"/>
  <c r="AF103" i="13"/>
  <c r="Y103" i="13" s="1"/>
  <c r="X104" i="13"/>
  <c r="AC104" i="13" s="1"/>
  <c r="AF105" i="13"/>
  <c r="Y105" i="13" s="1"/>
  <c r="X111" i="13"/>
  <c r="AC111" i="13" s="1"/>
  <c r="Y112" i="13"/>
  <c r="X113" i="13"/>
  <c r="AC113" i="13" s="1"/>
  <c r="Y114" i="13"/>
  <c r="X115" i="13"/>
  <c r="AC115" i="13" s="1"/>
  <c r="AF116" i="13"/>
  <c r="Y116" i="13" s="1"/>
  <c r="X117" i="13"/>
  <c r="AC117" i="13" s="1"/>
  <c r="Y118" i="13"/>
  <c r="X119" i="13"/>
  <c r="AC119" i="13" s="1"/>
  <c r="Y120" i="13"/>
  <c r="X121" i="13"/>
  <c r="AC121" i="13" s="1"/>
  <c r="Y122" i="13"/>
  <c r="X123" i="13"/>
  <c r="AC123" i="13" s="1"/>
  <c r="Y124" i="13"/>
  <c r="X125" i="13"/>
  <c r="AC125" i="13" s="1"/>
  <c r="AF126" i="13"/>
  <c r="Y126" i="13" s="1"/>
  <c r="X127" i="13"/>
  <c r="AC127" i="13" s="1"/>
  <c r="Y128" i="13"/>
  <c r="X129" i="13"/>
  <c r="AC129" i="13" s="1"/>
  <c r="AF130" i="13"/>
  <c r="Y130" i="13" s="1"/>
  <c r="X131" i="13"/>
  <c r="AC131" i="13" s="1"/>
  <c r="AF132" i="13"/>
  <c r="Y132" i="13" s="1"/>
  <c r="X133" i="13"/>
  <c r="AC133" i="13" s="1"/>
  <c r="Y134" i="13"/>
  <c r="X135" i="13"/>
  <c r="AC135" i="13" s="1"/>
  <c r="AF136" i="13"/>
  <c r="Y136" i="13" s="1"/>
  <c r="X137" i="13"/>
  <c r="AC137" i="13" s="1"/>
  <c r="Y138" i="13"/>
  <c r="X139" i="13"/>
  <c r="AC139" i="13" s="1"/>
  <c r="Y140" i="13"/>
  <c r="X141" i="13"/>
  <c r="AC141" i="13" s="1"/>
  <c r="Y142" i="13"/>
  <c r="X143" i="13"/>
  <c r="AC143" i="13" s="1"/>
  <c r="Y144" i="13"/>
  <c r="Y96" i="13"/>
  <c r="Y92" i="13"/>
  <c r="Y99" i="13"/>
  <c r="Y100" i="13"/>
  <c r="Y102" i="13"/>
  <c r="Y104" i="13"/>
  <c r="Y111" i="13"/>
  <c r="Y113" i="13"/>
  <c r="Y115" i="13"/>
  <c r="Y117" i="13"/>
  <c r="Y119" i="13"/>
  <c r="Y121" i="13"/>
  <c r="Y123" i="13"/>
  <c r="Y125" i="13"/>
  <c r="Y127" i="13"/>
  <c r="Y129" i="13"/>
  <c r="Y131" i="13"/>
  <c r="Y133" i="13"/>
  <c r="Y135" i="13"/>
  <c r="Y137" i="13"/>
  <c r="Y139" i="13"/>
  <c r="Y141" i="13"/>
  <c r="Y143" i="13"/>
  <c r="X107" i="13"/>
  <c r="AC107" i="13" s="1"/>
  <c r="X109" i="13"/>
  <c r="AC109" i="13" s="1"/>
  <c r="Y93" i="13"/>
  <c r="X106" i="13"/>
  <c r="AC106" i="13" s="1"/>
  <c r="AF107" i="13"/>
  <c r="Y107" i="13" s="1"/>
  <c r="X108" i="13"/>
  <c r="AC108" i="13" s="1"/>
  <c r="AF109" i="13"/>
  <c r="Y109" i="13" s="1"/>
  <c r="X110" i="13"/>
  <c r="AC110" i="13" s="1"/>
  <c r="Y106" i="13"/>
  <c r="Y108" i="13"/>
  <c r="Y110" i="13"/>
  <c r="X93" i="13"/>
  <c r="AC93" i="13" s="1"/>
  <c r="X94" i="13"/>
  <c r="AC94" i="13" s="1"/>
  <c r="X99" i="13"/>
  <c r="AC99" i="13" s="1"/>
  <c r="X92" i="13"/>
  <c r="AC92" i="13" s="1"/>
  <c r="W88" i="13"/>
  <c r="AE88" i="13" s="1"/>
  <c r="Z88" i="13"/>
  <c r="AA88" i="13"/>
  <c r="AB88" i="13"/>
  <c r="AD88" i="13"/>
  <c r="AF88" i="13"/>
  <c r="AG88" i="13"/>
  <c r="AH88" i="13"/>
  <c r="W87" i="13"/>
  <c r="AE87" i="13" s="1"/>
  <c r="Z87" i="13"/>
  <c r="AA87" i="13"/>
  <c r="AB87" i="13"/>
  <c r="AD87" i="13"/>
  <c r="AG87" i="13"/>
  <c r="AH87" i="13"/>
  <c r="X87" i="13" l="1"/>
  <c r="AC87" i="13" s="1"/>
  <c r="AF87" i="13"/>
  <c r="Y87" i="13" s="1"/>
  <c r="X88" i="13"/>
  <c r="AC88" i="13" s="1"/>
  <c r="Y88" i="13"/>
  <c r="W86" i="13"/>
  <c r="AE86" i="13" s="1"/>
  <c r="Z86" i="13"/>
  <c r="AA86" i="13"/>
  <c r="AB86" i="13"/>
  <c r="AD86" i="13"/>
  <c r="AF86" i="13"/>
  <c r="AG86" i="13"/>
  <c r="AH86" i="13"/>
  <c r="W85" i="13"/>
  <c r="AE85" i="13" s="1"/>
  <c r="Z85" i="13"/>
  <c r="AA85" i="13"/>
  <c r="AB85" i="13"/>
  <c r="AD85" i="13"/>
  <c r="AF85" i="13"/>
  <c r="AG85" i="13"/>
  <c r="AH85" i="13"/>
  <c r="W84" i="13"/>
  <c r="AE84" i="13" s="1"/>
  <c r="Z84" i="13"/>
  <c r="AA84" i="13"/>
  <c r="AB84" i="13"/>
  <c r="AD84" i="13"/>
  <c r="AF84" i="13"/>
  <c r="AG84" i="13"/>
  <c r="AH84" i="13"/>
  <c r="X86" i="13" l="1"/>
  <c r="AC86" i="13" s="1"/>
  <c r="X84" i="13"/>
  <c r="AC84" i="13" s="1"/>
  <c r="Y85" i="13"/>
  <c r="Y84" i="13"/>
  <c r="X85" i="13"/>
  <c r="AC85" i="13" s="1"/>
  <c r="Y86" i="13"/>
  <c r="W83" i="13"/>
  <c r="AE83" i="13" s="1"/>
  <c r="Z83" i="13"/>
  <c r="AA83" i="13"/>
  <c r="AB83" i="13"/>
  <c r="AD83" i="13"/>
  <c r="AF83" i="13"/>
  <c r="AG83" i="13"/>
  <c r="AH83" i="13"/>
  <c r="W82" i="13"/>
  <c r="AE82" i="13" s="1"/>
  <c r="Z82" i="13"/>
  <c r="AA82" i="13"/>
  <c r="AB82" i="13"/>
  <c r="AD82" i="13"/>
  <c r="AG82" i="13"/>
  <c r="AH82" i="13"/>
  <c r="W81" i="13"/>
  <c r="AE81" i="13" s="1"/>
  <c r="Z81" i="13"/>
  <c r="AA81" i="13"/>
  <c r="AB81" i="13"/>
  <c r="AD81" i="13"/>
  <c r="AF81" i="13"/>
  <c r="AG81" i="13"/>
  <c r="AH81" i="13"/>
  <c r="W80" i="13"/>
  <c r="AE80" i="13" s="1"/>
  <c r="Z80" i="13"/>
  <c r="AA80" i="13"/>
  <c r="AB80" i="13"/>
  <c r="AD80" i="13"/>
  <c r="AF80" i="13"/>
  <c r="AG80" i="13"/>
  <c r="AH80" i="13"/>
  <c r="W78" i="13"/>
  <c r="AE78" i="13" s="1"/>
  <c r="Z78" i="13"/>
  <c r="AF78" i="13" s="1"/>
  <c r="AA78" i="13"/>
  <c r="AB78" i="13"/>
  <c r="AD78" i="13"/>
  <c r="AG78" i="13"/>
  <c r="AH78" i="13"/>
  <c r="W77" i="13"/>
  <c r="AE77" i="13" s="1"/>
  <c r="Z77" i="13"/>
  <c r="AA77" i="13"/>
  <c r="AB77" i="13"/>
  <c r="AD77" i="13"/>
  <c r="AF77" i="13"/>
  <c r="AG77" i="13"/>
  <c r="AH77" i="13"/>
  <c r="W76" i="13"/>
  <c r="AE76" i="13" s="1"/>
  <c r="Z76" i="13"/>
  <c r="AA76" i="13"/>
  <c r="AB76" i="13"/>
  <c r="AD76" i="13"/>
  <c r="AG76" i="13"/>
  <c r="AH76" i="13"/>
  <c r="W75" i="13"/>
  <c r="AE75" i="13" s="1"/>
  <c r="Z75" i="13"/>
  <c r="AA75" i="13"/>
  <c r="AB75" i="13"/>
  <c r="AD75" i="13"/>
  <c r="AG75" i="13"/>
  <c r="AH75" i="13"/>
  <c r="X75" i="13" l="1"/>
  <c r="AC75" i="13" s="1"/>
  <c r="X77" i="13"/>
  <c r="AC77" i="13" s="1"/>
  <c r="X83" i="13"/>
  <c r="AC83" i="13" s="1"/>
  <c r="Y78" i="13"/>
  <c r="Y80" i="13"/>
  <c r="AF75" i="13"/>
  <c r="Y75" i="13" s="1"/>
  <c r="Y77" i="13"/>
  <c r="Y83" i="13"/>
  <c r="X80" i="13"/>
  <c r="AC80" i="13" s="1"/>
  <c r="X78" i="13"/>
  <c r="AC78" i="13" s="1"/>
  <c r="X76" i="13"/>
  <c r="AC76" i="13" s="1"/>
  <c r="X82" i="13"/>
  <c r="AC82" i="13" s="1"/>
  <c r="AF76" i="13"/>
  <c r="Y76" i="13" s="1"/>
  <c r="X81" i="13"/>
  <c r="AC81" i="13" s="1"/>
  <c r="AF82" i="13"/>
  <c r="Y82" i="13" s="1"/>
  <c r="Y81" i="13"/>
  <c r="W74" i="13"/>
  <c r="AE74" i="13" s="1"/>
  <c r="Z74" i="13"/>
  <c r="AA74" i="13"/>
  <c r="AB74" i="13"/>
  <c r="AD74" i="13"/>
  <c r="AG74" i="13"/>
  <c r="AH74" i="13"/>
  <c r="W73" i="13"/>
  <c r="AE73" i="13" s="1"/>
  <c r="Z73" i="13"/>
  <c r="AA73" i="13"/>
  <c r="AB73" i="13"/>
  <c r="AD73" i="13"/>
  <c r="AF73" i="13"/>
  <c r="AG73" i="13"/>
  <c r="AH73" i="13"/>
  <c r="W72" i="13"/>
  <c r="AE72" i="13" s="1"/>
  <c r="Z72" i="13"/>
  <c r="AA72" i="13"/>
  <c r="AB72" i="13"/>
  <c r="AD72" i="13"/>
  <c r="AF72" i="13"/>
  <c r="AG72" i="13"/>
  <c r="AH72" i="13"/>
  <c r="W71" i="13"/>
  <c r="AE71" i="13" s="1"/>
  <c r="Z71" i="13"/>
  <c r="AA71" i="13"/>
  <c r="AB71" i="13"/>
  <c r="AD71" i="13"/>
  <c r="AG71" i="13"/>
  <c r="AH71" i="13"/>
  <c r="W70" i="13"/>
  <c r="AE70" i="13" s="1"/>
  <c r="Z70" i="13"/>
  <c r="AF70" i="13" s="1"/>
  <c r="AA70" i="13"/>
  <c r="AB70" i="13"/>
  <c r="AD70" i="13"/>
  <c r="AG70" i="13"/>
  <c r="AH70" i="13"/>
  <c r="W69" i="13"/>
  <c r="AE69" i="13" s="1"/>
  <c r="Z69" i="13"/>
  <c r="AA69" i="13"/>
  <c r="AB69" i="13"/>
  <c r="AD69" i="13"/>
  <c r="AF69" i="13"/>
  <c r="AG69" i="13"/>
  <c r="AH69" i="13"/>
  <c r="W68" i="13"/>
  <c r="AE68" i="13" s="1"/>
  <c r="Z68" i="13"/>
  <c r="AF68" i="13" s="1"/>
  <c r="AA68" i="13"/>
  <c r="AB68" i="13"/>
  <c r="AD68" i="13"/>
  <c r="AG68" i="13"/>
  <c r="AH68" i="13"/>
  <c r="W67" i="13"/>
  <c r="AE67" i="13" s="1"/>
  <c r="Z67" i="13"/>
  <c r="AA67" i="13"/>
  <c r="AB67" i="13"/>
  <c r="AD67" i="13"/>
  <c r="AF67" i="13"/>
  <c r="AG67" i="13"/>
  <c r="AH67" i="13"/>
  <c r="X71" i="13" l="1"/>
  <c r="AC71" i="13" s="1"/>
  <c r="Y69" i="13"/>
  <c r="X74" i="13"/>
  <c r="AC74" i="13" s="1"/>
  <c r="X69" i="13"/>
  <c r="AC69" i="13" s="1"/>
  <c r="AF71" i="13"/>
  <c r="Y71" i="13" s="1"/>
  <c r="X73" i="13"/>
  <c r="AC73" i="13" s="1"/>
  <c r="AF74" i="13"/>
  <c r="Y74" i="13" s="1"/>
  <c r="Y73" i="13"/>
  <c r="X68" i="13"/>
  <c r="AC68" i="13" s="1"/>
  <c r="Y68" i="13"/>
  <c r="X70" i="13"/>
  <c r="AC70" i="13" s="1"/>
  <c r="Y70" i="13"/>
  <c r="X72" i="13"/>
  <c r="AC72" i="13" s="1"/>
  <c r="X67" i="13"/>
  <c r="AC67" i="13" s="1"/>
  <c r="Y67" i="13"/>
  <c r="Y72" i="13"/>
  <c r="W66" i="13"/>
  <c r="AE66" i="13" s="1"/>
  <c r="Z66" i="13"/>
  <c r="AA66" i="13"/>
  <c r="AB66" i="13"/>
  <c r="AD66" i="13"/>
  <c r="AF66" i="13"/>
  <c r="AG66" i="13"/>
  <c r="AH66" i="13"/>
  <c r="W65" i="13"/>
  <c r="AE65" i="13" s="1"/>
  <c r="Z65" i="13"/>
  <c r="AA65" i="13"/>
  <c r="AB65" i="13"/>
  <c r="AD65" i="13"/>
  <c r="AF65" i="13"/>
  <c r="AG65" i="13"/>
  <c r="AH65" i="13"/>
  <c r="W64" i="13"/>
  <c r="AE64" i="13" s="1"/>
  <c r="Z64" i="13"/>
  <c r="AA64" i="13"/>
  <c r="AB64" i="13"/>
  <c r="AD64" i="13"/>
  <c r="AF64" i="13"/>
  <c r="AG64" i="13"/>
  <c r="AH64" i="13"/>
  <c r="W63" i="13"/>
  <c r="AE63" i="13" s="1"/>
  <c r="Z63" i="13"/>
  <c r="AA63" i="13"/>
  <c r="AB63" i="13"/>
  <c r="AD63" i="13"/>
  <c r="AF63" i="13"/>
  <c r="AG63" i="13"/>
  <c r="AH63" i="13"/>
  <c r="W62" i="13"/>
  <c r="AE62" i="13" s="1"/>
  <c r="Z62" i="13"/>
  <c r="AA62" i="13"/>
  <c r="AB62" i="13"/>
  <c r="AD62" i="13"/>
  <c r="AF62" i="13"/>
  <c r="AG62" i="13"/>
  <c r="AH62" i="13"/>
  <c r="W61" i="13"/>
  <c r="AE61" i="13" s="1"/>
  <c r="Z61" i="13"/>
  <c r="AF61" i="13" s="1"/>
  <c r="AA61" i="13"/>
  <c r="AB61" i="13"/>
  <c r="AD61" i="13"/>
  <c r="AG61" i="13"/>
  <c r="AH61" i="13"/>
  <c r="W60" i="13"/>
  <c r="AE60" i="13" s="1"/>
  <c r="Z60" i="13"/>
  <c r="AA60" i="13"/>
  <c r="AB60" i="13"/>
  <c r="AD60" i="13"/>
  <c r="AG60" i="13"/>
  <c r="AH60" i="13"/>
  <c r="W59" i="13"/>
  <c r="AE59" i="13" s="1"/>
  <c r="Z59" i="13"/>
  <c r="AA59" i="13"/>
  <c r="AB59" i="13"/>
  <c r="AD59" i="13"/>
  <c r="AF59" i="13"/>
  <c r="AG59" i="13"/>
  <c r="AH59" i="13"/>
  <c r="W58" i="13"/>
  <c r="AE58" i="13" s="1"/>
  <c r="Z58" i="13"/>
  <c r="AA58" i="13"/>
  <c r="AB58" i="13"/>
  <c r="AD58" i="13"/>
  <c r="AF58" i="13"/>
  <c r="AG58" i="13"/>
  <c r="AH58" i="13"/>
  <c r="W57" i="13"/>
  <c r="AE57" i="13" s="1"/>
  <c r="Z57" i="13"/>
  <c r="AA57" i="13"/>
  <c r="AB57" i="13"/>
  <c r="AD57" i="13"/>
  <c r="AF57" i="13"/>
  <c r="AG57" i="13"/>
  <c r="AH57" i="13"/>
  <c r="W56" i="13"/>
  <c r="AE56" i="13" s="1"/>
  <c r="Z56" i="13"/>
  <c r="AA56" i="13"/>
  <c r="AB56" i="13"/>
  <c r="AD56" i="13"/>
  <c r="AG56" i="13"/>
  <c r="AH56" i="13"/>
  <c r="W55" i="13"/>
  <c r="AE55" i="13" s="1"/>
  <c r="Z55" i="13"/>
  <c r="AA55" i="13"/>
  <c r="AB55" i="13"/>
  <c r="AD55" i="13"/>
  <c r="AF55" i="13"/>
  <c r="AG55" i="13"/>
  <c r="AH55" i="13"/>
  <c r="X56" i="13" l="1"/>
  <c r="AC56" i="13" s="1"/>
  <c r="AF56" i="13"/>
  <c r="Y56" i="13" s="1"/>
  <c r="X58" i="13"/>
  <c r="AC58" i="13" s="1"/>
  <c r="X64" i="13"/>
  <c r="AC64" i="13" s="1"/>
  <c r="X60" i="13"/>
  <c r="AC60" i="13" s="1"/>
  <c r="X55" i="13"/>
  <c r="AC55" i="13" s="1"/>
  <c r="AF60" i="13"/>
  <c r="Y60" i="13" s="1"/>
  <c r="X62" i="13"/>
  <c r="AC62" i="13" s="1"/>
  <c r="X66" i="13"/>
  <c r="AC66" i="13" s="1"/>
  <c r="Y55" i="13"/>
  <c r="X57" i="13"/>
  <c r="AC57" i="13" s="1"/>
  <c r="X59" i="13"/>
  <c r="AC59" i="13" s="1"/>
  <c r="X61" i="13"/>
  <c r="AC61" i="13" s="1"/>
  <c r="X63" i="13"/>
  <c r="AC63" i="13" s="1"/>
  <c r="X65" i="13"/>
  <c r="AC65" i="13" s="1"/>
  <c r="Y58" i="13"/>
  <c r="Y61" i="13"/>
  <c r="Y63" i="13"/>
  <c r="Y65" i="13"/>
  <c r="Y57" i="13"/>
  <c r="Y59" i="13"/>
  <c r="Y62" i="13"/>
  <c r="Y64" i="13"/>
  <c r="Y66" i="13"/>
  <c r="W54" i="13"/>
  <c r="AE54" i="13" s="1"/>
  <c r="Z54" i="13"/>
  <c r="AA54" i="13"/>
  <c r="AB54" i="13"/>
  <c r="AD54" i="13"/>
  <c r="AF54" i="13"/>
  <c r="AG54" i="13"/>
  <c r="AH54" i="13"/>
  <c r="W53" i="13"/>
  <c r="AE53" i="13" s="1"/>
  <c r="Z53" i="13"/>
  <c r="AA53" i="13"/>
  <c r="AB53" i="13"/>
  <c r="AD53" i="13"/>
  <c r="AG53" i="13"/>
  <c r="AH53" i="13"/>
  <c r="W52" i="13"/>
  <c r="AE52" i="13" s="1"/>
  <c r="Z52" i="13"/>
  <c r="AA52" i="13"/>
  <c r="AB52" i="13"/>
  <c r="AD52" i="13"/>
  <c r="AF52" i="13"/>
  <c r="AG52" i="13"/>
  <c r="AH52" i="13"/>
  <c r="X53" i="13" l="1"/>
  <c r="AC53" i="13" s="1"/>
  <c r="AF53" i="13"/>
  <c r="Y53" i="13" s="1"/>
  <c r="X52" i="13"/>
  <c r="AC52" i="13" s="1"/>
  <c r="Y52" i="13"/>
  <c r="Y54" i="13"/>
  <c r="X54" i="13"/>
  <c r="AC54" i="13" s="1"/>
  <c r="W51" i="13"/>
  <c r="AE51" i="13" s="1"/>
  <c r="Z51" i="13"/>
  <c r="AA51" i="13"/>
  <c r="AB51" i="13"/>
  <c r="AD51" i="13"/>
  <c r="AG51" i="13"/>
  <c r="AH51" i="13"/>
  <c r="W50" i="13"/>
  <c r="AE50" i="13" s="1"/>
  <c r="Z50" i="13"/>
  <c r="AF50" i="13" s="1"/>
  <c r="AA50" i="13"/>
  <c r="AB50" i="13"/>
  <c r="AD50" i="13"/>
  <c r="AG50" i="13"/>
  <c r="AH50" i="13"/>
  <c r="W49" i="13"/>
  <c r="AE49" i="13" s="1"/>
  <c r="Z49" i="13"/>
  <c r="AA49" i="13"/>
  <c r="AB49" i="13"/>
  <c r="AD49" i="13"/>
  <c r="AF49" i="13"/>
  <c r="AG49" i="13"/>
  <c r="AH49" i="13"/>
  <c r="W48" i="13"/>
  <c r="AE48" i="13" s="1"/>
  <c r="Z48" i="13"/>
  <c r="AA48" i="13"/>
  <c r="AB48" i="13"/>
  <c r="AD48" i="13"/>
  <c r="AG48" i="13"/>
  <c r="AH48" i="13"/>
  <c r="W47" i="13"/>
  <c r="AE47" i="13" s="1"/>
  <c r="Z47" i="13"/>
  <c r="AA47" i="13"/>
  <c r="AB47" i="13"/>
  <c r="AD47" i="13"/>
  <c r="AF47" i="13"/>
  <c r="AG47" i="13"/>
  <c r="AH47" i="13"/>
  <c r="W46" i="13"/>
  <c r="AE46" i="13" s="1"/>
  <c r="Z46" i="13"/>
  <c r="AF46" i="13" s="1"/>
  <c r="AA46" i="13"/>
  <c r="AB46" i="13"/>
  <c r="AD46" i="13"/>
  <c r="AG46" i="13"/>
  <c r="AH46" i="13"/>
  <c r="W45" i="13"/>
  <c r="AE45" i="13" s="1"/>
  <c r="Z45" i="13"/>
  <c r="AA45" i="13"/>
  <c r="AB45" i="13"/>
  <c r="AD45" i="13"/>
  <c r="AF45" i="13"/>
  <c r="AG45" i="13"/>
  <c r="AH45" i="13"/>
  <c r="X51" i="13" l="1"/>
  <c r="AC51" i="13" s="1"/>
  <c r="AF51" i="13"/>
  <c r="Y51" i="13" s="1"/>
  <c r="X48" i="13"/>
  <c r="AC48" i="13" s="1"/>
  <c r="X47" i="13"/>
  <c r="AC47" i="13" s="1"/>
  <c r="AF48" i="13"/>
  <c r="Y48" i="13" s="1"/>
  <c r="Y47" i="13"/>
  <c r="X50" i="13"/>
  <c r="AC50" i="13" s="1"/>
  <c r="Y50" i="13"/>
  <c r="Y49" i="13"/>
  <c r="X45" i="13"/>
  <c r="AC45" i="13" s="1"/>
  <c r="Y46" i="13"/>
  <c r="Y45" i="13"/>
  <c r="X46" i="13"/>
  <c r="AC46" i="13" s="1"/>
  <c r="X49" i="13"/>
  <c r="AC49" i="13" s="1"/>
  <c r="W44" i="13"/>
  <c r="AE44" i="13" s="1"/>
  <c r="Z44" i="13"/>
  <c r="AA44" i="13"/>
  <c r="AB44" i="13"/>
  <c r="AD44" i="13"/>
  <c r="AF44" i="13"/>
  <c r="AG44" i="13"/>
  <c r="AH44" i="13"/>
  <c r="W43" i="13"/>
  <c r="AE43" i="13" s="1"/>
  <c r="Z43" i="13"/>
  <c r="AA43" i="13"/>
  <c r="AB43" i="13"/>
  <c r="AD43" i="13"/>
  <c r="AF43" i="13"/>
  <c r="AG43" i="13"/>
  <c r="AH43" i="13"/>
  <c r="W42" i="13"/>
  <c r="AE42" i="13" s="1"/>
  <c r="Z42" i="13"/>
  <c r="AA42" i="13"/>
  <c r="AB42" i="13"/>
  <c r="AD42" i="13"/>
  <c r="AF42" i="13"/>
  <c r="AG42" i="13"/>
  <c r="AH42" i="13"/>
  <c r="W41" i="13"/>
  <c r="AE41" i="13" s="1"/>
  <c r="Z41" i="13"/>
  <c r="AA41" i="13"/>
  <c r="AB41" i="13"/>
  <c r="AD41" i="13"/>
  <c r="AF41" i="13"/>
  <c r="AG41" i="13"/>
  <c r="AH41" i="13"/>
  <c r="X44" i="13" l="1"/>
  <c r="AC44" i="13" s="1"/>
  <c r="Y44" i="13"/>
  <c r="X42" i="13"/>
  <c r="AC42" i="13" s="1"/>
  <c r="Y42" i="13"/>
  <c r="X41" i="13"/>
  <c r="AC41" i="13" s="1"/>
  <c r="Y41" i="13"/>
  <c r="X43" i="13"/>
  <c r="AC43" i="13" s="1"/>
  <c r="Y43" i="13"/>
  <c r="W40" i="13"/>
  <c r="AE40" i="13" s="1"/>
  <c r="Z40" i="13"/>
  <c r="AF40" i="13" s="1"/>
  <c r="AA40" i="13"/>
  <c r="AB40" i="13"/>
  <c r="AD40" i="13"/>
  <c r="AG40" i="13"/>
  <c r="AH40" i="13"/>
  <c r="Y40" i="13" l="1"/>
  <c r="X40" i="13"/>
  <c r="AC40" i="13" s="1"/>
  <c r="W39" i="13"/>
  <c r="AE39" i="13" s="1"/>
  <c r="Z39" i="13"/>
  <c r="AA39" i="13"/>
  <c r="AB39" i="13"/>
  <c r="AD39" i="13"/>
  <c r="AF39" i="13"/>
  <c r="AG39" i="13"/>
  <c r="AH39" i="13"/>
  <c r="W38" i="13"/>
  <c r="AE38" i="13" s="1"/>
  <c r="Z38" i="13"/>
  <c r="AA38" i="13"/>
  <c r="AB38" i="13"/>
  <c r="AD38" i="13"/>
  <c r="AF38" i="13"/>
  <c r="AG38" i="13"/>
  <c r="AH38" i="13"/>
  <c r="W37" i="13"/>
  <c r="AE37" i="13" s="1"/>
  <c r="Z37" i="13"/>
  <c r="AA37" i="13"/>
  <c r="AB37" i="13"/>
  <c r="AD37" i="13"/>
  <c r="AF37" i="13"/>
  <c r="AG37" i="13"/>
  <c r="AH37" i="13"/>
  <c r="W36" i="13"/>
  <c r="AE36" i="13" s="1"/>
  <c r="Z36" i="13"/>
  <c r="AA36" i="13"/>
  <c r="AB36" i="13"/>
  <c r="AD36" i="13"/>
  <c r="AF36" i="13"/>
  <c r="AG36" i="13"/>
  <c r="AH36" i="13"/>
  <c r="W35" i="13"/>
  <c r="AE35" i="13" s="1"/>
  <c r="Z35" i="13"/>
  <c r="AA35" i="13"/>
  <c r="AB35" i="13"/>
  <c r="AD35" i="13"/>
  <c r="AF35" i="13"/>
  <c r="AG35" i="13"/>
  <c r="AH35" i="13"/>
  <c r="W34" i="13"/>
  <c r="AE34" i="13" s="1"/>
  <c r="Z34" i="13"/>
  <c r="AF34" i="13" s="1"/>
  <c r="AA34" i="13"/>
  <c r="AB34" i="13"/>
  <c r="AD34" i="13"/>
  <c r="AG34" i="13"/>
  <c r="AH34" i="13"/>
  <c r="W33" i="13"/>
  <c r="AE33" i="13" s="1"/>
  <c r="Z33" i="13"/>
  <c r="AA33" i="13"/>
  <c r="AB33" i="13"/>
  <c r="AD33" i="13"/>
  <c r="AG33" i="13"/>
  <c r="AH33" i="13"/>
  <c r="W32" i="13"/>
  <c r="AE32" i="13" s="1"/>
  <c r="Z32" i="13"/>
  <c r="AA32" i="13"/>
  <c r="AB32" i="13"/>
  <c r="AD32" i="13"/>
  <c r="AF32" i="13"/>
  <c r="AG32" i="13"/>
  <c r="AH32" i="13"/>
  <c r="X34" i="13" l="1"/>
  <c r="AC34" i="13" s="1"/>
  <c r="Y34" i="13"/>
  <c r="X38" i="13"/>
  <c r="AC38" i="13" s="1"/>
  <c r="X36" i="13"/>
  <c r="AC36" i="13" s="1"/>
  <c r="X37" i="13"/>
  <c r="AC37" i="13" s="1"/>
  <c r="Y37" i="13"/>
  <c r="Y36" i="13"/>
  <c r="X33" i="13"/>
  <c r="AC33" i="13" s="1"/>
  <c r="X32" i="13"/>
  <c r="AC32" i="13" s="1"/>
  <c r="AF33" i="13"/>
  <c r="X35" i="13"/>
  <c r="AC35" i="13" s="1"/>
  <c r="Y32" i="13"/>
  <c r="Y35" i="13"/>
  <c r="Y33" i="13"/>
  <c r="Y38" i="13"/>
  <c r="X39" i="13"/>
  <c r="AC39" i="13" s="1"/>
  <c r="Y39" i="13"/>
  <c r="W31" i="13"/>
  <c r="AE31" i="13" s="1"/>
  <c r="Z31" i="13"/>
  <c r="AA31" i="13"/>
  <c r="AB31" i="13"/>
  <c r="AD31" i="13"/>
  <c r="AF31" i="13"/>
  <c r="AG31" i="13"/>
  <c r="AH31" i="13"/>
  <c r="W30" i="13"/>
  <c r="AE30" i="13" s="1"/>
  <c r="Z30" i="13"/>
  <c r="AF30" i="13" s="1"/>
  <c r="AA30" i="13"/>
  <c r="AB30" i="13"/>
  <c r="AD30" i="13"/>
  <c r="AG30" i="13"/>
  <c r="AH30" i="13"/>
  <c r="W29" i="13"/>
  <c r="AE29" i="13" s="1"/>
  <c r="Z29" i="13"/>
  <c r="AA29" i="13"/>
  <c r="AB29" i="13"/>
  <c r="AD29" i="13"/>
  <c r="AF29" i="13"/>
  <c r="AG29" i="13"/>
  <c r="AH29" i="13"/>
  <c r="W28" i="13"/>
  <c r="AE28" i="13" s="1"/>
  <c r="Z28" i="13"/>
  <c r="AA28" i="13"/>
  <c r="AB28" i="13"/>
  <c r="AD28" i="13"/>
  <c r="AF28" i="13"/>
  <c r="AG28" i="13"/>
  <c r="AH28" i="13"/>
  <c r="W27" i="13"/>
  <c r="AE27" i="13" s="1"/>
  <c r="Z27" i="13"/>
  <c r="AF27" i="13" s="1"/>
  <c r="AA27" i="13"/>
  <c r="AB27" i="13"/>
  <c r="AD27" i="13"/>
  <c r="AG27" i="13"/>
  <c r="AH27" i="13"/>
  <c r="W26" i="13"/>
  <c r="AE26" i="13" s="1"/>
  <c r="Z26" i="13"/>
  <c r="AA26" i="13"/>
  <c r="AB26" i="13"/>
  <c r="AD26" i="13"/>
  <c r="AF26" i="13"/>
  <c r="AG26" i="13"/>
  <c r="AH26" i="13"/>
  <c r="W25" i="13"/>
  <c r="AE25" i="13" s="1"/>
  <c r="Z25" i="13"/>
  <c r="AA25" i="13"/>
  <c r="AB25" i="13"/>
  <c r="AD25" i="13"/>
  <c r="AF25" i="13"/>
  <c r="AG25" i="13"/>
  <c r="AH25" i="13"/>
  <c r="W24" i="13"/>
  <c r="AE24" i="13" s="1"/>
  <c r="Z24" i="13"/>
  <c r="AA24" i="13"/>
  <c r="AB24" i="13"/>
  <c r="AD24" i="13"/>
  <c r="AF24" i="13"/>
  <c r="AG24" i="13"/>
  <c r="AH24" i="13"/>
  <c r="W23" i="13"/>
  <c r="AE23" i="13" s="1"/>
  <c r="Z23" i="13"/>
  <c r="AA23" i="13"/>
  <c r="AB23" i="13"/>
  <c r="AD23" i="13"/>
  <c r="AF23" i="13"/>
  <c r="AG23" i="13"/>
  <c r="AH23" i="13"/>
  <c r="W22" i="13"/>
  <c r="AE22" i="13" s="1"/>
  <c r="Z22" i="13"/>
  <c r="AA22" i="13"/>
  <c r="AB22" i="13"/>
  <c r="AD22" i="13"/>
  <c r="AF22" i="13"/>
  <c r="AG22" i="13"/>
  <c r="AH22" i="13"/>
  <c r="W21" i="13"/>
  <c r="AE21" i="13" s="1"/>
  <c r="Z21" i="13"/>
  <c r="AA21" i="13"/>
  <c r="AB21" i="13"/>
  <c r="AD21" i="13"/>
  <c r="AF21" i="13"/>
  <c r="AG21" i="13"/>
  <c r="AH21" i="13"/>
  <c r="W20" i="13"/>
  <c r="AE20" i="13" s="1"/>
  <c r="Z20" i="13"/>
  <c r="AA20" i="13"/>
  <c r="AB20" i="13"/>
  <c r="AD20" i="13"/>
  <c r="AF20" i="13"/>
  <c r="AG20" i="13"/>
  <c r="AH20" i="13"/>
  <c r="W19" i="13"/>
  <c r="AE19" i="13" s="1"/>
  <c r="Z19" i="13"/>
  <c r="AA19" i="13"/>
  <c r="AB19" i="13"/>
  <c r="AD19" i="13"/>
  <c r="AF19" i="13"/>
  <c r="AG19" i="13"/>
  <c r="AH19" i="13"/>
  <c r="W18" i="13"/>
  <c r="AE18" i="13" s="1"/>
  <c r="Z18" i="13"/>
  <c r="AA18" i="13"/>
  <c r="AB18" i="13"/>
  <c r="AD18" i="13"/>
  <c r="AG18" i="13"/>
  <c r="AH18" i="13"/>
  <c r="W17" i="13"/>
  <c r="AE17" i="13" s="1"/>
  <c r="Z17" i="13"/>
  <c r="AA17" i="13"/>
  <c r="AB17" i="13"/>
  <c r="AD17" i="13"/>
  <c r="AG17" i="13"/>
  <c r="AH17" i="13"/>
  <c r="X22" i="13" l="1"/>
  <c r="AC22" i="13" s="1"/>
  <c r="X24" i="13"/>
  <c r="AC24" i="13" s="1"/>
  <c r="X20" i="13"/>
  <c r="AC20" i="13" s="1"/>
  <c r="X23" i="13"/>
  <c r="AC23" i="13" s="1"/>
  <c r="X26" i="13"/>
  <c r="AC26" i="13" s="1"/>
  <c r="X31" i="13"/>
  <c r="AC31" i="13" s="1"/>
  <c r="Y21" i="13"/>
  <c r="Y22" i="13"/>
  <c r="Y24" i="13"/>
  <c r="Y23" i="13"/>
  <c r="Y26" i="13"/>
  <c r="Y31" i="13"/>
  <c r="X25" i="13"/>
  <c r="AC25" i="13" s="1"/>
  <c r="X18" i="13"/>
  <c r="AC18" i="13" s="1"/>
  <c r="Y19" i="13"/>
  <c r="Y25" i="13"/>
  <c r="Y20" i="13"/>
  <c r="X30" i="13"/>
  <c r="AC30" i="13" s="1"/>
  <c r="Y30" i="13"/>
  <c r="X27" i="13"/>
  <c r="AC27" i="13" s="1"/>
  <c r="AF18" i="13"/>
  <c r="Y18" i="13" s="1"/>
  <c r="X29" i="13"/>
  <c r="AC29" i="13" s="1"/>
  <c r="Y27" i="13"/>
  <c r="Y29" i="13"/>
  <c r="X28" i="13"/>
  <c r="AC28" i="13" s="1"/>
  <c r="Y28" i="13"/>
  <c r="X17" i="13"/>
  <c r="AC17" i="13" s="1"/>
  <c r="AF17" i="13"/>
  <c r="Y17" i="13" s="1"/>
  <c r="X21" i="13"/>
  <c r="AC21" i="13" s="1"/>
  <c r="X19" i="13"/>
  <c r="AC19" i="13" s="1"/>
  <c r="W16" i="13"/>
  <c r="AE16" i="13" s="1"/>
  <c r="Z16" i="13"/>
  <c r="AA16" i="13"/>
  <c r="AB16" i="13"/>
  <c r="AD16" i="13"/>
  <c r="AF16" i="13"/>
  <c r="AG16" i="13"/>
  <c r="AH16" i="13"/>
  <c r="W15" i="13"/>
  <c r="AE15" i="13" s="1"/>
  <c r="Z15" i="13"/>
  <c r="AA15" i="13"/>
  <c r="AB15" i="13"/>
  <c r="AD15" i="13"/>
  <c r="AG15" i="13"/>
  <c r="AH15" i="13"/>
  <c r="W14" i="13"/>
  <c r="AE14" i="13" s="1"/>
  <c r="Z14" i="13"/>
  <c r="AA14" i="13"/>
  <c r="AB14" i="13"/>
  <c r="AD14" i="13"/>
  <c r="AF14" i="13"/>
  <c r="AG14" i="13"/>
  <c r="AH14" i="13"/>
  <c r="AH13" i="13"/>
  <c r="AG13" i="13"/>
  <c r="AF13" i="13"/>
  <c r="AD13" i="13"/>
  <c r="AB13" i="13"/>
  <c r="AA13" i="13"/>
  <c r="Z13" i="13"/>
  <c r="W13" i="13"/>
  <c r="AE13" i="13" s="1"/>
  <c r="W12" i="13"/>
  <c r="AE12" i="13" s="1"/>
  <c r="Z12" i="13"/>
  <c r="AA12" i="13"/>
  <c r="AB12" i="13"/>
  <c r="AD12" i="13"/>
  <c r="AF12" i="13"/>
  <c r="AG12" i="13"/>
  <c r="AH12" i="13"/>
  <c r="W11" i="13"/>
  <c r="AE11" i="13" s="1"/>
  <c r="Z11" i="13"/>
  <c r="AA11" i="13"/>
  <c r="AB11" i="13"/>
  <c r="AD11" i="13"/>
  <c r="AF11" i="13"/>
  <c r="AG11" i="13"/>
  <c r="AH11" i="13"/>
  <c r="Y14" i="13" l="1"/>
  <c r="X12" i="13"/>
  <c r="AC12" i="13" s="1"/>
  <c r="X16" i="13"/>
  <c r="AC16" i="13" s="1"/>
  <c r="Y13" i="13"/>
  <c r="Y16" i="13"/>
  <c r="Y12" i="13"/>
  <c r="X14" i="13"/>
  <c r="AC14" i="13" s="1"/>
  <c r="X11" i="13"/>
  <c r="AC11" i="13" s="1"/>
  <c r="X15" i="13"/>
  <c r="AC15" i="13" s="1"/>
  <c r="Y11" i="13"/>
  <c r="AF15" i="13"/>
  <c r="Y15" i="13" s="1"/>
  <c r="X13" i="13"/>
  <c r="AC13" i="13" s="1"/>
  <c r="W10" i="13"/>
  <c r="AE10" i="13" s="1"/>
  <c r="Z10" i="13"/>
  <c r="AA10" i="13"/>
  <c r="AB10" i="13"/>
  <c r="AD10" i="13"/>
  <c r="AG10" i="13"/>
  <c r="AH10" i="13"/>
  <c r="W9" i="13"/>
  <c r="AE9" i="13" s="1"/>
  <c r="Z9" i="13"/>
  <c r="AA9" i="13"/>
  <c r="AB9" i="13"/>
  <c r="AD9" i="13"/>
  <c r="AF9" i="13"/>
  <c r="AG9" i="13"/>
  <c r="AH9" i="13"/>
  <c r="W8" i="13"/>
  <c r="AE8" i="13" s="1"/>
  <c r="Z8" i="13"/>
  <c r="AA8" i="13"/>
  <c r="AB8" i="13"/>
  <c r="AD8" i="13"/>
  <c r="AF8" i="13"/>
  <c r="AG8" i="13"/>
  <c r="AH8" i="13"/>
  <c r="W7" i="13"/>
  <c r="AE7" i="13" s="1"/>
  <c r="Z7" i="13"/>
  <c r="AA7" i="13"/>
  <c r="AB7" i="13"/>
  <c r="AD7" i="13"/>
  <c r="AF7" i="13"/>
  <c r="AG7" i="13"/>
  <c r="AH7" i="13"/>
  <c r="X9" i="13" l="1"/>
  <c r="AC9" i="13" s="1"/>
  <c r="X7" i="13"/>
  <c r="AC7" i="13" s="1"/>
  <c r="Y9" i="13"/>
  <c r="Y7" i="13"/>
  <c r="Y8" i="13"/>
  <c r="X10" i="13"/>
  <c r="AC10" i="13" s="1"/>
  <c r="X8" i="13"/>
  <c r="AC8" i="13" s="1"/>
  <c r="AF10" i="13"/>
  <c r="Y10" i="13" s="1"/>
  <c r="W6" i="13"/>
  <c r="AE6" i="13" s="1"/>
  <c r="Z6" i="13"/>
  <c r="AA6" i="13"/>
  <c r="AB6" i="13"/>
  <c r="AD6" i="13"/>
  <c r="AF6" i="13"/>
  <c r="AG6" i="13"/>
  <c r="AH6" i="13"/>
  <c r="Y6" i="13" l="1"/>
  <c r="X6" i="13"/>
  <c r="AC6" i="13" s="1"/>
  <c r="W5" i="13"/>
  <c r="AE5" i="13" s="1"/>
  <c r="Z5" i="13"/>
  <c r="AF5" i="13" s="1"/>
  <c r="AA5" i="13"/>
  <c r="AB5" i="13"/>
  <c r="AD5" i="13"/>
  <c r="AG5" i="13"/>
  <c r="AH5" i="13"/>
  <c r="W4" i="13"/>
  <c r="AE4" i="13" s="1"/>
  <c r="Z4" i="13"/>
  <c r="AF4" i="13" s="1"/>
  <c r="AA4" i="13"/>
  <c r="AB4" i="13"/>
  <c r="AD4" i="13"/>
  <c r="AG4" i="13"/>
  <c r="AH4" i="13"/>
  <c r="Y4" i="13" l="1"/>
  <c r="Y5" i="13"/>
  <c r="X5" i="13"/>
  <c r="AC5" i="13" s="1"/>
  <c r="X4" i="13"/>
  <c r="AC4" i="13" s="1"/>
  <c r="W3" i="13"/>
  <c r="AE3" i="13" s="1"/>
  <c r="Z3" i="13"/>
  <c r="AA3" i="13"/>
  <c r="AB3" i="13"/>
  <c r="AD3" i="13"/>
  <c r="AF3" i="13"/>
  <c r="AG3" i="13"/>
  <c r="AH3" i="13"/>
  <c r="Y3" i="13" l="1"/>
  <c r="X3" i="13"/>
  <c r="AC3" i="13" s="1"/>
  <c r="K4" i="17" l="1"/>
  <c r="K5" i="17"/>
  <c r="L5" i="17" s="1"/>
  <c r="K6" i="17"/>
  <c r="K7" i="17"/>
  <c r="L7" i="17" s="1"/>
  <c r="K8" i="17"/>
  <c r="L8" i="17" s="1"/>
  <c r="K9" i="17"/>
  <c r="L9" i="17" s="1"/>
  <c r="K10" i="17"/>
  <c r="M10" i="17" s="1"/>
  <c r="K11" i="17"/>
  <c r="M11" i="17" s="1"/>
  <c r="K12" i="17"/>
  <c r="K13" i="17"/>
  <c r="L13" i="17" s="1"/>
  <c r="K14" i="17"/>
  <c r="K15" i="17"/>
  <c r="L15" i="17" s="1"/>
  <c r="L4" i="17"/>
  <c r="L6" i="17"/>
  <c r="L12" i="17"/>
  <c r="L14" i="17"/>
  <c r="M4" i="17"/>
  <c r="M5" i="17"/>
  <c r="M6" i="17"/>
  <c r="M9" i="17"/>
  <c r="M12" i="17"/>
  <c r="M13" i="17"/>
  <c r="M14" i="17"/>
  <c r="M15" i="17"/>
  <c r="N4" i="17"/>
  <c r="N9" i="17"/>
  <c r="N12" i="17"/>
  <c r="N14" i="17"/>
  <c r="O12" i="17" l="1"/>
  <c r="O4" i="17"/>
  <c r="N13" i="17"/>
  <c r="O13" i="17" s="1"/>
  <c r="O14" i="17"/>
  <c r="N7" i="17"/>
  <c r="O7" i="17" s="1"/>
  <c r="N15" i="17"/>
  <c r="O15" i="17" s="1"/>
  <c r="M8" i="17"/>
  <c r="M7" i="17"/>
  <c r="O9" i="17"/>
  <c r="L11" i="17"/>
  <c r="N11" i="17"/>
  <c r="N10" i="17"/>
  <c r="N8" i="17"/>
  <c r="O8" i="17" s="1"/>
  <c r="L10" i="17"/>
  <c r="M16" i="17" l="1"/>
  <c r="L16" i="17"/>
  <c r="O11" i="17"/>
  <c r="O10" i="17"/>
  <c r="G5" i="3"/>
  <c r="Y30" i="8" l="1"/>
  <c r="Y29" i="8"/>
  <c r="Y28" i="8"/>
  <c r="Y27" i="8"/>
  <c r="Y26" i="8"/>
  <c r="Y25" i="8"/>
  <c r="Y24" i="8"/>
  <c r="Y23" i="8"/>
  <c r="Y22" i="8"/>
  <c r="Y21" i="8"/>
  <c r="Y20" i="8"/>
  <c r="Y19" i="8"/>
  <c r="T30" i="8"/>
  <c r="T29" i="8"/>
  <c r="T28" i="8"/>
  <c r="T27" i="8"/>
  <c r="T26" i="8"/>
  <c r="T25" i="8"/>
  <c r="T24" i="8"/>
  <c r="T23" i="8"/>
  <c r="T22" i="8"/>
  <c r="T21" i="8"/>
  <c r="T20" i="8"/>
  <c r="T19" i="8"/>
  <c r="O30" i="8"/>
  <c r="O29" i="8"/>
  <c r="O28" i="8"/>
  <c r="O27" i="8"/>
  <c r="O26" i="8"/>
  <c r="O25" i="8"/>
  <c r="O24" i="8"/>
  <c r="O23" i="8"/>
  <c r="O22" i="8"/>
  <c r="O21" i="8"/>
  <c r="O20" i="8"/>
  <c r="O19" i="8"/>
  <c r="J30" i="8"/>
  <c r="J29" i="8"/>
  <c r="J28" i="8"/>
  <c r="J27" i="8"/>
  <c r="J26" i="8"/>
  <c r="J25" i="8"/>
  <c r="J24" i="8"/>
  <c r="J23" i="8"/>
  <c r="J22" i="8"/>
  <c r="J21" i="8"/>
  <c r="J20" i="8"/>
  <c r="J19" i="8"/>
  <c r="E30" i="8"/>
  <c r="E29" i="8"/>
  <c r="E28" i="8"/>
  <c r="E27" i="8"/>
  <c r="E26" i="8"/>
  <c r="E25" i="8"/>
  <c r="E24" i="8"/>
  <c r="E23" i="8"/>
  <c r="E22" i="8"/>
  <c r="E21" i="8"/>
  <c r="E20" i="8"/>
  <c r="E19" i="8"/>
  <c r="AC18" i="8" l="1"/>
  <c r="A123" i="14"/>
  <c r="A122" i="14"/>
  <c r="A121" i="14"/>
  <c r="A120" i="14"/>
  <c r="A119" i="14"/>
  <c r="A118" i="14"/>
  <c r="A117" i="14"/>
  <c r="A116" i="14"/>
  <c r="A115" i="14"/>
  <c r="A114" i="14"/>
  <c r="A113" i="14"/>
  <c r="A112" i="14"/>
  <c r="A111" i="14"/>
  <c r="A110" i="14"/>
  <c r="A109" i="14"/>
  <c r="A108" i="14"/>
  <c r="A107" i="14"/>
  <c r="A106" i="14"/>
  <c r="A105" i="14"/>
  <c r="A104" i="14"/>
  <c r="G82" i="2" l="1"/>
  <c r="G83" i="2"/>
  <c r="G84" i="2"/>
  <c r="G85" i="2"/>
  <c r="G86" i="2"/>
  <c r="G87" i="2"/>
  <c r="G88" i="2"/>
  <c r="G89" i="2"/>
  <c r="G90" i="2"/>
  <c r="G91" i="2"/>
  <c r="A103" i="14"/>
  <c r="A102" i="14"/>
  <c r="A101" i="14"/>
  <c r="A100" i="14"/>
  <c r="A99" i="14"/>
  <c r="A98" i="14"/>
  <c r="A97" i="14"/>
  <c r="A96" i="14"/>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C13" i="2"/>
  <c r="C10" i="2"/>
  <c r="C11" i="2"/>
  <c r="C12" i="2"/>
  <c r="W2" i="13" l="1"/>
  <c r="AE2" i="13" s="1"/>
  <c r="Z2" i="13"/>
  <c r="AF2" i="13" s="1"/>
  <c r="AA2" i="13"/>
  <c r="AB2" i="13"/>
  <c r="AD2" i="13"/>
  <c r="AG2" i="13"/>
  <c r="AH2" i="13"/>
  <c r="Y2" i="13" l="1"/>
  <c r="N5" i="17" s="1"/>
  <c r="O5" i="17" s="1"/>
  <c r="X2" i="13"/>
  <c r="AC2" i="13" s="1"/>
  <c r="G94" i="2"/>
  <c r="G9" i="2"/>
  <c r="G7" i="2"/>
  <c r="G6" i="2"/>
  <c r="G4" i="2"/>
  <c r="G2" i="2"/>
  <c r="H4" i="17" l="1"/>
  <c r="N6" i="17"/>
  <c r="AI2" i="13"/>
  <c r="AI3" i="13" s="1"/>
  <c r="AI4" i="13" s="1"/>
  <c r="AI5" i="13" s="1"/>
  <c r="AI6" i="13" s="1"/>
  <c r="AI7" i="13" s="1"/>
  <c r="AI8" i="13" s="1"/>
  <c r="AI9" i="13" s="1"/>
  <c r="AI10" i="13" s="1"/>
  <c r="AI11" i="13" s="1"/>
  <c r="AI12" i="13" s="1"/>
  <c r="AI13" i="13" s="1"/>
  <c r="AI14" i="13" s="1"/>
  <c r="AI15" i="13" s="1"/>
  <c r="AI16" i="13" s="1"/>
  <c r="AI17" i="13" s="1"/>
  <c r="AI18" i="13" s="1"/>
  <c r="AI19" i="13" s="1"/>
  <c r="AI20" i="13" s="1"/>
  <c r="AI21" i="13" s="1"/>
  <c r="AI22" i="13" s="1"/>
  <c r="AI23" i="13" s="1"/>
  <c r="AI24" i="13" s="1"/>
  <c r="AI25" i="13" s="1"/>
  <c r="AI26" i="13" s="1"/>
  <c r="AI27" i="13" s="1"/>
  <c r="AI28" i="13" s="1"/>
  <c r="AI29" i="13" s="1"/>
  <c r="AI30" i="13" s="1"/>
  <c r="AI31" i="13" s="1"/>
  <c r="AI32" i="13" s="1"/>
  <c r="AI33" i="13" s="1"/>
  <c r="AI34" i="13" s="1"/>
  <c r="AI35" i="13" s="1"/>
  <c r="AI36" i="13" s="1"/>
  <c r="AI37" i="13" s="1"/>
  <c r="AI38" i="13" s="1"/>
  <c r="AI39" i="13" s="1"/>
  <c r="AI40" i="13" s="1"/>
  <c r="AI41" i="13" s="1"/>
  <c r="AI42" i="13" s="1"/>
  <c r="AI43" i="13" s="1"/>
  <c r="AI44" i="13" s="1"/>
  <c r="AI45" i="13" s="1"/>
  <c r="AI46" i="13" s="1"/>
  <c r="AI47" i="13" s="1"/>
  <c r="AI48" i="13" s="1"/>
  <c r="AI49" i="13" s="1"/>
  <c r="AI50" i="13" s="1"/>
  <c r="AI51" i="13" s="1"/>
  <c r="AI52" i="13" s="1"/>
  <c r="AI53" i="13" s="1"/>
  <c r="AI54" i="13" s="1"/>
  <c r="AI55" i="13" s="1"/>
  <c r="AI56" i="13" s="1"/>
  <c r="AI57" i="13" s="1"/>
  <c r="AI58" i="13" s="1"/>
  <c r="AI59" i="13" s="1"/>
  <c r="AI60" i="13" s="1"/>
  <c r="AI61" i="13" s="1"/>
  <c r="AI62" i="13" s="1"/>
  <c r="AI63" i="13" s="1"/>
  <c r="AI64" i="13" s="1"/>
  <c r="AI65" i="13" s="1"/>
  <c r="AI66" i="13" s="1"/>
  <c r="AI67" i="13" s="1"/>
  <c r="AI68" i="13" s="1"/>
  <c r="AI69" i="13" s="1"/>
  <c r="AI70" i="13" s="1"/>
  <c r="AI71" i="13" s="1"/>
  <c r="AI72" i="13" s="1"/>
  <c r="AI73" i="13" s="1"/>
  <c r="AI74" i="13" s="1"/>
  <c r="AI75" i="13" s="1"/>
  <c r="AI76" i="13" s="1"/>
  <c r="AI77" i="13" s="1"/>
  <c r="AI78" i="13" s="1"/>
  <c r="AI79" i="13" s="1"/>
  <c r="Z30" i="8"/>
  <c r="Z22" i="8"/>
  <c r="U26" i="8"/>
  <c r="P30" i="8"/>
  <c r="P22" i="8"/>
  <c r="F30" i="8"/>
  <c r="K25" i="8"/>
  <c r="K28" i="8"/>
  <c r="Z29" i="8"/>
  <c r="Z21" i="8"/>
  <c r="U25" i="8"/>
  <c r="P29" i="8"/>
  <c r="P21" i="8"/>
  <c r="F29" i="8"/>
  <c r="F24" i="8"/>
  <c r="Z28" i="8"/>
  <c r="Z20" i="8"/>
  <c r="U24" i="8"/>
  <c r="P28" i="8"/>
  <c r="P20" i="8"/>
  <c r="K24" i="8"/>
  <c r="F28" i="8"/>
  <c r="F20" i="8"/>
  <c r="F19" i="8"/>
  <c r="K21" i="8"/>
  <c r="U20" i="8"/>
  <c r="Z27" i="8"/>
  <c r="Z19" i="8"/>
  <c r="U23" i="8"/>
  <c r="P27" i="8"/>
  <c r="P19" i="8"/>
  <c r="K23" i="8"/>
  <c r="F27" i="8"/>
  <c r="F26" i="8"/>
  <c r="U28" i="8"/>
  <c r="Z26" i="8"/>
  <c r="U30" i="8"/>
  <c r="U22" i="8"/>
  <c r="P26" i="8"/>
  <c r="K30" i="8"/>
  <c r="K22" i="8"/>
  <c r="F25" i="8"/>
  <c r="P24" i="8"/>
  <c r="Z25" i="8"/>
  <c r="U29" i="8"/>
  <c r="U21" i="8"/>
  <c r="P25" i="8"/>
  <c r="K29" i="8"/>
  <c r="Z24" i="8"/>
  <c r="Z23" i="8"/>
  <c r="U27" i="8"/>
  <c r="U19" i="8"/>
  <c r="P23" i="8"/>
  <c r="K27" i="8"/>
  <c r="K19" i="8"/>
  <c r="F23" i="8"/>
  <c r="K26" i="8"/>
  <c r="F22" i="8"/>
  <c r="F21" i="8"/>
  <c r="K20" i="8"/>
  <c r="A2" i="3"/>
  <c r="B4" i="14"/>
  <c r="G15" i="2"/>
  <c r="C9" i="2"/>
  <c r="N3" i="5"/>
  <c r="H4" i="5"/>
  <c r="A5" i="5"/>
  <c r="H3" i="5"/>
  <c r="AI80" i="13" l="1"/>
  <c r="AI81" i="13" s="1"/>
  <c r="AI82" i="13" s="1"/>
  <c r="AI83" i="13" s="1"/>
  <c r="AI84" i="13" s="1"/>
  <c r="AI85" i="13" s="1"/>
  <c r="AI86" i="13" s="1"/>
  <c r="AI87" i="13" s="1"/>
  <c r="AI88" i="13" s="1"/>
  <c r="AI89" i="13" s="1"/>
  <c r="AI90" i="13" s="1"/>
  <c r="AI91" i="13" s="1"/>
  <c r="O6" i="17"/>
  <c r="O16" i="17" s="1"/>
  <c r="N16" i="17"/>
  <c r="N3" i="15"/>
  <c r="M4" i="15"/>
  <c r="M3" i="15"/>
  <c r="U4" i="15"/>
  <c r="U5" i="15"/>
  <c r="V3" i="15"/>
  <c r="V4" i="15"/>
  <c r="V5" i="15"/>
  <c r="M5" i="15"/>
  <c r="N5" i="15"/>
  <c r="Q5" i="15"/>
  <c r="W5" i="15" s="1"/>
  <c r="S5" i="15"/>
  <c r="T5" i="15"/>
  <c r="Z5" i="15"/>
  <c r="AC5" i="15" s="1"/>
  <c r="AA5" i="15"/>
  <c r="T4" i="15"/>
  <c r="G31" i="2"/>
  <c r="G23" i="2"/>
  <c r="AI92" i="13" l="1"/>
  <c r="AI93" i="13" s="1"/>
  <c r="AI94" i="13" s="1"/>
  <c r="AI95" i="13" s="1"/>
  <c r="AI96" i="13" s="1"/>
  <c r="AI97" i="13" s="1"/>
  <c r="AI98" i="13" s="1"/>
  <c r="AI99" i="13" s="1"/>
  <c r="AI100" i="13" s="1"/>
  <c r="AI101" i="13" s="1"/>
  <c r="AI102" i="13" s="1"/>
  <c r="AI103" i="13" s="1"/>
  <c r="AI104" i="13" s="1"/>
  <c r="AI105" i="13" s="1"/>
  <c r="AI106" i="13" s="1"/>
  <c r="AI107" i="13" s="1"/>
  <c r="AI108" i="13" s="1"/>
  <c r="AI109" i="13" s="1"/>
  <c r="AI110" i="13" s="1"/>
  <c r="AI111" i="13" s="1"/>
  <c r="AI112" i="13" s="1"/>
  <c r="AI113" i="13" s="1"/>
  <c r="AI114" i="13" s="1"/>
  <c r="AI115" i="13" s="1"/>
  <c r="AI116" i="13" s="1"/>
  <c r="AI117" i="13" s="1"/>
  <c r="AI118" i="13" s="1"/>
  <c r="AI119" i="13" s="1"/>
  <c r="AI120" i="13" s="1"/>
  <c r="AI121" i="13" s="1"/>
  <c r="AI122" i="13" s="1"/>
  <c r="AI123" i="13" s="1"/>
  <c r="AI124" i="13" s="1"/>
  <c r="AI125" i="13" s="1"/>
  <c r="AI126" i="13" s="1"/>
  <c r="AI127" i="13" s="1"/>
  <c r="AI128" i="13" s="1"/>
  <c r="AI129" i="13" s="1"/>
  <c r="AI130" i="13" s="1"/>
  <c r="AI131" i="13" s="1"/>
  <c r="AI132" i="13" s="1"/>
  <c r="AI133" i="13" s="1"/>
  <c r="AI134" i="13" s="1"/>
  <c r="AI135" i="13" s="1"/>
  <c r="AI136" i="13" s="1"/>
  <c r="AI137" i="13" s="1"/>
  <c r="AI138" i="13" s="1"/>
  <c r="AI139" i="13" s="1"/>
  <c r="AI140" i="13" s="1"/>
  <c r="AI141" i="13" s="1"/>
  <c r="AI142" i="13" s="1"/>
  <c r="AI143" i="13" s="1"/>
  <c r="AI144" i="13" s="1"/>
  <c r="AI145" i="13" s="1"/>
  <c r="AI146" i="13" s="1"/>
  <c r="AI147" i="13" s="1"/>
  <c r="AI148" i="13" s="1"/>
  <c r="AI149" i="13" s="1"/>
  <c r="AI150" i="13" s="1"/>
  <c r="AI151" i="13" s="1"/>
  <c r="AI152" i="13" s="1"/>
  <c r="AI153" i="13" s="1"/>
  <c r="AI154" i="13" s="1"/>
  <c r="AI155" i="13" s="1"/>
  <c r="AI156" i="13" s="1"/>
  <c r="AI157" i="13" s="1"/>
  <c r="AI158" i="13" s="1"/>
  <c r="AI159" i="13" s="1"/>
  <c r="AI160" i="13" s="1"/>
  <c r="AI161" i="13" s="1"/>
  <c r="AI162" i="13" s="1"/>
  <c r="AI163" i="13" s="1"/>
  <c r="AI164" i="13" s="1"/>
  <c r="AI165" i="13" s="1"/>
  <c r="AI166" i="13" s="1"/>
  <c r="AI167" i="13" s="1"/>
  <c r="AI168" i="13" s="1"/>
  <c r="AI169" i="13" s="1"/>
  <c r="AI170" i="13" s="1"/>
  <c r="AI171" i="13" s="1"/>
  <c r="AI172" i="13" s="1"/>
  <c r="AI173" i="13" s="1"/>
  <c r="AI174" i="13" s="1"/>
  <c r="AI175" i="13" s="1"/>
  <c r="AI176" i="13" s="1"/>
  <c r="AI177" i="13" s="1"/>
  <c r="AI178" i="13" s="1"/>
  <c r="AI179" i="13" s="1"/>
  <c r="AI180" i="13" s="1"/>
  <c r="AI181" i="13" s="1"/>
  <c r="AI182" i="13" s="1"/>
  <c r="AI183" i="13" s="1"/>
  <c r="AI184" i="13" s="1"/>
  <c r="AI185" i="13" s="1"/>
  <c r="AI186" i="13" s="1"/>
  <c r="AI187" i="13" s="1"/>
  <c r="AI188" i="13" s="1"/>
  <c r="AI189" i="13" s="1"/>
  <c r="AI190" i="13" s="1"/>
  <c r="AI191" i="13" s="1"/>
  <c r="AI192" i="13" s="1"/>
  <c r="AI193" i="13" s="1"/>
  <c r="AI194" i="13" s="1"/>
  <c r="AI195" i="13" s="1"/>
  <c r="AI196" i="13" s="1"/>
  <c r="AI197" i="13" s="1"/>
  <c r="AI198" i="13" s="1"/>
  <c r="AI199" i="13" s="1"/>
  <c r="AI200" i="13" s="1"/>
  <c r="AI201" i="13" s="1"/>
  <c r="AI202" i="13" s="1"/>
  <c r="AI203" i="13" s="1"/>
  <c r="AI204" i="13" s="1"/>
  <c r="AI205" i="13" s="1"/>
  <c r="AI206" i="13" s="1"/>
  <c r="AI207" i="13" s="1"/>
  <c r="AI208" i="13" s="1"/>
  <c r="AI209" i="13" s="1"/>
  <c r="AI210" i="13" s="1"/>
  <c r="AI211" i="13" s="1"/>
  <c r="AI212" i="13" s="1"/>
  <c r="AI213" i="13" s="1"/>
  <c r="AI214" i="13" s="1"/>
  <c r="AI215" i="13" s="1"/>
  <c r="AI216" i="13" s="1"/>
  <c r="AI217" i="13" s="1"/>
  <c r="AI218" i="13" s="1"/>
  <c r="AI219" i="13" s="1"/>
  <c r="AI220" i="13" s="1"/>
  <c r="AI221" i="13" s="1"/>
  <c r="AI222" i="13" s="1"/>
  <c r="AI223" i="13" s="1"/>
  <c r="AI224" i="13" s="1"/>
  <c r="AI225" i="13" s="1"/>
  <c r="AI226" i="13" s="1"/>
  <c r="AI227" i="13" s="1"/>
  <c r="AI228" i="13" s="1"/>
  <c r="AI229" i="13" s="1"/>
  <c r="AI230" i="13" s="1"/>
  <c r="AI231" i="13" s="1"/>
  <c r="AI232" i="13" s="1"/>
  <c r="AI233" i="13" s="1"/>
  <c r="AI234" i="13" s="1"/>
  <c r="AI235" i="13" s="1"/>
  <c r="AI236" i="13" s="1"/>
  <c r="AI237" i="13" s="1"/>
  <c r="AI238" i="13" s="1"/>
  <c r="AI239" i="13" s="1"/>
  <c r="AI240" i="13" s="1"/>
  <c r="AI241" i="13" s="1"/>
  <c r="AI242" i="13" s="1"/>
  <c r="AI243" i="13" s="1"/>
  <c r="AI244" i="13" s="1"/>
  <c r="AI245" i="13" s="1"/>
  <c r="AI246" i="13" s="1"/>
  <c r="AI247" i="13" s="1"/>
  <c r="AI248" i="13" s="1"/>
  <c r="AI249" i="13" s="1"/>
  <c r="AI250" i="13" s="1"/>
  <c r="AI251" i="13" s="1"/>
  <c r="AI252" i="13" s="1"/>
  <c r="AI253" i="13" s="1"/>
  <c r="AI254" i="13" s="1"/>
  <c r="AI255" i="13" s="1"/>
  <c r="AI256" i="13" s="1"/>
  <c r="AI257" i="13" s="1"/>
  <c r="AI258" i="13" s="1"/>
  <c r="AI259" i="13" s="1"/>
  <c r="AI260" i="13" s="1"/>
  <c r="AI261" i="13" s="1"/>
  <c r="AI262" i="13" s="1"/>
  <c r="AI263" i="13" s="1"/>
  <c r="AI264" i="13" s="1"/>
  <c r="AI265" i="13" s="1"/>
  <c r="AI266" i="13" s="1"/>
  <c r="AI267" i="13" s="1"/>
  <c r="AI268" i="13" s="1"/>
  <c r="AI269" i="13" s="1"/>
  <c r="AI270" i="13" s="1"/>
  <c r="AI271" i="13" s="1"/>
  <c r="AI272" i="13" s="1"/>
  <c r="AI273" i="13" s="1"/>
  <c r="AI274" i="13" s="1"/>
  <c r="AI275" i="13" s="1"/>
  <c r="AI276" i="13" s="1"/>
  <c r="AI277" i="13" s="1"/>
  <c r="AI278" i="13" s="1"/>
  <c r="AI279" i="13" s="1"/>
  <c r="AI280" i="13" s="1"/>
  <c r="AI281" i="13" s="1"/>
  <c r="AI282" i="13" s="1"/>
  <c r="AI283" i="13" s="1"/>
  <c r="AI284" i="13" s="1"/>
  <c r="AI285" i="13" s="1"/>
  <c r="AI286" i="13" s="1"/>
  <c r="AI287" i="13" s="1"/>
  <c r="AI288" i="13" s="1"/>
  <c r="AI289" i="13" s="1"/>
  <c r="AI290" i="13" s="1"/>
  <c r="AI291" i="13" s="1"/>
  <c r="AI292" i="13" s="1"/>
  <c r="AI293" i="13" s="1"/>
  <c r="AI294" i="13" s="1"/>
  <c r="AI295" i="13" s="1"/>
  <c r="AI296" i="13" s="1"/>
  <c r="AI297" i="13" s="1"/>
  <c r="AI298" i="13" s="1"/>
  <c r="AI299" i="13" s="1"/>
  <c r="AI300" i="13" s="1"/>
  <c r="AI301" i="13" s="1"/>
  <c r="AI302" i="13" s="1"/>
  <c r="AI303" i="13" s="1"/>
  <c r="AI304" i="13" s="1"/>
  <c r="AI305" i="13" s="1"/>
  <c r="AI306" i="13" s="1"/>
  <c r="AI307" i="13" s="1"/>
  <c r="AI308" i="13" s="1"/>
  <c r="AI309" i="13" s="1"/>
  <c r="AI310" i="13" s="1"/>
  <c r="AI311" i="13" s="1"/>
  <c r="AI312" i="13" s="1"/>
  <c r="AI313" i="13" s="1"/>
  <c r="AI314" i="13" s="1"/>
  <c r="AI315" i="13" s="1"/>
  <c r="AI316" i="13" s="1"/>
  <c r="AI317" i="13" s="1"/>
  <c r="AI318" i="13" s="1"/>
  <c r="AI319" i="13" s="1"/>
  <c r="AI320" i="13" s="1"/>
  <c r="AI321" i="13" s="1"/>
  <c r="AI322" i="13" s="1"/>
  <c r="AI323" i="13" s="1"/>
  <c r="AI324" i="13" s="1"/>
  <c r="AI325" i="13" s="1"/>
  <c r="AI326" i="13" s="1"/>
  <c r="AI327" i="13" s="1"/>
  <c r="AI328" i="13" s="1"/>
  <c r="AI329" i="13" s="1"/>
  <c r="AI330" i="13" s="1"/>
  <c r="AI331" i="13" s="1"/>
  <c r="AI332" i="13" s="1"/>
  <c r="AI333" i="13" s="1"/>
  <c r="AI334" i="13" s="1"/>
  <c r="AI335" i="13" s="1"/>
  <c r="AI336" i="13" s="1"/>
  <c r="AI337" i="13" s="1"/>
  <c r="AI338" i="13" s="1"/>
  <c r="AI339" i="13" s="1"/>
  <c r="AI340" i="13" s="1"/>
  <c r="AI341" i="13" s="1"/>
  <c r="AI342" i="13" s="1"/>
  <c r="AI343" i="13" s="1"/>
  <c r="AI344" i="13" s="1"/>
  <c r="AI345" i="13" s="1"/>
  <c r="AI346" i="13" s="1"/>
  <c r="AI347" i="13" s="1"/>
  <c r="AI348" i="13" s="1"/>
  <c r="AI349" i="13" s="1"/>
  <c r="AI350" i="13" s="1"/>
  <c r="AI351" i="13" s="1"/>
  <c r="AI352" i="13" s="1"/>
  <c r="AI353" i="13" s="1"/>
  <c r="AI354" i="13" s="1"/>
  <c r="AI355" i="13" s="1"/>
  <c r="AI356" i="13" s="1"/>
  <c r="AI357" i="13" s="1"/>
  <c r="AI358" i="13" s="1"/>
  <c r="AI359" i="13" s="1"/>
  <c r="AI360" i="13" s="1"/>
  <c r="AI361" i="13" s="1"/>
  <c r="AI362" i="13" s="1"/>
  <c r="AI363" i="13" s="1"/>
  <c r="AI364" i="13" s="1"/>
  <c r="AI365" i="13" s="1"/>
  <c r="AI366" i="13" s="1"/>
  <c r="AI367" i="13" s="1"/>
  <c r="AI368" i="13" s="1"/>
  <c r="AI369" i="13" s="1"/>
  <c r="AI370" i="13" s="1"/>
  <c r="AI371" i="13" s="1"/>
  <c r="AI372" i="13" s="1"/>
  <c r="AI373" i="13" s="1"/>
  <c r="AI374" i="13" s="1"/>
  <c r="AI375" i="13" s="1"/>
  <c r="AI376" i="13" s="1"/>
  <c r="AI377" i="13" s="1"/>
  <c r="AI378" i="13" s="1"/>
  <c r="AI379" i="13" s="1"/>
  <c r="AI380" i="13" s="1"/>
  <c r="AI381" i="13" s="1"/>
  <c r="AI382" i="13" s="1"/>
  <c r="AI383" i="13" s="1"/>
  <c r="AI384" i="13" s="1"/>
  <c r="AI385" i="13" s="1"/>
  <c r="AI386" i="13" s="1"/>
  <c r="AI387" i="13" s="1"/>
  <c r="AI388" i="13" s="1"/>
  <c r="AI389" i="13" s="1"/>
  <c r="AI390" i="13" s="1"/>
  <c r="AI391" i="13" s="1"/>
  <c r="AI392" i="13" s="1"/>
  <c r="AI393" i="13" s="1"/>
  <c r="AI394" i="13" s="1"/>
  <c r="AI395" i="13" s="1"/>
  <c r="AI396" i="13" s="1"/>
  <c r="AI397" i="13" s="1"/>
  <c r="AI398" i="13" s="1"/>
  <c r="AI399" i="13" s="1"/>
  <c r="AI400" i="13" s="1"/>
  <c r="AI401" i="13" s="1"/>
  <c r="AI402" i="13" s="1"/>
  <c r="AI403" i="13" s="1"/>
  <c r="AI404" i="13" s="1"/>
  <c r="AI405" i="13" s="1"/>
  <c r="AI406" i="13" s="1"/>
  <c r="AI407" i="13" s="1"/>
  <c r="AI408" i="13" s="1"/>
  <c r="AI409" i="13" s="1"/>
  <c r="AI410" i="13" s="1"/>
  <c r="AI411" i="13" s="1"/>
  <c r="AI412" i="13" s="1"/>
  <c r="AI413" i="13" s="1"/>
  <c r="AI414" i="13" s="1"/>
  <c r="AI415" i="13" s="1"/>
  <c r="AI416" i="13" s="1"/>
  <c r="AI417" i="13" s="1"/>
  <c r="AI418" i="13" s="1"/>
  <c r="AI419" i="13" s="1"/>
  <c r="AI420" i="13" s="1"/>
  <c r="AI421" i="13" s="1"/>
  <c r="AI422" i="13" s="1"/>
  <c r="AI423" i="13" s="1"/>
  <c r="AI424" i="13" s="1"/>
  <c r="AI425" i="13" s="1"/>
  <c r="AI426" i="13" s="1"/>
  <c r="AI427" i="13" s="1"/>
  <c r="AI428" i="13" s="1"/>
  <c r="AI429" i="13" s="1"/>
  <c r="AI430" i="13" s="1"/>
  <c r="AI431" i="13" s="1"/>
  <c r="AI432" i="13" s="1"/>
  <c r="AI433" i="13" s="1"/>
  <c r="AI434" i="13" s="1"/>
  <c r="AI435" i="13" s="1"/>
  <c r="AI436" i="13" s="1"/>
  <c r="AI437" i="13" s="1"/>
  <c r="AI438" i="13" s="1"/>
  <c r="AI439" i="13" s="1"/>
  <c r="AI440" i="13" s="1"/>
  <c r="AI441" i="13" s="1"/>
  <c r="AI442" i="13" s="1"/>
  <c r="AI443" i="13" s="1"/>
  <c r="AI444" i="13" s="1"/>
  <c r="AI445" i="13" s="1"/>
  <c r="AI446" i="13" s="1"/>
  <c r="AI447" i="13" s="1"/>
  <c r="AI448" i="13" s="1"/>
  <c r="AI449" i="13" s="1"/>
  <c r="AI450" i="13" s="1"/>
  <c r="AI451" i="13" s="1"/>
  <c r="AI452" i="13" s="1"/>
  <c r="AI453" i="13" s="1"/>
  <c r="AI454" i="13" s="1"/>
  <c r="AI455" i="13" s="1"/>
  <c r="AI456" i="13" s="1"/>
  <c r="AI457" i="13" s="1"/>
  <c r="AI458" i="13" s="1"/>
  <c r="AI459" i="13" s="1"/>
  <c r="AI460" i="13" s="1"/>
  <c r="AI461" i="13" s="1"/>
  <c r="AI462" i="13" s="1"/>
  <c r="AI463" i="13" s="1"/>
  <c r="AI464" i="13" s="1"/>
  <c r="AI465" i="13" s="1"/>
  <c r="AI466" i="13" s="1"/>
  <c r="AI467" i="13" s="1"/>
  <c r="AI468" i="13" s="1"/>
  <c r="AI469" i="13" s="1"/>
  <c r="AI470" i="13" s="1"/>
  <c r="AI471" i="13" s="1"/>
  <c r="AI472" i="13" s="1"/>
  <c r="AI473" i="13" s="1"/>
  <c r="AI474" i="13" s="1"/>
  <c r="AI475" i="13" s="1"/>
  <c r="AI476" i="13" s="1"/>
  <c r="AI477" i="13" s="1"/>
  <c r="AI478" i="13" s="1"/>
  <c r="AI479" i="13" s="1"/>
  <c r="AI480" i="13" s="1"/>
  <c r="AI481" i="13" s="1"/>
  <c r="AI482" i="13" s="1"/>
  <c r="AI483" i="13" s="1"/>
  <c r="AI484" i="13" s="1"/>
  <c r="AI485" i="13" s="1"/>
  <c r="AI486" i="13" s="1"/>
  <c r="AI487" i="13" s="1"/>
  <c r="AI488" i="13" s="1"/>
  <c r="AI489" i="13" s="1"/>
  <c r="AI490" i="13" s="1"/>
  <c r="AI491" i="13" s="1"/>
  <c r="AI492" i="13" s="1"/>
  <c r="AI493" i="13" s="1"/>
  <c r="AI494" i="13" s="1"/>
  <c r="AI495" i="13" s="1"/>
  <c r="AI496" i="13" s="1"/>
  <c r="AI497" i="13" s="1"/>
  <c r="AI498" i="13" s="1"/>
  <c r="AI499" i="13" s="1"/>
  <c r="AI500" i="13" s="1"/>
  <c r="AI501" i="13" s="1"/>
  <c r="AI502" i="13" s="1"/>
  <c r="AI503" i="13" s="1"/>
  <c r="AI504" i="13" s="1"/>
  <c r="AI505" i="13" s="1"/>
  <c r="AI506" i="13" s="1"/>
  <c r="AI507" i="13" s="1"/>
  <c r="AI508" i="13" s="1"/>
  <c r="AI509" i="13" s="1"/>
  <c r="AI510" i="13" s="1"/>
  <c r="AI511" i="13" s="1"/>
  <c r="AI512" i="13" s="1"/>
  <c r="AI513" i="13" s="1"/>
  <c r="AI514" i="13" s="1"/>
  <c r="AI515" i="13" s="1"/>
  <c r="AI516" i="13" s="1"/>
  <c r="AI517" i="13" s="1"/>
  <c r="AI518" i="13" s="1"/>
  <c r="AI519" i="13" s="1"/>
  <c r="AI520" i="13" s="1"/>
  <c r="AI521" i="13" s="1"/>
  <c r="AI522" i="13" s="1"/>
  <c r="AI523" i="13" s="1"/>
  <c r="AI524" i="13" s="1"/>
  <c r="AI525" i="13" s="1"/>
  <c r="AI526" i="13" s="1"/>
  <c r="AI527" i="13" s="1"/>
  <c r="AI528" i="13" s="1"/>
  <c r="AI529" i="13" s="1"/>
  <c r="AI530" i="13" s="1"/>
  <c r="AI531" i="13" s="1"/>
  <c r="AI532" i="13" s="1"/>
  <c r="AI533" i="13" s="1"/>
  <c r="AI534" i="13" s="1"/>
  <c r="AI535" i="13" s="1"/>
  <c r="AI536" i="13" s="1"/>
  <c r="AI537" i="13" s="1"/>
  <c r="AI538" i="13" s="1"/>
  <c r="AI539" i="13" s="1"/>
  <c r="AI540" i="13" s="1"/>
  <c r="AI541" i="13" s="1"/>
  <c r="AI542" i="13" s="1"/>
  <c r="AI543" i="13" s="1"/>
  <c r="AI544" i="13" s="1"/>
  <c r="AI545" i="13" s="1"/>
  <c r="AI546" i="13" s="1"/>
  <c r="AI547" i="13" s="1"/>
  <c r="AI548" i="13" s="1"/>
  <c r="AI549" i="13" s="1"/>
  <c r="AI550" i="13" s="1"/>
  <c r="AI551" i="13" s="1"/>
  <c r="AI552" i="13" s="1"/>
  <c r="AI553" i="13" s="1"/>
  <c r="AI554" i="13" s="1"/>
  <c r="AI555" i="13" s="1"/>
  <c r="AI556" i="13" s="1"/>
  <c r="AI557" i="13" s="1"/>
  <c r="AI558" i="13" s="1"/>
  <c r="AI559" i="13" s="1"/>
  <c r="AI560" i="13" s="1"/>
  <c r="AI561" i="13" s="1"/>
  <c r="AI562" i="13" s="1"/>
  <c r="AI563" i="13" s="1"/>
  <c r="AI564" i="13" s="1"/>
  <c r="AI565" i="13" s="1"/>
  <c r="AI566" i="13" s="1"/>
  <c r="AI567" i="13" s="1"/>
  <c r="AI568" i="13" s="1"/>
  <c r="AI569" i="13" s="1"/>
  <c r="AI570" i="13" s="1"/>
  <c r="AI571" i="13" s="1"/>
  <c r="AI572" i="13" s="1"/>
  <c r="AI573" i="13" s="1"/>
  <c r="AI574" i="13" s="1"/>
  <c r="AI575" i="13" s="1"/>
  <c r="AI576" i="13" s="1"/>
  <c r="AI577" i="13" s="1"/>
  <c r="AI578" i="13" s="1"/>
  <c r="AI579" i="13" s="1"/>
  <c r="AI580" i="13" s="1"/>
  <c r="AI581" i="13" s="1"/>
  <c r="AI582" i="13" s="1"/>
  <c r="AI583" i="13" s="1"/>
  <c r="AI584" i="13" s="1"/>
  <c r="AI585" i="13" s="1"/>
  <c r="AI586" i="13" s="1"/>
  <c r="AI587" i="13" s="1"/>
  <c r="AI588" i="13" s="1"/>
  <c r="AI589" i="13" s="1"/>
  <c r="AI590" i="13" s="1"/>
  <c r="AI591" i="13" s="1"/>
  <c r="AI592" i="13" s="1"/>
  <c r="AI593" i="13" s="1"/>
  <c r="AI594" i="13" s="1"/>
  <c r="AI595" i="13" s="1"/>
  <c r="AI596" i="13" s="1"/>
  <c r="AI597" i="13" s="1"/>
  <c r="AI598" i="13" s="1"/>
  <c r="AI599" i="13" s="1"/>
  <c r="AI600" i="13" s="1"/>
  <c r="AI601" i="13" s="1"/>
  <c r="AI602" i="13" s="1"/>
  <c r="AI603" i="13" s="1"/>
  <c r="AI604" i="13" s="1"/>
  <c r="AI605" i="13" s="1"/>
  <c r="AI606" i="13" s="1"/>
  <c r="AI607" i="13" s="1"/>
  <c r="AI608" i="13" s="1"/>
  <c r="AI609" i="13" s="1"/>
  <c r="AI610" i="13" s="1"/>
  <c r="AI611" i="13" s="1"/>
  <c r="AI612" i="13" s="1"/>
  <c r="AI613" i="13" s="1"/>
  <c r="AI614" i="13" s="1"/>
  <c r="AI615" i="13" s="1"/>
  <c r="AI616" i="13" s="1"/>
  <c r="AI617" i="13" s="1"/>
  <c r="AI618" i="13" s="1"/>
  <c r="AI619" i="13" s="1"/>
  <c r="AI620" i="13" s="1"/>
  <c r="AI621" i="13" s="1"/>
  <c r="AI622" i="13" s="1"/>
  <c r="AI623" i="13" s="1"/>
  <c r="AI624" i="13" s="1"/>
  <c r="AI625" i="13" s="1"/>
  <c r="AI626" i="13" s="1"/>
  <c r="AI627" i="13" s="1"/>
  <c r="AI628" i="13" s="1"/>
  <c r="AI629" i="13" s="1"/>
  <c r="AI630" i="13" s="1"/>
  <c r="AI631" i="13" s="1"/>
  <c r="AI632" i="13" s="1"/>
  <c r="AI633" i="13" s="1"/>
  <c r="AI634" i="13" s="1"/>
  <c r="AI635" i="13" s="1"/>
  <c r="AI636" i="13" s="1"/>
  <c r="AI637" i="13" s="1"/>
  <c r="AI638" i="13" s="1"/>
  <c r="AI639" i="13" s="1"/>
  <c r="AI640" i="13" s="1"/>
  <c r="AI641" i="13" s="1"/>
  <c r="AI642" i="13" s="1"/>
  <c r="AI643" i="13" s="1"/>
  <c r="AI644" i="13" s="1"/>
  <c r="AI645" i="13" s="1"/>
  <c r="AI646" i="13" s="1"/>
  <c r="AI647" i="13" s="1"/>
  <c r="AI648" i="13" s="1"/>
  <c r="AI649" i="13" s="1"/>
  <c r="AI650" i="13" s="1"/>
  <c r="AI651" i="13" s="1"/>
  <c r="AI652" i="13" s="1"/>
  <c r="AI653" i="13" s="1"/>
  <c r="AI654" i="13" s="1"/>
  <c r="AI655" i="13" s="1"/>
  <c r="AI656" i="13" s="1"/>
  <c r="AI657" i="13" s="1"/>
  <c r="AI658" i="13" s="1"/>
  <c r="AI659" i="13" s="1"/>
  <c r="AI660" i="13" s="1"/>
  <c r="AI661" i="13" s="1"/>
  <c r="AI662" i="13" s="1"/>
  <c r="AI663" i="13" s="1"/>
  <c r="AI664" i="13" s="1"/>
  <c r="AI665" i="13" s="1"/>
  <c r="AI666" i="13" s="1"/>
  <c r="AI667" i="13" s="1"/>
  <c r="AI668" i="13" s="1"/>
  <c r="AI669" i="13" s="1"/>
  <c r="AI670" i="13" s="1"/>
  <c r="AI671" i="13" s="1"/>
  <c r="AI672" i="13" s="1"/>
  <c r="AI673" i="13" s="1"/>
  <c r="AI674" i="13" s="1"/>
  <c r="AI675" i="13" s="1"/>
  <c r="AI676" i="13" s="1"/>
  <c r="AI677" i="13" s="1"/>
  <c r="AI678" i="13" s="1"/>
  <c r="AI679" i="13" s="1"/>
  <c r="AI680" i="13" s="1"/>
  <c r="AI681" i="13" s="1"/>
  <c r="AI682" i="13" s="1"/>
  <c r="AI683" i="13" s="1"/>
  <c r="AI684" i="13" s="1"/>
  <c r="AI685" i="13" s="1"/>
  <c r="AI686" i="13" s="1"/>
  <c r="AI687" i="13" s="1"/>
  <c r="AI688" i="13" s="1"/>
  <c r="AI689" i="13" s="1"/>
  <c r="AI690" i="13" s="1"/>
  <c r="AI691" i="13" s="1"/>
  <c r="AI692" i="13" s="1"/>
  <c r="AI693" i="13" s="1"/>
  <c r="AI694" i="13" s="1"/>
  <c r="AI695" i="13" s="1"/>
  <c r="AI696" i="13" s="1"/>
  <c r="AI697" i="13" s="1"/>
  <c r="AI698" i="13" s="1"/>
  <c r="AI699" i="13" s="1"/>
  <c r="AI700" i="13" s="1"/>
  <c r="AI701" i="13" s="1"/>
  <c r="AI702" i="13" s="1"/>
  <c r="AI703" i="13" s="1"/>
  <c r="AI704" i="13" s="1"/>
  <c r="AI705" i="13" s="1"/>
  <c r="AI706" i="13" s="1"/>
  <c r="AI707" i="13" s="1"/>
  <c r="AI708" i="13" s="1"/>
  <c r="AI709" i="13" s="1"/>
  <c r="AI710" i="13" s="1"/>
  <c r="AI711" i="13" s="1"/>
  <c r="AI712" i="13" s="1"/>
  <c r="AI713" i="13" s="1"/>
  <c r="AI714" i="13" s="1"/>
  <c r="AI715" i="13" s="1"/>
  <c r="AI716" i="13" s="1"/>
  <c r="AI717" i="13" s="1"/>
  <c r="AI718" i="13" s="1"/>
  <c r="AI719" i="13" s="1"/>
  <c r="AI720" i="13" s="1"/>
  <c r="AI721" i="13" s="1"/>
  <c r="AI722" i="13" s="1"/>
  <c r="AI723" i="13" s="1"/>
  <c r="AI724" i="13" s="1"/>
  <c r="AI725" i="13" s="1"/>
  <c r="AI726" i="13" s="1"/>
  <c r="AI727" i="13" s="1"/>
  <c r="AI728" i="13" s="1"/>
  <c r="AI729" i="13" s="1"/>
  <c r="AI730" i="13" s="1"/>
  <c r="AI731" i="13" s="1"/>
  <c r="AI732" i="13" s="1"/>
  <c r="AI733" i="13" s="1"/>
  <c r="AI734" i="13" s="1"/>
  <c r="AI735" i="13" s="1"/>
  <c r="AI736" i="13" s="1"/>
  <c r="AI737" i="13" s="1"/>
  <c r="AI738" i="13" s="1"/>
  <c r="AI739" i="13" s="1"/>
  <c r="AI740" i="13" s="1"/>
  <c r="AI741" i="13" s="1"/>
  <c r="AI742" i="13" s="1"/>
  <c r="AI743" i="13" s="1"/>
  <c r="AI744" i="13" s="1"/>
  <c r="AI745" i="13" s="1"/>
  <c r="AI746" i="13" s="1"/>
  <c r="AI747" i="13" s="1"/>
  <c r="AI748" i="13" s="1"/>
  <c r="AI749" i="13" s="1"/>
  <c r="AI750" i="13" s="1"/>
  <c r="AI751" i="13" s="1"/>
  <c r="AI752" i="13" s="1"/>
  <c r="AI753" i="13" s="1"/>
  <c r="AI754" i="13" s="1"/>
  <c r="AI755" i="13" s="1"/>
  <c r="AI756" i="13" s="1"/>
  <c r="AI757" i="13" s="1"/>
  <c r="AI758" i="13" s="1"/>
  <c r="AI759" i="13" s="1"/>
  <c r="AI760" i="13" s="1"/>
  <c r="AI761" i="13" s="1"/>
  <c r="AI762" i="13" s="1"/>
  <c r="AI763" i="13" s="1"/>
  <c r="AI764" i="13" s="1"/>
  <c r="AI765" i="13" s="1"/>
  <c r="AI766" i="13" s="1"/>
  <c r="AI767" i="13" s="1"/>
  <c r="AI768" i="13" s="1"/>
  <c r="AI769" i="13" s="1"/>
  <c r="AI770" i="13" s="1"/>
  <c r="AI771" i="13" s="1"/>
  <c r="AI772" i="13" s="1"/>
  <c r="AI773" i="13" s="1"/>
  <c r="AI774" i="13" s="1"/>
  <c r="AI775" i="13" s="1"/>
  <c r="AI776" i="13" s="1"/>
  <c r="AI777" i="13" s="1"/>
  <c r="AI778" i="13" s="1"/>
  <c r="AI779" i="13" s="1"/>
  <c r="AI780" i="13" s="1"/>
  <c r="AI781" i="13" s="1"/>
  <c r="AI782" i="13" s="1"/>
  <c r="AI783" i="13" s="1"/>
  <c r="AI784" i="13" s="1"/>
  <c r="AI785" i="13" s="1"/>
  <c r="AI786" i="13" s="1"/>
  <c r="AI787" i="13" s="1"/>
  <c r="AI788" i="13" s="1"/>
  <c r="AI789" i="13" s="1"/>
  <c r="AI790" i="13" s="1"/>
  <c r="AI791" i="13" s="1"/>
  <c r="AI792" i="13" s="1"/>
  <c r="AI793" i="13" s="1"/>
  <c r="AI794" i="13" s="1"/>
  <c r="AI795" i="13" s="1"/>
  <c r="AI796" i="13" s="1"/>
  <c r="AI797" i="13" s="1"/>
  <c r="AI798" i="13" s="1"/>
  <c r="AI799" i="13" s="1"/>
  <c r="AI800" i="13" s="1"/>
  <c r="AI801" i="13" s="1"/>
  <c r="AI802" i="13" s="1"/>
  <c r="AI803" i="13" s="1"/>
  <c r="AI804" i="13" s="1"/>
  <c r="AI805" i="13" s="1"/>
  <c r="AI806" i="13" s="1"/>
  <c r="AI807" i="13" s="1"/>
  <c r="AI808" i="13" s="1"/>
  <c r="AI809" i="13" s="1"/>
  <c r="AI810" i="13" s="1"/>
  <c r="AI811" i="13" s="1"/>
  <c r="AI812" i="13" s="1"/>
  <c r="AI813" i="13" s="1"/>
  <c r="AI814" i="13" s="1"/>
  <c r="AI815" i="13" s="1"/>
  <c r="AI816" i="13" s="1"/>
  <c r="AI817" i="13" s="1"/>
  <c r="AI818" i="13" s="1"/>
  <c r="AI819" i="13" s="1"/>
  <c r="AI820" i="13" s="1"/>
  <c r="AI821" i="13" s="1"/>
  <c r="AI822" i="13" s="1"/>
  <c r="AI823" i="13" s="1"/>
  <c r="AI824" i="13" s="1"/>
  <c r="AI825" i="13" s="1"/>
  <c r="AI826" i="13" s="1"/>
  <c r="AI827" i="13" s="1"/>
  <c r="AI828" i="13" s="1"/>
  <c r="AI829" i="13" s="1"/>
  <c r="AI830" i="13" s="1"/>
  <c r="AI831" i="13" s="1"/>
  <c r="AI832" i="13" s="1"/>
  <c r="AI833" i="13" s="1"/>
  <c r="AI834" i="13" s="1"/>
  <c r="AI835" i="13" s="1"/>
  <c r="AI836" i="13" s="1"/>
  <c r="AI837" i="13" s="1"/>
  <c r="AI838" i="13" s="1"/>
  <c r="AI839" i="13" s="1"/>
  <c r="AI840" i="13" s="1"/>
  <c r="AI841" i="13" s="1"/>
  <c r="AI842" i="13" s="1"/>
  <c r="AI843" i="13" s="1"/>
  <c r="AI844" i="13" s="1"/>
  <c r="AI845" i="13" s="1"/>
  <c r="AI846" i="13" s="1"/>
  <c r="AI847" i="13" s="1"/>
  <c r="AI848" i="13" s="1"/>
  <c r="AI849" i="13" s="1"/>
  <c r="AI850" i="13" s="1"/>
  <c r="AI851" i="13" s="1"/>
  <c r="AI852" i="13" s="1"/>
  <c r="AI853" i="13" s="1"/>
  <c r="AI854" i="13" s="1"/>
  <c r="AI855" i="13" s="1"/>
  <c r="AI856" i="13" s="1"/>
  <c r="AI857" i="13" s="1"/>
  <c r="AI858" i="13" s="1"/>
  <c r="AI859" i="13" s="1"/>
  <c r="AI860" i="13" s="1"/>
  <c r="AI861" i="13" s="1"/>
  <c r="AI862" i="13" s="1"/>
  <c r="AI863" i="13" s="1"/>
  <c r="AI864" i="13" s="1"/>
  <c r="AI865" i="13" s="1"/>
  <c r="AI866" i="13" s="1"/>
  <c r="AI867" i="13" s="1"/>
  <c r="AI868" i="13" s="1"/>
  <c r="AI869" i="13" s="1"/>
  <c r="AI870" i="13" s="1"/>
  <c r="AI871" i="13" s="1"/>
  <c r="AI872" i="13" s="1"/>
  <c r="AI873" i="13" s="1"/>
  <c r="AI874" i="13" s="1"/>
  <c r="AI875" i="13" s="1"/>
  <c r="AI876" i="13" s="1"/>
  <c r="AI877" i="13" s="1"/>
  <c r="AI878" i="13" s="1"/>
  <c r="AI879" i="13" s="1"/>
  <c r="AI880" i="13" s="1"/>
  <c r="AI881" i="13" s="1"/>
  <c r="AI882" i="13" s="1"/>
  <c r="AI883" i="13" s="1"/>
  <c r="AI884" i="13" s="1"/>
  <c r="AI885" i="13" s="1"/>
  <c r="AI886" i="13" s="1"/>
  <c r="AI887" i="13" s="1"/>
  <c r="AI888" i="13" s="1"/>
  <c r="AI889" i="13" s="1"/>
  <c r="AI890" i="13" s="1"/>
  <c r="AI891" i="13" s="1"/>
  <c r="AI892" i="13" s="1"/>
  <c r="AI893" i="13" s="1"/>
  <c r="AI894" i="13" s="1"/>
  <c r="AI895" i="13" s="1"/>
  <c r="AI896" i="13" s="1"/>
  <c r="AI897" i="13" s="1"/>
  <c r="AI898" i="13" s="1"/>
  <c r="AI899" i="13" s="1"/>
  <c r="AI900" i="13" s="1"/>
  <c r="AI901" i="13" s="1"/>
  <c r="AI902" i="13" s="1"/>
  <c r="AI903" i="13" s="1"/>
  <c r="AI904" i="13" s="1"/>
  <c r="AI905" i="13" s="1"/>
  <c r="AI906" i="13" s="1"/>
  <c r="AI907" i="13" s="1"/>
  <c r="AI908" i="13" s="1"/>
  <c r="AI909" i="13" s="1"/>
  <c r="AI910" i="13" s="1"/>
  <c r="AI911" i="13" s="1"/>
  <c r="AI912" i="13" s="1"/>
  <c r="AI913" i="13" s="1"/>
  <c r="AI914" i="13" s="1"/>
  <c r="AI915" i="13" s="1"/>
  <c r="AI916" i="13" s="1"/>
  <c r="AI917" i="13" s="1"/>
  <c r="AI918" i="13" s="1"/>
  <c r="AI919" i="13" s="1"/>
  <c r="AI920" i="13" s="1"/>
  <c r="AI921" i="13" s="1"/>
  <c r="AI922" i="13" s="1"/>
  <c r="AI923" i="13" s="1"/>
  <c r="AI924" i="13" s="1"/>
  <c r="AI925" i="13" s="1"/>
  <c r="AI926" i="13" s="1"/>
  <c r="AI927" i="13" s="1"/>
  <c r="AI928" i="13" s="1"/>
  <c r="AI929" i="13" s="1"/>
  <c r="AI930" i="13" s="1"/>
  <c r="AI931" i="13" s="1"/>
  <c r="AI932" i="13" s="1"/>
  <c r="AI933" i="13" s="1"/>
  <c r="AI934" i="13" s="1"/>
  <c r="AI935" i="13" s="1"/>
  <c r="AI936" i="13" s="1"/>
  <c r="AI937" i="13" s="1"/>
  <c r="AI938" i="13" s="1"/>
  <c r="AI939" i="13" s="1"/>
  <c r="AI940" i="13" s="1"/>
  <c r="AI941" i="13" s="1"/>
  <c r="AI942" i="13" s="1"/>
  <c r="AI943" i="13" s="1"/>
  <c r="AI944" i="13" s="1"/>
  <c r="AI945" i="13" s="1"/>
  <c r="AI946" i="13" s="1"/>
  <c r="AI947" i="13" s="1"/>
  <c r="AI948" i="13" s="1"/>
  <c r="AI949" i="13" s="1"/>
  <c r="AI950" i="13" s="1"/>
  <c r="AI951" i="13" s="1"/>
  <c r="AI952" i="13" s="1"/>
  <c r="AI953" i="13" s="1"/>
  <c r="AI954" i="13" s="1"/>
  <c r="AI955" i="13" s="1"/>
  <c r="AI956" i="13" s="1"/>
  <c r="AI957" i="13" s="1"/>
  <c r="AI958" i="13" s="1"/>
  <c r="AI959" i="13" s="1"/>
  <c r="AI960" i="13" s="1"/>
  <c r="AI961" i="13" s="1"/>
  <c r="AI962" i="13" s="1"/>
  <c r="AI963" i="13" s="1"/>
  <c r="AI964" i="13" s="1"/>
  <c r="AI965" i="13" s="1"/>
  <c r="AI966" i="13" s="1"/>
  <c r="AI967" i="13" s="1"/>
  <c r="AI968" i="13" s="1"/>
  <c r="AI969" i="13" s="1"/>
  <c r="AI970" i="13" s="1"/>
  <c r="AI971" i="13" s="1"/>
  <c r="AI972" i="13" s="1"/>
  <c r="AI973" i="13" s="1"/>
  <c r="AI974" i="13" s="1"/>
  <c r="AI975" i="13" s="1"/>
  <c r="AI976" i="13" s="1"/>
  <c r="AI977" i="13" s="1"/>
  <c r="AI978" i="13" s="1"/>
  <c r="AI979" i="13" s="1"/>
  <c r="AI980" i="13" s="1"/>
  <c r="AI981" i="13" s="1"/>
  <c r="AI982" i="13" s="1"/>
  <c r="AI983" i="13" s="1"/>
  <c r="AI984" i="13" s="1"/>
  <c r="AI985" i="13" s="1"/>
  <c r="AI986" i="13" s="1"/>
  <c r="AI987" i="13" s="1"/>
  <c r="AI988" i="13" s="1"/>
  <c r="AI989" i="13" s="1"/>
  <c r="AI990" i="13" s="1"/>
  <c r="AI991" i="13" s="1"/>
  <c r="AI992" i="13" s="1"/>
  <c r="AI993" i="13" s="1"/>
  <c r="AI994" i="13" s="1"/>
  <c r="AI995" i="13" s="1"/>
  <c r="AI996" i="13" s="1"/>
  <c r="AI997" i="13" s="1"/>
  <c r="AI998" i="13" s="1"/>
  <c r="AI999" i="13" s="1"/>
  <c r="AI1000" i="13" s="1"/>
  <c r="AI1001" i="13" s="1"/>
  <c r="AI1002" i="13" s="1"/>
  <c r="AI1003" i="13" s="1"/>
  <c r="AI1004" i="13" s="1"/>
  <c r="AI1005" i="13" s="1"/>
  <c r="AI1006" i="13" s="1"/>
  <c r="AI1007" i="13" s="1"/>
  <c r="AI1008" i="13" s="1"/>
  <c r="AI1009" i="13" s="1"/>
  <c r="AI1010" i="13" s="1"/>
  <c r="AI1011" i="13" s="1"/>
  <c r="AI1012" i="13" s="1"/>
  <c r="AI1013" i="13" s="1"/>
  <c r="AI1014" i="13" s="1"/>
  <c r="AI1015" i="13" s="1"/>
  <c r="AI1016" i="13" s="1"/>
  <c r="AI1017" i="13" s="1"/>
  <c r="AI1018" i="13" s="1"/>
  <c r="AI1019" i="13" s="1"/>
  <c r="AI1020" i="13" s="1"/>
  <c r="AI1021" i="13" s="1"/>
  <c r="AI1022" i="13" s="1"/>
  <c r="AI1023" i="13" s="1"/>
  <c r="AI1024" i="13" s="1"/>
  <c r="AI1025" i="13" s="1"/>
  <c r="AI1026" i="13" s="1"/>
  <c r="AI1027" i="13" s="1"/>
  <c r="AI1028" i="13" s="1"/>
  <c r="AI1029" i="13" s="1"/>
  <c r="AI1030" i="13" s="1"/>
  <c r="AI1031" i="13" s="1"/>
  <c r="AI1032" i="13" s="1"/>
  <c r="AI1033" i="13" s="1"/>
  <c r="AI1034" i="13" s="1"/>
  <c r="AI1035" i="13" s="1"/>
  <c r="AI1036" i="13" s="1"/>
  <c r="AI1037" i="13" s="1"/>
  <c r="AI1038" i="13" s="1"/>
  <c r="AI1039" i="13" s="1"/>
  <c r="AI1040" i="13" s="1"/>
  <c r="AI1041" i="13" s="1"/>
  <c r="AI1042" i="13" s="1"/>
  <c r="AI1043" i="13" s="1"/>
  <c r="AI1044" i="13" s="1"/>
  <c r="AI1045" i="13" s="1"/>
  <c r="AI1046" i="13" s="1"/>
  <c r="AI1047" i="13" s="1"/>
  <c r="AI1048" i="13" s="1"/>
  <c r="AI1049" i="13" s="1"/>
  <c r="AI1050" i="13" s="1"/>
  <c r="AI1051" i="13" s="1"/>
  <c r="AI1052" i="13" s="1"/>
  <c r="AI1053" i="13" s="1"/>
  <c r="AI1054" i="13" s="1"/>
  <c r="AI1055" i="13" s="1"/>
  <c r="AI1056" i="13" s="1"/>
  <c r="AI1057" i="13" s="1"/>
  <c r="AI1058" i="13" s="1"/>
  <c r="AI1059" i="13" s="1"/>
  <c r="AI1060" i="13" s="1"/>
  <c r="AI1061" i="13" s="1"/>
  <c r="AI1062" i="13" s="1"/>
  <c r="AI1063" i="13" s="1"/>
  <c r="AI1064" i="13" s="1"/>
  <c r="AI1065" i="13" s="1"/>
  <c r="AI1066" i="13" s="1"/>
  <c r="AI1067" i="13" s="1"/>
  <c r="AI1068" i="13" s="1"/>
  <c r="AI1069" i="13" s="1"/>
  <c r="AI1070" i="13" s="1"/>
  <c r="AI1071" i="13" s="1"/>
  <c r="AI1072" i="13" s="1"/>
  <c r="AI1073" i="13" s="1"/>
  <c r="AI1074" i="13" s="1"/>
  <c r="AI1075" i="13" s="1"/>
  <c r="AI1076" i="13" s="1"/>
  <c r="AI1077" i="13" s="1"/>
  <c r="AI1078" i="13" s="1"/>
  <c r="AI1079" i="13" s="1"/>
  <c r="AI1080" i="13" s="1"/>
  <c r="AI1081" i="13" s="1"/>
  <c r="AI1082" i="13" s="1"/>
  <c r="AI1083" i="13" s="1"/>
  <c r="AI1084" i="13" s="1"/>
  <c r="AI1085" i="13" s="1"/>
  <c r="AI1086" i="13" s="1"/>
  <c r="AI1087" i="13" s="1"/>
  <c r="AI1088" i="13" s="1"/>
  <c r="AI1089" i="13" s="1"/>
  <c r="AI1090" i="13" s="1"/>
  <c r="AI1091" i="13" s="1"/>
  <c r="AI1092" i="13" s="1"/>
  <c r="AI1093" i="13" s="1"/>
  <c r="AI1094" i="13" s="1"/>
  <c r="AI1095" i="13" s="1"/>
  <c r="AI1096" i="13" s="1"/>
  <c r="AI1097" i="13" s="1"/>
  <c r="AI1098" i="13" s="1"/>
  <c r="AI1099" i="13" s="1"/>
  <c r="AI1100" i="13" s="1"/>
  <c r="AI1101" i="13" s="1"/>
  <c r="AI1102" i="13" s="1"/>
  <c r="AI1103" i="13" s="1"/>
  <c r="AI1104" i="13" s="1"/>
  <c r="AI1105" i="13" s="1"/>
  <c r="AI1106" i="13" s="1"/>
  <c r="AI1107" i="13" s="1"/>
  <c r="AI1108" i="13" s="1"/>
  <c r="AI1109" i="13" s="1"/>
  <c r="AI1110" i="13" s="1"/>
  <c r="AI1111" i="13" s="1"/>
  <c r="AI1112" i="13" s="1"/>
  <c r="AI1113" i="13" s="1"/>
  <c r="AI1114" i="13" s="1"/>
  <c r="AI1115" i="13" s="1"/>
  <c r="AI1116" i="13" s="1"/>
  <c r="AI1117" i="13" s="1"/>
  <c r="AI1118" i="13" s="1"/>
  <c r="AI1119" i="13" s="1"/>
  <c r="AI1120" i="13" s="1"/>
  <c r="AI1121" i="13" s="1"/>
  <c r="AI1122" i="13" s="1"/>
  <c r="AI1123" i="13" s="1"/>
  <c r="AI1124" i="13" s="1"/>
  <c r="AI1125" i="13" s="1"/>
  <c r="AI1126" i="13" s="1"/>
  <c r="AI1127" i="13" s="1"/>
  <c r="AI1128" i="13" s="1"/>
  <c r="AI1129" i="13" s="1"/>
  <c r="AI1130" i="13" s="1"/>
  <c r="AI1131" i="13" s="1"/>
  <c r="AI1132" i="13" s="1"/>
  <c r="AI1133" i="13" s="1"/>
  <c r="AI1134" i="13" s="1"/>
  <c r="AI1135" i="13" s="1"/>
  <c r="AI1136" i="13" s="1"/>
  <c r="AI1137" i="13" s="1"/>
  <c r="AI1138" i="13" s="1"/>
  <c r="AI1139" i="13" s="1"/>
  <c r="AI1140" i="13" s="1"/>
  <c r="AI1141" i="13" s="1"/>
  <c r="AI1142" i="13" s="1"/>
  <c r="AI1143" i="13" s="1"/>
  <c r="AI1144" i="13" s="1"/>
  <c r="AI1145" i="13" s="1"/>
  <c r="AI1146" i="13" s="1"/>
  <c r="AI1147" i="13" s="1"/>
  <c r="AI1148" i="13" s="1"/>
  <c r="AI1149" i="13" s="1"/>
  <c r="AI1150" i="13" s="1"/>
  <c r="AI1151" i="13" s="1"/>
  <c r="AI1152" i="13" s="1"/>
  <c r="AI1153" i="13" s="1"/>
  <c r="AI1154" i="13" s="1"/>
  <c r="AI1155" i="13" s="1"/>
  <c r="AI1156" i="13" s="1"/>
  <c r="AI1157" i="13" s="1"/>
  <c r="AI1158" i="13" s="1"/>
  <c r="AI1159" i="13" s="1"/>
  <c r="AI1160" i="13" s="1"/>
  <c r="AI1161" i="13" s="1"/>
  <c r="AI1162" i="13" s="1"/>
  <c r="AI1163" i="13" s="1"/>
  <c r="AI1164" i="13" s="1"/>
  <c r="AI1165" i="13" s="1"/>
  <c r="AI1166" i="13" s="1"/>
  <c r="AI1167" i="13" s="1"/>
  <c r="AI1168" i="13" s="1"/>
  <c r="AI1169" i="13" s="1"/>
  <c r="AI1170" i="13" s="1"/>
  <c r="AI1171" i="13" s="1"/>
  <c r="AI1172" i="13" s="1"/>
  <c r="AI1173" i="13" s="1"/>
  <c r="AI1174" i="13" s="1"/>
  <c r="AI1175" i="13" s="1"/>
  <c r="AI1176" i="13" s="1"/>
  <c r="AI1177" i="13" s="1"/>
  <c r="AI1178" i="13" s="1"/>
  <c r="AI1179" i="13" s="1"/>
  <c r="AI1180" i="13" s="1"/>
  <c r="AI1181" i="13" s="1"/>
  <c r="AI1182" i="13" s="1"/>
  <c r="AI1183" i="13" s="1"/>
  <c r="AI1184" i="13" s="1"/>
  <c r="AI1185" i="13" s="1"/>
  <c r="AI1186" i="13" s="1"/>
  <c r="AI1187" i="13" s="1"/>
  <c r="AI1188" i="13" s="1"/>
  <c r="AI1189" i="13" s="1"/>
  <c r="AI1190" i="13" s="1"/>
  <c r="AI1191" i="13" s="1"/>
  <c r="AI1192" i="13" s="1"/>
  <c r="AI1193" i="13" s="1"/>
  <c r="AI1194" i="13" s="1"/>
  <c r="AI1195" i="13" s="1"/>
  <c r="AI1196" i="13" s="1"/>
  <c r="AI1197" i="13" s="1"/>
  <c r="AI1198" i="13" s="1"/>
  <c r="AI1199" i="13" s="1"/>
  <c r="AI1200" i="13" s="1"/>
  <c r="AI1201" i="13" s="1"/>
  <c r="AI1202" i="13" s="1"/>
  <c r="AI1203" i="13" s="1"/>
  <c r="AI1204" i="13" s="1"/>
  <c r="AI1205" i="13" s="1"/>
  <c r="AI1206" i="13" s="1"/>
  <c r="AI1207" i="13" s="1"/>
  <c r="AI1208" i="13" s="1"/>
  <c r="AI1209" i="13" s="1"/>
  <c r="AI1210" i="13" s="1"/>
  <c r="AI1211" i="13" s="1"/>
  <c r="AI1212" i="13" s="1"/>
  <c r="AI1213" i="13" s="1"/>
  <c r="AI1214" i="13" s="1"/>
  <c r="AI1215" i="13" s="1"/>
  <c r="AI1216" i="13" s="1"/>
  <c r="AI1217" i="13" s="1"/>
  <c r="AI1218" i="13" s="1"/>
  <c r="AI1219" i="13" s="1"/>
  <c r="AI1220" i="13" s="1"/>
  <c r="AI1221" i="13" s="1"/>
  <c r="AI1222" i="13" s="1"/>
  <c r="AI1223" i="13" s="1"/>
  <c r="AI1224" i="13" s="1"/>
  <c r="AI1225" i="13" s="1"/>
  <c r="AI1226" i="13" s="1"/>
  <c r="AI1227" i="13" s="1"/>
  <c r="AI1228" i="13" s="1"/>
  <c r="AI1229" i="13" s="1"/>
  <c r="AI1230" i="13" s="1"/>
  <c r="AI1231" i="13" s="1"/>
  <c r="AI1232" i="13" s="1"/>
  <c r="AI1233" i="13" s="1"/>
  <c r="AI1234" i="13" s="1"/>
  <c r="AI1235" i="13" s="1"/>
  <c r="AI1236" i="13" s="1"/>
  <c r="AI1237" i="13" s="1"/>
  <c r="AI1238" i="13" s="1"/>
  <c r="AI1239" i="13" s="1"/>
  <c r="AI1240" i="13" s="1"/>
  <c r="AI1241" i="13" s="1"/>
  <c r="AI1242" i="13" s="1"/>
  <c r="AI1243" i="13" s="1"/>
  <c r="AI1244" i="13" s="1"/>
  <c r="AI1245" i="13" s="1"/>
  <c r="AI1246" i="13" s="1"/>
  <c r="AI1247" i="13" s="1"/>
  <c r="AI1248" i="13" s="1"/>
  <c r="AI1249" i="13" s="1"/>
  <c r="AI1250" i="13" s="1"/>
  <c r="AI1251" i="13" s="1"/>
  <c r="AI1252" i="13" s="1"/>
  <c r="AI1253" i="13" s="1"/>
  <c r="AI1254" i="13" s="1"/>
  <c r="AI1255" i="13" s="1"/>
  <c r="AI1256" i="13" s="1"/>
  <c r="AI1257" i="13" s="1"/>
  <c r="AI1258" i="13" s="1"/>
  <c r="AI1259" i="13" s="1"/>
  <c r="AI1260" i="13" s="1"/>
  <c r="AI1261" i="13" s="1"/>
  <c r="AI1262" i="13" s="1"/>
  <c r="AI1263" i="13" s="1"/>
  <c r="AI1264" i="13" s="1"/>
  <c r="AI1265" i="13" s="1"/>
  <c r="AI1266" i="13" s="1"/>
  <c r="AI1267" i="13" s="1"/>
  <c r="AI1268" i="13" s="1"/>
  <c r="AI1269" i="13" s="1"/>
  <c r="AI1270" i="13" s="1"/>
  <c r="AI1271" i="13" s="1"/>
  <c r="AI1272" i="13" s="1"/>
  <c r="AI1273" i="13" s="1"/>
  <c r="AI1274" i="13" s="1"/>
  <c r="AI1275" i="13" s="1"/>
  <c r="AI1276" i="13" s="1"/>
  <c r="AI1277" i="13" s="1"/>
  <c r="AI1278" i="13" s="1"/>
  <c r="AI1279" i="13" s="1"/>
  <c r="AI1280" i="13" s="1"/>
  <c r="AI1281" i="13" s="1"/>
  <c r="AI1282" i="13" s="1"/>
  <c r="AI1283" i="13" s="1"/>
  <c r="AI1284" i="13" s="1"/>
  <c r="AI1285" i="13" s="1"/>
  <c r="AI1286" i="13" s="1"/>
  <c r="AI1287" i="13" s="1"/>
  <c r="AI1288" i="13" s="1"/>
  <c r="AI1289" i="13" s="1"/>
  <c r="AI1290" i="13" s="1"/>
  <c r="AI1291" i="13" s="1"/>
  <c r="AI1292" i="13" s="1"/>
  <c r="AI1293" i="13" s="1"/>
  <c r="AI1294" i="13" s="1"/>
  <c r="AI1295" i="13" s="1"/>
  <c r="AI1296" i="13" s="1"/>
  <c r="AI1297" i="13" s="1"/>
  <c r="AI1298" i="13" s="1"/>
  <c r="AI1299" i="13" s="1"/>
  <c r="AI1300" i="13" s="1"/>
  <c r="AI1301" i="13" s="1"/>
  <c r="AI1302" i="13" s="1"/>
  <c r="AI1303" i="13" s="1"/>
  <c r="AI1304" i="13" s="1"/>
  <c r="AI1305" i="13" s="1"/>
  <c r="AI1306" i="13" s="1"/>
  <c r="AI1307" i="13" s="1"/>
  <c r="AI1308" i="13" s="1"/>
  <c r="AI1309" i="13" s="1"/>
  <c r="AI1310" i="13" s="1"/>
  <c r="AI1311" i="13" s="1"/>
  <c r="AI1312" i="13" s="1"/>
  <c r="AI1313" i="13" s="1"/>
  <c r="AI1314" i="13" s="1"/>
  <c r="AI1315" i="13" s="1"/>
  <c r="AI1316" i="13" s="1"/>
  <c r="AI1317" i="13" s="1"/>
  <c r="AI1318" i="13" s="1"/>
  <c r="AI1319" i="13" s="1"/>
  <c r="AI1320" i="13" s="1"/>
  <c r="AI1321" i="13" s="1"/>
  <c r="AI1322" i="13" s="1"/>
  <c r="AI1323" i="13" s="1"/>
  <c r="AI1324" i="13" s="1"/>
  <c r="AI1325" i="13" s="1"/>
  <c r="AI1326" i="13" s="1"/>
  <c r="AI1327" i="13" s="1"/>
  <c r="AI1328" i="13" s="1"/>
  <c r="AI1329" i="13" s="1"/>
  <c r="AI1330" i="13" s="1"/>
  <c r="AI1331" i="13" s="1"/>
  <c r="AI1332" i="13" s="1"/>
  <c r="AI1333" i="13" s="1"/>
  <c r="AI1334" i="13" s="1"/>
  <c r="AI1335" i="13" s="1"/>
  <c r="AI1336" i="13" s="1"/>
  <c r="AI1337" i="13" s="1"/>
  <c r="AI1338" i="13" s="1"/>
  <c r="AI1339" i="13" s="1"/>
  <c r="AI1340" i="13" s="1"/>
  <c r="AI1341" i="13" s="1"/>
  <c r="AI1342" i="13" s="1"/>
  <c r="AI1343" i="13" s="1"/>
  <c r="AI1344" i="13" s="1"/>
  <c r="AI1345" i="13" s="1"/>
  <c r="AI1346" i="13" s="1"/>
  <c r="AI1347" i="13" s="1"/>
  <c r="AI1348" i="13" s="1"/>
  <c r="AI1349" i="13" s="1"/>
  <c r="AI1350" i="13" s="1"/>
  <c r="AI1351" i="13" s="1"/>
  <c r="AI1352" i="13" s="1"/>
  <c r="AI1353" i="13" s="1"/>
  <c r="AI1354" i="13" s="1"/>
  <c r="AI1355" i="13" s="1"/>
  <c r="AI1356" i="13" s="1"/>
  <c r="AI1357" i="13" s="1"/>
  <c r="AI1358" i="13" s="1"/>
  <c r="AI1359" i="13" s="1"/>
  <c r="AI1360" i="13" s="1"/>
  <c r="AI1361" i="13" s="1"/>
  <c r="AI1362" i="13" s="1"/>
  <c r="AI1363" i="13" s="1"/>
  <c r="AI1364" i="13" s="1"/>
  <c r="AI1365" i="13" s="1"/>
  <c r="AI1366" i="13" s="1"/>
  <c r="AI1367" i="13" s="1"/>
  <c r="AI1368" i="13" s="1"/>
  <c r="AI1369" i="13" s="1"/>
  <c r="AI1370" i="13" s="1"/>
  <c r="AI1371" i="13" s="1"/>
  <c r="AI1372" i="13" s="1"/>
  <c r="AI1373" i="13" s="1"/>
  <c r="AI1374" i="13" s="1"/>
  <c r="AI1375" i="13" s="1"/>
  <c r="AI1376" i="13" s="1"/>
  <c r="AI1377" i="13" s="1"/>
  <c r="AI1378" i="13" s="1"/>
  <c r="AI1379" i="13" s="1"/>
  <c r="AI1380" i="13" s="1"/>
  <c r="AI1381" i="13" s="1"/>
  <c r="AI1382" i="13" s="1"/>
  <c r="AI1383" i="13" s="1"/>
  <c r="AI1384" i="13" s="1"/>
  <c r="AI1385" i="13" s="1"/>
  <c r="AI1386" i="13" s="1"/>
  <c r="AI1387" i="13" s="1"/>
  <c r="AI1388" i="13" s="1"/>
  <c r="AI1389" i="13" s="1"/>
  <c r="AI1390" i="13" s="1"/>
  <c r="AI1391" i="13" s="1"/>
  <c r="AI1392" i="13" s="1"/>
  <c r="AI1393" i="13" s="1"/>
  <c r="AI1394" i="13" s="1"/>
  <c r="AI1395" i="13" s="1"/>
  <c r="AI1396" i="13" s="1"/>
  <c r="AI1397" i="13" s="1"/>
  <c r="AI1398" i="13" s="1"/>
  <c r="AI1399" i="13" s="1"/>
  <c r="AI1400" i="13" s="1"/>
  <c r="AI1401" i="13" s="1"/>
  <c r="AI1402" i="13" s="1"/>
  <c r="AI1403" i="13" s="1"/>
  <c r="AI1404" i="13" s="1"/>
  <c r="AI1405" i="13" s="1"/>
  <c r="AI1406" i="13" s="1"/>
  <c r="AI1407" i="13" s="1"/>
  <c r="AI1408" i="13" s="1"/>
  <c r="AI1409" i="13" s="1"/>
  <c r="AI1410" i="13" s="1"/>
  <c r="AI1411" i="13" s="1"/>
  <c r="AI1412" i="13" s="1"/>
  <c r="AI1413" i="13" s="1"/>
  <c r="AI1414" i="13" s="1"/>
  <c r="AI1415" i="13" s="1"/>
  <c r="AI1416" i="13" s="1"/>
  <c r="AI1417" i="13" s="1"/>
  <c r="AI1418" i="13" s="1"/>
  <c r="AI1419" i="13" s="1"/>
  <c r="AI1420" i="13" s="1"/>
  <c r="AI1421" i="13" s="1"/>
  <c r="AI1422" i="13" s="1"/>
  <c r="AI1423" i="13" s="1"/>
  <c r="AI1424" i="13" s="1"/>
  <c r="AI1425" i="13" s="1"/>
  <c r="AI1426" i="13" s="1"/>
  <c r="AI1427" i="13" s="1"/>
  <c r="AI1428" i="13" s="1"/>
  <c r="AI1429" i="13" s="1"/>
  <c r="AI1430" i="13" s="1"/>
  <c r="AI1431" i="13" s="1"/>
  <c r="AI1432" i="13" s="1"/>
  <c r="AI1433" i="13" s="1"/>
  <c r="AI1434" i="13" s="1"/>
  <c r="AI1435" i="13" s="1"/>
  <c r="AI1436" i="13" s="1"/>
  <c r="AI1437" i="13" s="1"/>
  <c r="AI1438" i="13" s="1"/>
  <c r="AI1439" i="13" s="1"/>
  <c r="AI1440" i="13" s="1"/>
  <c r="AI1441" i="13" s="1"/>
  <c r="AI1442" i="13" s="1"/>
  <c r="AI1443" i="13" s="1"/>
  <c r="AI1444" i="13" s="1"/>
  <c r="AI1445" i="13" s="1"/>
  <c r="AI1446" i="13" s="1"/>
  <c r="AI1447" i="13" s="1"/>
  <c r="AI1448" i="13" s="1"/>
  <c r="AI1449" i="13" s="1"/>
  <c r="AI1450" i="13" s="1"/>
  <c r="AI1451" i="13" s="1"/>
  <c r="AI1452" i="13" s="1"/>
  <c r="AI1453" i="13" s="1"/>
  <c r="AI1454" i="13" s="1"/>
  <c r="AI1455" i="13" s="1"/>
  <c r="AI1456" i="13" s="1"/>
  <c r="AI1457" i="13" s="1"/>
  <c r="AI1458" i="13" s="1"/>
  <c r="AI1459" i="13" s="1"/>
  <c r="AI1460" i="13" s="1"/>
  <c r="AI1461" i="13" s="1"/>
  <c r="AI1462" i="13" s="1"/>
  <c r="AI1463" i="13" s="1"/>
  <c r="AI1464" i="13" s="1"/>
  <c r="AI1465" i="13" s="1"/>
  <c r="AI1466" i="13" s="1"/>
  <c r="AI1467" i="13" s="1"/>
  <c r="AI1468" i="13" s="1"/>
  <c r="AI1469" i="13" s="1"/>
  <c r="AI1470" i="13" s="1"/>
  <c r="AI1471" i="13" s="1"/>
  <c r="AI1472" i="13" s="1"/>
  <c r="AI1473" i="13" s="1"/>
  <c r="AI1474" i="13" s="1"/>
  <c r="AI1475" i="13" s="1"/>
  <c r="AI1476" i="13" s="1"/>
  <c r="AI1477" i="13" s="1"/>
  <c r="AI1478" i="13" s="1"/>
  <c r="AI1479" i="13" s="1"/>
  <c r="AI1480" i="13" s="1"/>
  <c r="AI1481" i="13" s="1"/>
  <c r="AI1482" i="13" s="1"/>
  <c r="AI1483" i="13" s="1"/>
  <c r="AI1484" i="13" s="1"/>
  <c r="AI1485" i="13" s="1"/>
  <c r="AI1486" i="13" s="1"/>
  <c r="AI1487" i="13" s="1"/>
  <c r="AI1488" i="13" s="1"/>
  <c r="AI1489" i="13" s="1"/>
  <c r="AI1490" i="13" s="1"/>
  <c r="AI1491" i="13" s="1"/>
  <c r="AI1492" i="13" s="1"/>
  <c r="AI1493" i="13" s="1"/>
  <c r="AI1494" i="13" s="1"/>
  <c r="AI1495" i="13" s="1"/>
  <c r="AI1496" i="13" s="1"/>
  <c r="AI1497" i="13" s="1"/>
  <c r="AI1498" i="13" s="1"/>
  <c r="AI1499" i="13" s="1"/>
  <c r="AI1500" i="13" s="1"/>
  <c r="AI1501" i="13" s="1"/>
  <c r="AI1502" i="13" s="1"/>
  <c r="AI1503" i="13" s="1"/>
  <c r="AI1504" i="13" s="1"/>
  <c r="AI1505" i="13" s="1"/>
  <c r="AI1506" i="13" s="1"/>
  <c r="AI1507" i="13" s="1"/>
  <c r="AI1508" i="13" s="1"/>
  <c r="AI1509" i="13" s="1"/>
  <c r="AI1510" i="13" s="1"/>
  <c r="AI1511" i="13" s="1"/>
  <c r="AI1512" i="13" s="1"/>
  <c r="AI1513" i="13" s="1"/>
  <c r="AI1514" i="13" s="1"/>
  <c r="AI1515" i="13" s="1"/>
  <c r="AI1516" i="13" s="1"/>
  <c r="AI1517" i="13" s="1"/>
  <c r="AI1518" i="13" s="1"/>
  <c r="AI1519" i="13" s="1"/>
  <c r="AI1520" i="13" s="1"/>
  <c r="AI1521" i="13" s="1"/>
  <c r="AI1522" i="13" s="1"/>
  <c r="AI1523" i="13" s="1"/>
  <c r="AI1524" i="13" s="1"/>
  <c r="AI1525" i="13" s="1"/>
  <c r="AI1526" i="13" s="1"/>
  <c r="AI1527" i="13" s="1"/>
  <c r="AI1528" i="13" s="1"/>
  <c r="AI1529" i="13" s="1"/>
  <c r="AI1530" i="13" s="1"/>
  <c r="AI1531" i="13" s="1"/>
  <c r="AI1532" i="13" s="1"/>
  <c r="AI1533" i="13" s="1"/>
  <c r="AI1534" i="13" s="1"/>
  <c r="AI1535" i="13" s="1"/>
  <c r="AI1536" i="13" s="1"/>
  <c r="AI1537" i="13" s="1"/>
  <c r="AI1538" i="13" s="1"/>
  <c r="AI1539" i="13" s="1"/>
  <c r="AI1540" i="13" s="1"/>
  <c r="AI1541" i="13" s="1"/>
  <c r="AI1542" i="13" s="1"/>
  <c r="AI1543" i="13" s="1"/>
  <c r="AI1544" i="13" s="1"/>
  <c r="AI1545" i="13" s="1"/>
  <c r="AI1546" i="13" s="1"/>
  <c r="AI1547" i="13" s="1"/>
  <c r="AI1548" i="13" s="1"/>
  <c r="AI1549" i="13" s="1"/>
  <c r="AI1550" i="13" s="1"/>
  <c r="AI1551" i="13" s="1"/>
  <c r="AI1552" i="13" s="1"/>
  <c r="AI1553" i="13" s="1"/>
  <c r="AI1554" i="13" s="1"/>
  <c r="AI1555" i="13" s="1"/>
  <c r="AI1556" i="13" s="1"/>
  <c r="AI1557" i="13" s="1"/>
  <c r="AI1558" i="13" s="1"/>
  <c r="AI1559" i="13" s="1"/>
  <c r="AI1560" i="13" s="1"/>
  <c r="AI1561" i="13" s="1"/>
  <c r="AI1562" i="13" s="1"/>
  <c r="AI1563" i="13" s="1"/>
  <c r="AI1564" i="13" s="1"/>
  <c r="AI1565" i="13" s="1"/>
  <c r="AI1566" i="13" s="1"/>
  <c r="AI1567" i="13" s="1"/>
  <c r="AI1568" i="13" s="1"/>
  <c r="AI1569" i="13" s="1"/>
  <c r="AI1570" i="13" s="1"/>
  <c r="AI1571" i="13" s="1"/>
  <c r="AI1572" i="13" s="1"/>
  <c r="AI1573" i="13" s="1"/>
  <c r="AI1574" i="13" s="1"/>
  <c r="AI1575" i="13" s="1"/>
  <c r="AI1576" i="13" s="1"/>
  <c r="AI1577" i="13" s="1"/>
  <c r="AI1578" i="13" s="1"/>
  <c r="AI1579" i="13" s="1"/>
  <c r="AI1580" i="13" s="1"/>
  <c r="AI1581" i="13" s="1"/>
  <c r="AI1582" i="13" s="1"/>
  <c r="AI1583" i="13" s="1"/>
  <c r="AI1584" i="13" s="1"/>
  <c r="AI1585" i="13" s="1"/>
  <c r="AI1586" i="13" s="1"/>
  <c r="AI1587" i="13" s="1"/>
  <c r="AI1588" i="13" s="1"/>
  <c r="AI1589" i="13" s="1"/>
  <c r="AI1590" i="13" s="1"/>
  <c r="AI1591" i="13" s="1"/>
  <c r="AI1592" i="13" s="1"/>
  <c r="AI1593" i="13" s="1"/>
  <c r="AI1594" i="13" s="1"/>
  <c r="AI1595" i="13" s="1"/>
  <c r="AI1596" i="13" s="1"/>
  <c r="AI1597" i="13" s="1"/>
  <c r="AI1598" i="13" s="1"/>
  <c r="AI1599" i="13" s="1"/>
  <c r="AI1600" i="13" s="1"/>
  <c r="AI1601" i="13" s="1"/>
  <c r="AI1602" i="13" s="1"/>
  <c r="AI1603" i="13" s="1"/>
  <c r="AI1604" i="13" s="1"/>
  <c r="AI1605" i="13" s="1"/>
  <c r="AI1606" i="13" s="1"/>
  <c r="AI1607" i="13" s="1"/>
  <c r="AI1608" i="13" s="1"/>
  <c r="AI1609" i="13" s="1"/>
  <c r="AI1610" i="13" s="1"/>
  <c r="AI1611" i="13" s="1"/>
  <c r="AI1612" i="13" s="1"/>
  <c r="AI1613" i="13" s="1"/>
  <c r="AI1614" i="13" s="1"/>
  <c r="AI1615" i="13" s="1"/>
  <c r="AI1616" i="13" s="1"/>
  <c r="AI1617" i="13" s="1"/>
  <c r="AI1618" i="13" s="1"/>
  <c r="AI1619" i="13" s="1"/>
  <c r="AI1620" i="13" s="1"/>
  <c r="AI1621" i="13" s="1"/>
  <c r="AI1622" i="13" s="1"/>
  <c r="AI1623" i="13" s="1"/>
  <c r="AI1624" i="13" s="1"/>
  <c r="AI1625" i="13" s="1"/>
  <c r="AI1626" i="13" s="1"/>
  <c r="AI1627" i="13" s="1"/>
  <c r="AI1628" i="13" s="1"/>
  <c r="AI1629" i="13" s="1"/>
  <c r="AI1630" i="13" s="1"/>
  <c r="AI1631" i="13" s="1"/>
  <c r="AI1632" i="13" s="1"/>
  <c r="AI1633" i="13" s="1"/>
  <c r="AI1634" i="13" s="1"/>
  <c r="AI1635" i="13" s="1"/>
  <c r="AI1636" i="13" s="1"/>
  <c r="AI1637" i="13" s="1"/>
  <c r="AI1638" i="13" s="1"/>
  <c r="AI1639" i="13" s="1"/>
  <c r="AI1640" i="13" s="1"/>
  <c r="AI1641" i="13" s="1"/>
  <c r="AI1642" i="13" s="1"/>
  <c r="AI1643" i="13" s="1"/>
  <c r="AI1644" i="13" s="1"/>
  <c r="AD5" i="15"/>
  <c r="Y5" i="15"/>
  <c r="X5" i="15"/>
  <c r="R5" i="15"/>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A4" i="15"/>
  <c r="Z4" i="15"/>
  <c r="AC4" i="15" s="1"/>
  <c r="S4" i="15"/>
  <c r="Q4" i="15"/>
  <c r="W4" i="15" s="1"/>
  <c r="N4" i="15"/>
  <c r="AA3" i="15"/>
  <c r="Z3" i="15"/>
  <c r="AC3" i="15" s="1"/>
  <c r="U3" i="15" s="1"/>
  <c r="S3" i="15"/>
  <c r="Q3" i="15"/>
  <c r="AA2" i="15"/>
  <c r="Z2" i="15"/>
  <c r="A11" i="14"/>
  <c r="A10" i="14"/>
  <c r="A9" i="14"/>
  <c r="A8" i="14"/>
  <c r="A7" i="14"/>
  <c r="A6" i="14"/>
  <c r="A5" i="14"/>
  <c r="A4" i="14"/>
  <c r="A6" i="5"/>
  <c r="AC2" i="15" l="1"/>
  <c r="U2" i="15"/>
  <c r="S2" i="15"/>
  <c r="T3" i="15"/>
  <c r="Y3" i="15" s="1"/>
  <c r="R2" i="15"/>
  <c r="Q2" i="15"/>
  <c r="R4" i="15"/>
  <c r="Y4" i="15"/>
  <c r="R3" i="15"/>
  <c r="W3" i="15" s="1"/>
  <c r="AD3" i="15"/>
  <c r="AD2" i="15"/>
  <c r="V2" i="15" s="1"/>
  <c r="AD4" i="15"/>
  <c r="X3" i="15"/>
  <c r="X4" i="15"/>
  <c r="X2" i="15" l="1"/>
  <c r="Z8" i="8"/>
  <c r="F6" i="8"/>
  <c r="AJ14" i="8"/>
  <c r="AJ9" i="8"/>
  <c r="AJ11" i="8"/>
  <c r="AJ12" i="8"/>
  <c r="AJ4" i="8"/>
  <c r="AJ5" i="8"/>
  <c r="AJ7" i="8"/>
  <c r="AJ15" i="8"/>
  <c r="AJ8" i="8"/>
  <c r="AJ6" i="8"/>
  <c r="AJ13" i="8"/>
  <c r="AJ10" i="8"/>
  <c r="Z12" i="8"/>
  <c r="Z4" i="8"/>
  <c r="K10" i="8"/>
  <c r="Z13" i="8"/>
  <c r="AE6" i="8"/>
  <c r="Z14" i="8"/>
  <c r="AE7" i="8"/>
  <c r="Z15" i="8"/>
  <c r="AE8" i="8"/>
  <c r="AE4" i="8"/>
  <c r="U4" i="8"/>
  <c r="AE9" i="8"/>
  <c r="AE10" i="8"/>
  <c r="AE13" i="8"/>
  <c r="AE11" i="8"/>
  <c r="AE5" i="8"/>
  <c r="AE12" i="8"/>
  <c r="Z9" i="8"/>
  <c r="Z10" i="8"/>
  <c r="Z11" i="8"/>
  <c r="P15" i="8"/>
  <c r="F5" i="8"/>
  <c r="Z5" i="8"/>
  <c r="AE14" i="8"/>
  <c r="Z6" i="8"/>
  <c r="AE15" i="8"/>
  <c r="Z7" i="8"/>
  <c r="K9" i="8"/>
  <c r="P4" i="8"/>
  <c r="F7" i="8"/>
  <c r="K11" i="8"/>
  <c r="P14" i="8"/>
  <c r="F4" i="8"/>
  <c r="U6" i="8"/>
  <c r="K13" i="8"/>
  <c r="F10" i="8"/>
  <c r="U7" i="8"/>
  <c r="K14" i="8"/>
  <c r="F11" i="8"/>
  <c r="U8" i="8"/>
  <c r="P5" i="8"/>
  <c r="F8" i="8"/>
  <c r="U5" i="8"/>
  <c r="F13" i="8"/>
  <c r="K4" i="8"/>
  <c r="U10" i="8"/>
  <c r="P7" i="8"/>
  <c r="F14" i="8"/>
  <c r="U11" i="8"/>
  <c r="P8" i="8"/>
  <c r="F15" i="8"/>
  <c r="U12" i="8"/>
  <c r="P9" i="8"/>
  <c r="F12" i="8"/>
  <c r="U9" i="8"/>
  <c r="K12" i="8"/>
  <c r="P11" i="8"/>
  <c r="K5" i="8"/>
  <c r="U15" i="8"/>
  <c r="P12" i="8"/>
  <c r="K6" i="8"/>
  <c r="U14" i="8"/>
  <c r="P13" i="8"/>
  <c r="K7" i="8"/>
  <c r="U13" i="8"/>
  <c r="P10" i="8"/>
  <c r="P6" i="8"/>
  <c r="K8" i="8"/>
  <c r="F9" i="8"/>
  <c r="K15" i="8"/>
  <c r="T2" i="15"/>
  <c r="W2" i="15"/>
  <c r="N21" i="8" l="1"/>
  <c r="S30" i="8"/>
  <c r="N29" i="8"/>
  <c r="X29" i="8"/>
  <c r="D19" i="8"/>
  <c r="S23" i="8"/>
  <c r="G11" i="3"/>
  <c r="X25" i="8"/>
  <c r="S25" i="8"/>
  <c r="N30" i="8"/>
  <c r="N22" i="8"/>
  <c r="S27" i="8"/>
  <c r="X24" i="8"/>
  <c r="S24" i="8"/>
  <c r="S19" i="8"/>
  <c r="S26" i="8"/>
  <c r="X23" i="8"/>
  <c r="N28" i="8"/>
  <c r="N20" i="8"/>
  <c r="X30" i="8"/>
  <c r="X22" i="8"/>
  <c r="S22" i="8"/>
  <c r="N27" i="8"/>
  <c r="N19" i="8"/>
  <c r="X26" i="8"/>
  <c r="N23" i="8"/>
  <c r="X21" i="8"/>
  <c r="S29" i="8"/>
  <c r="S21" i="8"/>
  <c r="N26" i="8"/>
  <c r="X19" i="8"/>
  <c r="X28" i="8"/>
  <c r="X20" i="8"/>
  <c r="S28" i="8"/>
  <c r="S20" i="8"/>
  <c r="N25" i="8"/>
  <c r="X27" i="8"/>
  <c r="N24" i="8"/>
  <c r="I30" i="8"/>
  <c r="I22" i="8"/>
  <c r="D26" i="8"/>
  <c r="AI14" i="8"/>
  <c r="AH14" i="8" s="1"/>
  <c r="AI6" i="8"/>
  <c r="AH6" i="8" s="1"/>
  <c r="AD10" i="8"/>
  <c r="I29" i="8"/>
  <c r="I21" i="8"/>
  <c r="D25" i="8"/>
  <c r="AI13" i="8"/>
  <c r="AH13" i="8" s="1"/>
  <c r="AI5" i="8"/>
  <c r="AH5" i="8" s="1"/>
  <c r="AD9" i="8"/>
  <c r="AC9" i="8" s="1"/>
  <c r="Y13" i="8"/>
  <c r="X13" i="8" s="1"/>
  <c r="I28" i="8"/>
  <c r="I20" i="8"/>
  <c r="D24" i="8"/>
  <c r="AI12" i="8"/>
  <c r="AH12" i="8" s="1"/>
  <c r="AI4" i="8"/>
  <c r="AH4" i="8" s="1"/>
  <c r="AD8" i="8"/>
  <c r="AC8" i="8" s="1"/>
  <c r="Y12" i="8"/>
  <c r="X12" i="8" s="1"/>
  <c r="Y4" i="8"/>
  <c r="X4" i="8" s="1"/>
  <c r="AI8" i="8"/>
  <c r="I23" i="8"/>
  <c r="Y15" i="8"/>
  <c r="X15" i="8" s="1"/>
  <c r="Y5" i="8"/>
  <c r="X5" i="8" s="1"/>
  <c r="I27" i="8"/>
  <c r="I19" i="8"/>
  <c r="D23" i="8"/>
  <c r="AI11" i="8"/>
  <c r="AH11" i="8" s="1"/>
  <c r="AD15" i="8"/>
  <c r="AC15" i="8" s="1"/>
  <c r="AD7" i="8"/>
  <c r="AC7" i="8" s="1"/>
  <c r="Y11" i="8"/>
  <c r="X11" i="8" s="1"/>
  <c r="I24" i="8"/>
  <c r="AD12" i="8"/>
  <c r="AC12" i="8" s="1"/>
  <c r="D27" i="8"/>
  <c r="AD11" i="8"/>
  <c r="AC11" i="8" s="1"/>
  <c r="Y6" i="8"/>
  <c r="X6" i="8" s="1"/>
  <c r="I26" i="8"/>
  <c r="D30" i="8"/>
  <c r="D22" i="8"/>
  <c r="AI10" i="8"/>
  <c r="AH10" i="8" s="1"/>
  <c r="AD14" i="8"/>
  <c r="AC14" i="8" s="1"/>
  <c r="AD6" i="8"/>
  <c r="AC6" i="8" s="1"/>
  <c r="Y10" i="8"/>
  <c r="X10" i="8" s="1"/>
  <c r="D20" i="8"/>
  <c r="AD4" i="8"/>
  <c r="AC4" i="8" s="1"/>
  <c r="AI15" i="8"/>
  <c r="AH15" i="8" s="1"/>
  <c r="Y14" i="8"/>
  <c r="X14" i="8" s="1"/>
  <c r="I25" i="8"/>
  <c r="D29" i="8"/>
  <c r="D21" i="8"/>
  <c r="AI9" i="8"/>
  <c r="AH9" i="8" s="1"/>
  <c r="AD13" i="8"/>
  <c r="AC13" i="8" s="1"/>
  <c r="AD5" i="8"/>
  <c r="AC5" i="8" s="1"/>
  <c r="Y9" i="8"/>
  <c r="X9" i="8" s="1"/>
  <c r="D28" i="8"/>
  <c r="Y8" i="8"/>
  <c r="X8" i="8" s="1"/>
  <c r="AI7" i="8"/>
  <c r="AH7" i="8" s="1"/>
  <c r="Y7" i="8"/>
  <c r="X7" i="8" s="1"/>
  <c r="AC10" i="8"/>
  <c r="AH8" i="8"/>
  <c r="Y2" i="15"/>
  <c r="AB2" i="15"/>
  <c r="AB3" i="15" s="1"/>
  <c r="AB4" i="15" s="1"/>
  <c r="AB5" i="15" s="1"/>
  <c r="T14" i="8"/>
  <c r="T12" i="8"/>
  <c r="T10" i="8"/>
  <c r="T8" i="8"/>
  <c r="T6" i="8"/>
  <c r="T4" i="8"/>
  <c r="O14" i="8"/>
  <c r="O12" i="8"/>
  <c r="O10" i="8"/>
  <c r="O8" i="8"/>
  <c r="O6" i="8"/>
  <c r="O4" i="8"/>
  <c r="J14" i="8"/>
  <c r="J12" i="8"/>
  <c r="J10" i="8"/>
  <c r="J8" i="8"/>
  <c r="J6" i="8"/>
  <c r="J4" i="8"/>
  <c r="E12" i="8"/>
  <c r="E10" i="8"/>
  <c r="E8" i="8"/>
  <c r="E6" i="8"/>
  <c r="E4" i="8"/>
  <c r="E15" i="8"/>
  <c r="T15" i="8"/>
  <c r="T13" i="8"/>
  <c r="T11" i="8"/>
  <c r="T9" i="8"/>
  <c r="T7" i="8"/>
  <c r="T5" i="8"/>
  <c r="O15" i="8"/>
  <c r="O13" i="8"/>
  <c r="O11" i="8"/>
  <c r="O9" i="8"/>
  <c r="O7" i="8"/>
  <c r="O5" i="8"/>
  <c r="J15" i="8"/>
  <c r="J13" i="8"/>
  <c r="J11" i="8"/>
  <c r="J9" i="8"/>
  <c r="J7" i="8"/>
  <c r="J5" i="8"/>
  <c r="E13" i="8"/>
  <c r="E11" i="8"/>
  <c r="E9" i="8"/>
  <c r="E7" i="8"/>
  <c r="E5" i="8"/>
  <c r="E14" i="8"/>
  <c r="A4" i="5"/>
  <c r="G17" i="2"/>
  <c r="A32" i="5" l="1"/>
  <c r="N20" i="5"/>
  <c r="N19" i="5"/>
  <c r="N18" i="5"/>
  <c r="N17" i="5"/>
  <c r="N16" i="5"/>
  <c r="N15" i="5"/>
  <c r="A31" i="5"/>
  <c r="A30" i="5"/>
  <c r="A29" i="5" l="1"/>
  <c r="A28" i="5" l="1"/>
  <c r="N14" i="5" l="1"/>
  <c r="A27" i="5" l="1"/>
  <c r="A26" i="5" l="1"/>
  <c r="A25" i="5"/>
  <c r="A24" i="5" l="1"/>
  <c r="A23" i="5"/>
  <c r="A22" i="5"/>
  <c r="A21" i="5" l="1"/>
  <c r="N13" i="5"/>
  <c r="N12" i="5"/>
  <c r="N11" i="5"/>
  <c r="N10" i="5"/>
  <c r="N9" i="5"/>
  <c r="N8" i="5"/>
  <c r="N7" i="5"/>
  <c r="N6" i="5"/>
  <c r="N5" i="5"/>
  <c r="A20" i="5"/>
  <c r="A19" i="5"/>
  <c r="A18" i="5"/>
  <c r="A17" i="5"/>
  <c r="A16" i="5"/>
  <c r="A15" i="5"/>
  <c r="A14" i="5"/>
  <c r="A13" i="5"/>
  <c r="A12" i="5"/>
  <c r="A11" i="5"/>
  <c r="A10" i="5"/>
  <c r="A9" i="5"/>
  <c r="A8" i="5"/>
  <c r="N4" i="5"/>
  <c r="G4" i="3"/>
  <c r="G2" i="3"/>
  <c r="G3" i="2"/>
  <c r="G5" i="2"/>
  <c r="G11" i="2"/>
  <c r="G32" i="2"/>
  <c r="G10" i="2"/>
  <c r="G12" i="2"/>
  <c r="G13" i="2"/>
  <c r="G28" i="2"/>
  <c r="G14" i="2"/>
  <c r="G20" i="2"/>
  <c r="G27" i="2"/>
  <c r="G16" i="2"/>
  <c r="G18" i="2"/>
  <c r="G24" i="2"/>
  <c r="G22" i="2"/>
  <c r="G25" i="2"/>
  <c r="G26" i="2"/>
  <c r="G29" i="2"/>
  <c r="G30" i="2"/>
  <c r="G19" i="2"/>
  <c r="G21" i="2"/>
  <c r="G8" i="2"/>
  <c r="N2" i="5"/>
  <c r="C3" i="2"/>
  <c r="C4" i="2"/>
  <c r="C5" i="2"/>
  <c r="C6" i="2"/>
  <c r="C7" i="2"/>
  <c r="C8" i="2"/>
  <c r="C2" i="2"/>
  <c r="H5" i="5"/>
  <c r="H6" i="5"/>
  <c r="H2" i="5"/>
  <c r="A3" i="5"/>
  <c r="A7" i="5"/>
  <c r="A2" i="5"/>
  <c r="H120" i="17" l="1"/>
  <c r="H116" i="17"/>
  <c r="H112" i="17"/>
  <c r="H108" i="17"/>
  <c r="H104" i="17"/>
  <c r="H100" i="17"/>
  <c r="H96" i="17"/>
  <c r="H92" i="17"/>
  <c r="H88" i="17"/>
  <c r="H84" i="17"/>
  <c r="H80" i="17"/>
  <c r="H76" i="17"/>
  <c r="H72" i="17"/>
  <c r="H68" i="17"/>
  <c r="H64" i="17"/>
  <c r="H60" i="17"/>
  <c r="E119" i="17"/>
  <c r="E117" i="17"/>
  <c r="E115" i="17"/>
  <c r="E113" i="17"/>
  <c r="E111" i="17"/>
  <c r="E109" i="17"/>
  <c r="E107" i="17"/>
  <c r="E105" i="17"/>
  <c r="E103" i="17"/>
  <c r="E101" i="17"/>
  <c r="E99" i="17"/>
  <c r="E97" i="17"/>
  <c r="E95" i="17"/>
  <c r="E93" i="17"/>
  <c r="E91" i="17"/>
  <c r="E89" i="17"/>
  <c r="E87" i="17"/>
  <c r="E85" i="17"/>
  <c r="E83" i="17"/>
  <c r="E81" i="17"/>
  <c r="E79" i="17"/>
  <c r="E77" i="17"/>
  <c r="E75" i="17"/>
  <c r="E73" i="17"/>
  <c r="E71" i="17"/>
  <c r="E69" i="17"/>
  <c r="E67" i="17"/>
  <c r="H117" i="17"/>
  <c r="H113" i="17"/>
  <c r="H109" i="17"/>
  <c r="H105" i="17"/>
  <c r="H101" i="17"/>
  <c r="H97" i="17"/>
  <c r="H93" i="17"/>
  <c r="H89" i="17"/>
  <c r="H85" i="17"/>
  <c r="H81" i="17"/>
  <c r="H77" i="17"/>
  <c r="H73" i="17"/>
  <c r="H69" i="17"/>
  <c r="H65" i="17"/>
  <c r="H61" i="17"/>
  <c r="F120" i="17"/>
  <c r="F118" i="17"/>
  <c r="F116" i="17"/>
  <c r="F114" i="17"/>
  <c r="F112" i="17"/>
  <c r="F110" i="17"/>
  <c r="F108" i="17"/>
  <c r="F106" i="17"/>
  <c r="F104" i="17"/>
  <c r="F102" i="17"/>
  <c r="F100" i="17"/>
  <c r="F98" i="17"/>
  <c r="F96" i="17"/>
  <c r="F94" i="17"/>
  <c r="F92" i="17"/>
  <c r="F90" i="17"/>
  <c r="F88" i="17"/>
  <c r="F86" i="17"/>
  <c r="F83" i="17"/>
  <c r="F79" i="17"/>
  <c r="F75" i="17"/>
  <c r="F71" i="17"/>
  <c r="F67" i="17"/>
  <c r="F65" i="17"/>
  <c r="F63" i="17"/>
  <c r="F61" i="17"/>
  <c r="F59" i="17"/>
  <c r="F57" i="17"/>
  <c r="F55" i="17"/>
  <c r="F53" i="17"/>
  <c r="F51" i="17"/>
  <c r="F49" i="17"/>
  <c r="F47" i="17"/>
  <c r="F45" i="17"/>
  <c r="F43" i="17"/>
  <c r="C120" i="17"/>
  <c r="I120" i="17" s="1"/>
  <c r="C118" i="17"/>
  <c r="I118" i="17" s="1"/>
  <c r="C116" i="17"/>
  <c r="I116" i="17" s="1"/>
  <c r="C114" i="17"/>
  <c r="I114" i="17" s="1"/>
  <c r="C112" i="17"/>
  <c r="I112" i="17" s="1"/>
  <c r="C110" i="17"/>
  <c r="I110" i="17" s="1"/>
  <c r="C108" i="17"/>
  <c r="I108" i="17" s="1"/>
  <c r="C106" i="17"/>
  <c r="I106" i="17" s="1"/>
  <c r="C104" i="17"/>
  <c r="I104" i="17" s="1"/>
  <c r="C102" i="17"/>
  <c r="I102" i="17" s="1"/>
  <c r="C100" i="17"/>
  <c r="I100" i="17" s="1"/>
  <c r="C98" i="17"/>
  <c r="I98" i="17" s="1"/>
  <c r="C96" i="17"/>
  <c r="I96" i="17" s="1"/>
  <c r="C94" i="17"/>
  <c r="I94" i="17" s="1"/>
  <c r="C92" i="17"/>
  <c r="I92" i="17" s="1"/>
  <c r="C90" i="17"/>
  <c r="I90" i="17" s="1"/>
  <c r="C88" i="17"/>
  <c r="I88" i="17" s="1"/>
  <c r="F82" i="17"/>
  <c r="F78" i="17"/>
  <c r="F74" i="17"/>
  <c r="F70" i="17"/>
  <c r="E66" i="17"/>
  <c r="E64" i="17"/>
  <c r="E62" i="17"/>
  <c r="E60" i="17"/>
  <c r="E58" i="17"/>
  <c r="E56" i="17"/>
  <c r="E54" i="17"/>
  <c r="E52" i="17"/>
  <c r="E50" i="17"/>
  <c r="E48" i="17"/>
  <c r="E46" i="17"/>
  <c r="E44" i="17"/>
  <c r="E42" i="17"/>
  <c r="B119" i="17"/>
  <c r="B117" i="17"/>
  <c r="B115" i="17"/>
  <c r="B113" i="17"/>
  <c r="B111" i="17"/>
  <c r="B109" i="17"/>
  <c r="B107" i="17"/>
  <c r="B105" i="17"/>
  <c r="B103" i="17"/>
  <c r="B101" i="17"/>
  <c r="B99" i="17"/>
  <c r="B97" i="17"/>
  <c r="B95" i="17"/>
  <c r="B93" i="17"/>
  <c r="B91" i="17"/>
  <c r="B89" i="17"/>
  <c r="B87" i="17"/>
  <c r="B85" i="17"/>
  <c r="B83" i="17"/>
  <c r="B81" i="17"/>
  <c r="B79" i="17"/>
  <c r="B77" i="17"/>
  <c r="B75" i="17"/>
  <c r="B73" i="17"/>
  <c r="B71" i="17"/>
  <c r="C87" i="17"/>
  <c r="C83" i="17"/>
  <c r="I83" i="17" s="1"/>
  <c r="C79" i="17"/>
  <c r="I79" i="17" s="1"/>
  <c r="C75" i="17"/>
  <c r="I75" i="17" s="1"/>
  <c r="C71" i="17"/>
  <c r="I71" i="17" s="1"/>
  <c r="B68" i="17"/>
  <c r="B66" i="17"/>
  <c r="B64" i="17"/>
  <c r="B62" i="17"/>
  <c r="B60" i="17"/>
  <c r="B58" i="17"/>
  <c r="B56" i="17"/>
  <c r="B54" i="17"/>
  <c r="B52" i="17"/>
  <c r="B50" i="17"/>
  <c r="B48" i="17"/>
  <c r="B46" i="17"/>
  <c r="B44" i="17"/>
  <c r="H118" i="17"/>
  <c r="H114" i="17"/>
  <c r="H110" i="17"/>
  <c r="H106" i="17"/>
  <c r="H102" i="17"/>
  <c r="H98" i="17"/>
  <c r="H94" i="17"/>
  <c r="H90" i="17"/>
  <c r="H86" i="17"/>
  <c r="H82" i="17"/>
  <c r="H78" i="17"/>
  <c r="H74" i="17"/>
  <c r="H70" i="17"/>
  <c r="H66" i="17"/>
  <c r="H62" i="17"/>
  <c r="E120" i="17"/>
  <c r="E118" i="17"/>
  <c r="E116" i="17"/>
  <c r="E114" i="17"/>
  <c r="E112" i="17"/>
  <c r="E110" i="17"/>
  <c r="E108" i="17"/>
  <c r="E106" i="17"/>
  <c r="E104" i="17"/>
  <c r="E102" i="17"/>
  <c r="E100" i="17"/>
  <c r="E98" i="17"/>
  <c r="E96" i="17"/>
  <c r="E94" i="17"/>
  <c r="E92" i="17"/>
  <c r="E90" i="17"/>
  <c r="E88" i="17"/>
  <c r="E86" i="17"/>
  <c r="E84" i="17"/>
  <c r="E82" i="17"/>
  <c r="E80" i="17"/>
  <c r="E78" i="17"/>
  <c r="E76" i="17"/>
  <c r="E74" i="17"/>
  <c r="E72" i="17"/>
  <c r="E70" i="17"/>
  <c r="E68" i="17"/>
  <c r="H119" i="17"/>
  <c r="H115" i="17"/>
  <c r="H111" i="17"/>
  <c r="H107" i="17"/>
  <c r="H103" i="17"/>
  <c r="H99" i="17"/>
  <c r="H95" i="17"/>
  <c r="H91" i="17"/>
  <c r="H87" i="17"/>
  <c r="H83" i="17"/>
  <c r="H79" i="17"/>
  <c r="H75" i="17"/>
  <c r="H71" i="17"/>
  <c r="H67" i="17"/>
  <c r="H63" i="17"/>
  <c r="H59" i="17"/>
  <c r="F119" i="17"/>
  <c r="F117" i="17"/>
  <c r="F115" i="17"/>
  <c r="F113" i="17"/>
  <c r="F111" i="17"/>
  <c r="F109" i="17"/>
  <c r="F107" i="17"/>
  <c r="F105" i="17"/>
  <c r="F103" i="17"/>
  <c r="F101" i="17"/>
  <c r="F99" i="17"/>
  <c r="F97" i="17"/>
  <c r="F95" i="17"/>
  <c r="F93" i="17"/>
  <c r="F91" i="17"/>
  <c r="F89" i="17"/>
  <c r="F87" i="17"/>
  <c r="F85" i="17"/>
  <c r="F81" i="17"/>
  <c r="F77" i="17"/>
  <c r="F73" i="17"/>
  <c r="F69" i="17"/>
  <c r="F66" i="17"/>
  <c r="F64" i="17"/>
  <c r="F62" i="17"/>
  <c r="F60" i="17"/>
  <c r="F58" i="17"/>
  <c r="F56" i="17"/>
  <c r="F54" i="17"/>
  <c r="F52" i="17"/>
  <c r="F50" i="17"/>
  <c r="F48" i="17"/>
  <c r="F46" i="17"/>
  <c r="F44" i="17"/>
  <c r="F42" i="17"/>
  <c r="C119" i="17"/>
  <c r="C117" i="17"/>
  <c r="I117" i="17" s="1"/>
  <c r="C115" i="17"/>
  <c r="I115" i="17" s="1"/>
  <c r="C113" i="17"/>
  <c r="I113" i="17" s="1"/>
  <c r="C111" i="17"/>
  <c r="I111" i="17" s="1"/>
  <c r="C109" i="17"/>
  <c r="I109" i="17" s="1"/>
  <c r="C107" i="17"/>
  <c r="I107" i="17" s="1"/>
  <c r="C105" i="17"/>
  <c r="I105" i="17" s="1"/>
  <c r="C103" i="17"/>
  <c r="I103" i="17" s="1"/>
  <c r="C101" i="17"/>
  <c r="I101" i="17" s="1"/>
  <c r="C99" i="17"/>
  <c r="I99" i="17" s="1"/>
  <c r="C97" i="17"/>
  <c r="I97" i="17" s="1"/>
  <c r="C95" i="17"/>
  <c r="I95" i="17" s="1"/>
  <c r="C93" i="17"/>
  <c r="I93" i="17" s="1"/>
  <c r="C91" i="17"/>
  <c r="I91" i="17" s="1"/>
  <c r="C89" i="17"/>
  <c r="I89" i="17" s="1"/>
  <c r="F84" i="17"/>
  <c r="F80" i="17"/>
  <c r="F76" i="17"/>
  <c r="F72" i="17"/>
  <c r="F68" i="17"/>
  <c r="E65" i="17"/>
  <c r="E63" i="17"/>
  <c r="E61" i="17"/>
  <c r="E59" i="17"/>
  <c r="E57" i="17"/>
  <c r="E55" i="17"/>
  <c r="E53" i="17"/>
  <c r="E51" i="17"/>
  <c r="E49" i="17"/>
  <c r="E47" i="17"/>
  <c r="E45" i="17"/>
  <c r="E43" i="17"/>
  <c r="B120" i="17"/>
  <c r="B118" i="17"/>
  <c r="B116" i="17"/>
  <c r="B114" i="17"/>
  <c r="B112" i="17"/>
  <c r="B110" i="17"/>
  <c r="B108" i="17"/>
  <c r="B106" i="17"/>
  <c r="B104" i="17"/>
  <c r="B102" i="17"/>
  <c r="B100" i="17"/>
  <c r="B98" i="17"/>
  <c r="B96" i="17"/>
  <c r="B94" i="17"/>
  <c r="B92" i="17"/>
  <c r="B90" i="17"/>
  <c r="B88" i="17"/>
  <c r="B86" i="17"/>
  <c r="B84" i="17"/>
  <c r="B82" i="17"/>
  <c r="B80" i="17"/>
  <c r="B78" i="17"/>
  <c r="B76" i="17"/>
  <c r="B74" i="17"/>
  <c r="B72" i="17"/>
  <c r="B70" i="17"/>
  <c r="C85" i="17"/>
  <c r="I85" i="17" s="1"/>
  <c r="C81" i="17"/>
  <c r="I81" i="17" s="1"/>
  <c r="C77" i="17"/>
  <c r="I77" i="17" s="1"/>
  <c r="C73" i="17"/>
  <c r="I73" i="17" s="1"/>
  <c r="B69" i="17"/>
  <c r="B67" i="17"/>
  <c r="B65" i="17"/>
  <c r="B63" i="17"/>
  <c r="B61" i="17"/>
  <c r="B59" i="17"/>
  <c r="B57" i="17"/>
  <c r="B55" i="17"/>
  <c r="B53" i="17"/>
  <c r="B51" i="17"/>
  <c r="B49" i="17"/>
  <c r="B47" i="17"/>
  <c r="B45" i="17"/>
  <c r="B43" i="17"/>
  <c r="B42" i="17"/>
  <c r="B41" i="17"/>
  <c r="H57" i="17"/>
  <c r="H53" i="17"/>
  <c r="H49" i="17"/>
  <c r="H45" i="17"/>
  <c r="H5" i="17"/>
  <c r="H8" i="17"/>
  <c r="H12" i="17"/>
  <c r="H16" i="17"/>
  <c r="H20" i="17"/>
  <c r="H24" i="17"/>
  <c r="H28" i="17"/>
  <c r="H32" i="17"/>
  <c r="H36" i="17"/>
  <c r="H40" i="17"/>
  <c r="C84" i="17"/>
  <c r="I84" i="17" s="1"/>
  <c r="C80" i="17"/>
  <c r="I80" i="17" s="1"/>
  <c r="C76" i="17"/>
  <c r="I76" i="17" s="1"/>
  <c r="C72" i="17"/>
  <c r="I72" i="17" s="1"/>
  <c r="C69" i="17"/>
  <c r="I69" i="17" s="1"/>
  <c r="C67" i="17"/>
  <c r="I67" i="17" s="1"/>
  <c r="C65" i="17"/>
  <c r="I65" i="17" s="1"/>
  <c r="C63" i="17"/>
  <c r="I63" i="17" s="1"/>
  <c r="C61" i="17"/>
  <c r="I61" i="17" s="1"/>
  <c r="C59" i="17"/>
  <c r="I59" i="17" s="1"/>
  <c r="C57" i="17"/>
  <c r="I57" i="17" s="1"/>
  <c r="C55" i="17"/>
  <c r="I55" i="17" s="1"/>
  <c r="C53" i="17"/>
  <c r="I53" i="17" s="1"/>
  <c r="C51" i="17"/>
  <c r="I51" i="17" s="1"/>
  <c r="C49" i="17"/>
  <c r="I49" i="17" s="1"/>
  <c r="C47" i="17"/>
  <c r="I47" i="17" s="1"/>
  <c r="C45" i="17"/>
  <c r="I45" i="17" s="1"/>
  <c r="C43" i="17"/>
  <c r="I43" i="17" s="1"/>
  <c r="F41" i="17"/>
  <c r="H58" i="17"/>
  <c r="H54" i="17"/>
  <c r="H50" i="17"/>
  <c r="H46" i="17"/>
  <c r="H41" i="17"/>
  <c r="H7" i="17"/>
  <c r="H11" i="17"/>
  <c r="H15" i="17"/>
  <c r="H19" i="17"/>
  <c r="H23" i="17"/>
  <c r="H27" i="17"/>
  <c r="H31" i="17"/>
  <c r="H35" i="17"/>
  <c r="H39" i="17"/>
  <c r="E41" i="17"/>
  <c r="H44" i="17"/>
  <c r="H55" i="17"/>
  <c r="H51" i="17"/>
  <c r="H47" i="17"/>
  <c r="H42" i="17"/>
  <c r="H6" i="17"/>
  <c r="H10" i="17"/>
  <c r="H14" i="17"/>
  <c r="H18" i="17"/>
  <c r="H22" i="17"/>
  <c r="H26" i="17"/>
  <c r="H30" i="17"/>
  <c r="H34" i="17"/>
  <c r="H38" i="17"/>
  <c r="C86" i="17"/>
  <c r="I86" i="17" s="1"/>
  <c r="C82" i="17"/>
  <c r="I82" i="17" s="1"/>
  <c r="C78" i="17"/>
  <c r="I78" i="17" s="1"/>
  <c r="C74" i="17"/>
  <c r="I74" i="17" s="1"/>
  <c r="C70" i="17"/>
  <c r="I70" i="17" s="1"/>
  <c r="C68" i="17"/>
  <c r="I68" i="17" s="1"/>
  <c r="C66" i="17"/>
  <c r="I66" i="17" s="1"/>
  <c r="C64" i="17"/>
  <c r="I64" i="17" s="1"/>
  <c r="C62" i="17"/>
  <c r="I62" i="17" s="1"/>
  <c r="C60" i="17"/>
  <c r="I60" i="17" s="1"/>
  <c r="C58" i="17"/>
  <c r="I58" i="17" s="1"/>
  <c r="C56" i="17"/>
  <c r="I56" i="17" s="1"/>
  <c r="C54" i="17"/>
  <c r="I54" i="17" s="1"/>
  <c r="C52" i="17"/>
  <c r="I52" i="17" s="1"/>
  <c r="C50" i="17"/>
  <c r="I50" i="17" s="1"/>
  <c r="C48" i="17"/>
  <c r="I48" i="17" s="1"/>
  <c r="C46" i="17"/>
  <c r="I46" i="17" s="1"/>
  <c r="C44" i="17"/>
  <c r="I44" i="17" s="1"/>
  <c r="C42" i="17"/>
  <c r="I42" i="17" s="1"/>
  <c r="C41" i="17"/>
  <c r="I41" i="17" s="1"/>
  <c r="H56" i="17"/>
  <c r="H52" i="17"/>
  <c r="H48" i="17"/>
  <c r="H43" i="17"/>
  <c r="H9" i="17"/>
  <c r="H13" i="17"/>
  <c r="H17" i="17"/>
  <c r="H21" i="17"/>
  <c r="H25" i="17"/>
  <c r="H29" i="17"/>
  <c r="H33" i="17"/>
  <c r="H37" i="17"/>
  <c r="A7" i="3"/>
  <c r="A82" i="3"/>
  <c r="A93" i="3"/>
  <c r="A22" i="3"/>
  <c r="B105" i="14"/>
  <c r="A55" i="3"/>
  <c r="A58" i="3"/>
  <c r="A16" i="3"/>
  <c r="A80" i="3"/>
  <c r="B123" i="14"/>
  <c r="A49" i="3"/>
  <c r="A26" i="3"/>
  <c r="A11" i="3"/>
  <c r="A75" i="3"/>
  <c r="A46" i="3"/>
  <c r="A4" i="3"/>
  <c r="A6" i="3"/>
  <c r="A13" i="3"/>
  <c r="A77" i="3"/>
  <c r="A54" i="3"/>
  <c r="A96" i="3"/>
  <c r="A63" i="3"/>
  <c r="A66" i="3"/>
  <c r="A24" i="3"/>
  <c r="A88" i="3"/>
  <c r="B104" i="14"/>
  <c r="A57" i="3"/>
  <c r="A50" i="3"/>
  <c r="A19" i="3"/>
  <c r="A83" i="3"/>
  <c r="A70" i="3"/>
  <c r="A12" i="3"/>
  <c r="A38" i="3"/>
  <c r="A85" i="3"/>
  <c r="A86" i="3"/>
  <c r="A90" i="3"/>
  <c r="A94" i="3"/>
  <c r="A27" i="3"/>
  <c r="A29" i="3"/>
  <c r="A21" i="3"/>
  <c r="A91" i="3"/>
  <c r="A110" i="3"/>
  <c r="A15" i="3"/>
  <c r="A79" i="3"/>
  <c r="A109" i="3"/>
  <c r="A40" i="3"/>
  <c r="A101" i="3"/>
  <c r="A9" i="3"/>
  <c r="A73" i="3"/>
  <c r="A106" i="3"/>
  <c r="A35" i="3"/>
  <c r="A44" i="3"/>
  <c r="B118" i="14"/>
  <c r="A28" i="3"/>
  <c r="A104" i="3"/>
  <c r="A37" i="3"/>
  <c r="A103" i="3"/>
  <c r="A64" i="3"/>
  <c r="A33" i="3"/>
  <c r="A59" i="3"/>
  <c r="A68" i="3"/>
  <c r="A62" i="3"/>
  <c r="A47" i="3"/>
  <c r="A8" i="3"/>
  <c r="A41" i="3"/>
  <c r="A67" i="3"/>
  <c r="A99" i="3"/>
  <c r="A5" i="3"/>
  <c r="A20" i="3"/>
  <c r="A102" i="3"/>
  <c r="A23" i="3"/>
  <c r="A87" i="3"/>
  <c r="B113" i="14"/>
  <c r="A48" i="3"/>
  <c r="A18" i="3"/>
  <c r="A17" i="3"/>
  <c r="A81" i="3"/>
  <c r="B122" i="14"/>
  <c r="A43" i="3"/>
  <c r="A60" i="3"/>
  <c r="B116" i="14"/>
  <c r="A36" i="3"/>
  <c r="B121" i="14"/>
  <c r="A45" i="3"/>
  <c r="A97" i="3"/>
  <c r="A95" i="3"/>
  <c r="A100" i="3"/>
  <c r="B109" i="14"/>
  <c r="A61" i="3"/>
  <c r="B110" i="14"/>
  <c r="A72" i="3"/>
  <c r="B120" i="14"/>
  <c r="A105" i="3"/>
  <c r="B119" i="14"/>
  <c r="A31" i="3"/>
  <c r="B112" i="14"/>
  <c r="B107" i="14"/>
  <c r="A56" i="3"/>
  <c r="A42" i="3"/>
  <c r="A25" i="3"/>
  <c r="A89" i="3"/>
  <c r="B114" i="14"/>
  <c r="A51" i="3"/>
  <c r="A76" i="3"/>
  <c r="B111" i="14"/>
  <c r="A52" i="3"/>
  <c r="B106" i="14"/>
  <c r="A53" i="3"/>
  <c r="A30" i="3"/>
  <c r="B115" i="14"/>
  <c r="B117" i="14"/>
  <c r="A39" i="3"/>
  <c r="A10" i="3"/>
  <c r="A74" i="3"/>
  <c r="A107" i="3"/>
  <c r="A92" i="3"/>
  <c r="A98" i="3"/>
  <c r="B108" i="14"/>
  <c r="A34" i="3"/>
  <c r="A108" i="3"/>
  <c r="A3" i="3"/>
  <c r="A14" i="3"/>
  <c r="A84" i="3"/>
  <c r="A69" i="3"/>
  <c r="A71" i="3"/>
  <c r="A32" i="3"/>
  <c r="A65" i="3"/>
  <c r="A78" i="3"/>
  <c r="B10" i="14"/>
  <c r="B74" i="14"/>
  <c r="B91" i="14"/>
  <c r="B100" i="14"/>
  <c r="B60" i="14"/>
  <c r="B25" i="14"/>
  <c r="B45" i="14"/>
  <c r="B47" i="14"/>
  <c r="B30" i="14"/>
  <c r="B94" i="14"/>
  <c r="B63" i="14"/>
  <c r="B32" i="14"/>
  <c r="B99" i="14"/>
  <c r="B18" i="14"/>
  <c r="B82" i="14"/>
  <c r="B103" i="14"/>
  <c r="B68" i="14"/>
  <c r="B65" i="14"/>
  <c r="B53" i="14"/>
  <c r="B79" i="14"/>
  <c r="B38" i="14"/>
  <c r="B15" i="14"/>
  <c r="B95" i="14"/>
  <c r="B17" i="14"/>
  <c r="B26" i="14"/>
  <c r="B97" i="14"/>
  <c r="B76" i="14"/>
  <c r="B61" i="14"/>
  <c r="B41" i="14"/>
  <c r="B34" i="14"/>
  <c r="B11" i="14"/>
  <c r="B19" i="14"/>
  <c r="B20" i="14"/>
  <c r="B84" i="14"/>
  <c r="B5" i="14"/>
  <c r="B69" i="14"/>
  <c r="B57" i="14"/>
  <c r="B54" i="14"/>
  <c r="B87" i="14"/>
  <c r="B81" i="14"/>
  <c r="B56" i="14"/>
  <c r="B89" i="14"/>
  <c r="B7" i="14"/>
  <c r="B85" i="14"/>
  <c r="B70" i="14"/>
  <c r="B73" i="14"/>
  <c r="B72" i="14"/>
  <c r="B58" i="14"/>
  <c r="B67" i="14"/>
  <c r="B39" i="14"/>
  <c r="B93" i="14"/>
  <c r="B78" i="14"/>
  <c r="B16" i="14"/>
  <c r="B46" i="14"/>
  <c r="B49" i="14"/>
  <c r="B42" i="14"/>
  <c r="B27" i="14"/>
  <c r="B35" i="14"/>
  <c r="B28" i="14"/>
  <c r="B92" i="14"/>
  <c r="B13" i="14"/>
  <c r="B77" i="14"/>
  <c r="B98" i="14"/>
  <c r="B62" i="14"/>
  <c r="B33" i="14"/>
  <c r="B96" i="14"/>
  <c r="B64" i="14"/>
  <c r="B50" i="14"/>
  <c r="B43" i="14"/>
  <c r="B51" i="14"/>
  <c r="B36" i="14"/>
  <c r="B21" i="14"/>
  <c r="B6" i="14"/>
  <c r="B8" i="14"/>
  <c r="B59" i="14"/>
  <c r="B44" i="14"/>
  <c r="B29" i="14"/>
  <c r="B14" i="14"/>
  <c r="B101" i="14"/>
  <c r="B80" i="14"/>
  <c r="B55" i="14"/>
  <c r="B66" i="14"/>
  <c r="B75" i="14"/>
  <c r="B83" i="14"/>
  <c r="B52" i="14"/>
  <c r="B71" i="14"/>
  <c r="B37" i="14"/>
  <c r="B23" i="14"/>
  <c r="B22" i="14"/>
  <c r="B86" i="14"/>
  <c r="B31" i="14"/>
  <c r="B24" i="14"/>
  <c r="B88" i="14"/>
  <c r="B40" i="14"/>
  <c r="B90" i="14"/>
  <c r="B12" i="14"/>
  <c r="B102" i="14"/>
  <c r="B9" i="14"/>
  <c r="B48" i="14"/>
  <c r="F4" i="17"/>
  <c r="B6" i="17"/>
  <c r="C39" i="17"/>
  <c r="C35" i="17"/>
  <c r="C30" i="17"/>
  <c r="C26" i="17"/>
  <c r="C22" i="17"/>
  <c r="C18" i="17"/>
  <c r="C14" i="17"/>
  <c r="C10" i="17"/>
  <c r="C6" i="17"/>
  <c r="F39" i="17"/>
  <c r="F38" i="17"/>
  <c r="F37" i="17"/>
  <c r="F36" i="17"/>
  <c r="F35" i="17"/>
  <c r="F34" i="17"/>
  <c r="F33" i="17"/>
  <c r="F32" i="17"/>
  <c r="F31" i="17"/>
  <c r="F30" i="17"/>
  <c r="F29" i="17"/>
  <c r="F28" i="17"/>
  <c r="F27" i="17"/>
  <c r="F26" i="17"/>
  <c r="F25" i="17"/>
  <c r="F24" i="17"/>
  <c r="F23" i="17"/>
  <c r="F22" i="17"/>
  <c r="F21" i="17"/>
  <c r="F20" i="17"/>
  <c r="F19" i="17"/>
  <c r="F18" i="17"/>
  <c r="F17" i="17"/>
  <c r="F16" i="17"/>
  <c r="F15" i="17"/>
  <c r="F14" i="17"/>
  <c r="F13" i="17"/>
  <c r="F12" i="17"/>
  <c r="F11" i="17"/>
  <c r="F10" i="17"/>
  <c r="F9" i="17"/>
  <c r="F8" i="17"/>
  <c r="F7" i="17"/>
  <c r="E5" i="17"/>
  <c r="C32" i="17"/>
  <c r="C24" i="17"/>
  <c r="C16" i="17"/>
  <c r="C8" i="17"/>
  <c r="E40" i="17"/>
  <c r="B38" i="17"/>
  <c r="B36" i="17"/>
  <c r="B34" i="17"/>
  <c r="B32" i="17"/>
  <c r="B30" i="17"/>
  <c r="B28" i="17"/>
  <c r="B26" i="17"/>
  <c r="B24" i="17"/>
  <c r="B22" i="17"/>
  <c r="B20" i="17"/>
  <c r="B19" i="17"/>
  <c r="B17" i="17"/>
  <c r="B15" i="17"/>
  <c r="B13" i="17"/>
  <c r="B11" i="17"/>
  <c r="B9" i="17"/>
  <c r="E6" i="17"/>
  <c r="F5" i="17"/>
  <c r="C36" i="17"/>
  <c r="C27" i="17"/>
  <c r="C23" i="17"/>
  <c r="C15" i="17"/>
  <c r="C7" i="17"/>
  <c r="B40" i="17"/>
  <c r="E7" i="17"/>
  <c r="B4" i="17"/>
  <c r="C38" i="17"/>
  <c r="C33" i="17"/>
  <c r="C29" i="17"/>
  <c r="C25" i="17"/>
  <c r="I25" i="17" s="1"/>
  <c r="C21" i="17"/>
  <c r="C17" i="17"/>
  <c r="C13" i="17"/>
  <c r="C9" i="17"/>
  <c r="C5" i="17"/>
  <c r="F40" i="17"/>
  <c r="E39" i="17"/>
  <c r="E38" i="17"/>
  <c r="E37" i="17"/>
  <c r="E36" i="17"/>
  <c r="E35" i="17"/>
  <c r="E34" i="17"/>
  <c r="E33" i="17"/>
  <c r="E32" i="17"/>
  <c r="E31" i="17"/>
  <c r="E30" i="17"/>
  <c r="E29" i="17"/>
  <c r="E28" i="17"/>
  <c r="E27" i="17"/>
  <c r="E26" i="17"/>
  <c r="E25" i="17"/>
  <c r="E24" i="17"/>
  <c r="E23" i="17"/>
  <c r="E22" i="17"/>
  <c r="E21" i="17"/>
  <c r="E20" i="17"/>
  <c r="E19" i="17"/>
  <c r="E18" i="17"/>
  <c r="E17" i="17"/>
  <c r="E16" i="17"/>
  <c r="E15" i="17"/>
  <c r="E14" i="17"/>
  <c r="E13" i="17"/>
  <c r="E12" i="17"/>
  <c r="E11" i="17"/>
  <c r="E10" i="17"/>
  <c r="E9" i="17"/>
  <c r="E8" i="17"/>
  <c r="B7" i="17"/>
  <c r="C34" i="17"/>
  <c r="C37" i="17"/>
  <c r="C28" i="17"/>
  <c r="C20" i="17"/>
  <c r="C12" i="17"/>
  <c r="C4" i="17"/>
  <c r="B39" i="17"/>
  <c r="B37" i="17"/>
  <c r="B35" i="17"/>
  <c r="B33" i="17"/>
  <c r="B31" i="17"/>
  <c r="B29" i="17"/>
  <c r="B27" i="17"/>
  <c r="B25" i="17"/>
  <c r="B23" i="17"/>
  <c r="B21" i="17"/>
  <c r="B18" i="17"/>
  <c r="B16" i="17"/>
  <c r="B14" i="17"/>
  <c r="B12" i="17"/>
  <c r="B10" i="17"/>
  <c r="B8" i="17"/>
  <c r="E4" i="17"/>
  <c r="C40" i="17"/>
  <c r="C31" i="17"/>
  <c r="C19" i="17"/>
  <c r="C11" i="17"/>
  <c r="B5" i="17"/>
  <c r="F6" i="17"/>
  <c r="G6" i="3"/>
  <c r="I119" i="17" l="1"/>
  <c r="I87" i="17"/>
  <c r="D112" i="14"/>
  <c r="R112" i="14"/>
  <c r="E112" i="14"/>
  <c r="K112" i="14"/>
  <c r="M112" i="14"/>
  <c r="Q112" i="14"/>
  <c r="J112" i="14"/>
  <c r="T112" i="14"/>
  <c r="U112" i="14"/>
  <c r="I112" i="14"/>
  <c r="O112" i="14"/>
  <c r="L112" i="14"/>
  <c r="P112" i="14"/>
  <c r="D110" i="3" s="1"/>
  <c r="G112" i="14"/>
  <c r="H112" i="14"/>
  <c r="N112" i="14"/>
  <c r="C112" i="14"/>
  <c r="B110" i="3" s="1"/>
  <c r="C110" i="3" s="1"/>
  <c r="S112" i="14"/>
  <c r="F112" i="14"/>
  <c r="C109" i="14"/>
  <c r="B107" i="3" s="1"/>
  <c r="C107" i="3" s="1"/>
  <c r="I109" i="14"/>
  <c r="Q109" i="14"/>
  <c r="H109" i="14"/>
  <c r="P109" i="14"/>
  <c r="D107" i="3" s="1"/>
  <c r="D109" i="14"/>
  <c r="N109" i="14"/>
  <c r="F109" i="14"/>
  <c r="U109" i="14"/>
  <c r="M109" i="14"/>
  <c r="R109" i="14"/>
  <c r="J109" i="14"/>
  <c r="O109" i="14"/>
  <c r="E109" i="14"/>
  <c r="S109" i="14"/>
  <c r="G109" i="14"/>
  <c r="T109" i="14"/>
  <c r="K109" i="14"/>
  <c r="L109" i="14"/>
  <c r="I117" i="14"/>
  <c r="J117" i="14"/>
  <c r="R117" i="14"/>
  <c r="E117" i="14"/>
  <c r="U117" i="14"/>
  <c r="C117" i="14"/>
  <c r="K117" i="14"/>
  <c r="S117" i="14"/>
  <c r="M117" i="14"/>
  <c r="D117" i="14"/>
  <c r="L117" i="14"/>
  <c r="T117" i="14"/>
  <c r="F117" i="14"/>
  <c r="N117" i="14"/>
  <c r="G117" i="14"/>
  <c r="O117" i="14"/>
  <c r="H117" i="14"/>
  <c r="P117" i="14"/>
  <c r="Q117" i="14"/>
  <c r="E108" i="14"/>
  <c r="K108" i="14"/>
  <c r="F108" i="14"/>
  <c r="N108" i="14"/>
  <c r="R108" i="14"/>
  <c r="L108" i="14"/>
  <c r="T108" i="14"/>
  <c r="H108" i="14"/>
  <c r="S108" i="14"/>
  <c r="P108" i="14"/>
  <c r="D106" i="3" s="1"/>
  <c r="O108" i="14"/>
  <c r="C108" i="14"/>
  <c r="B106" i="3" s="1"/>
  <c r="C106" i="3" s="1"/>
  <c r="M108" i="14"/>
  <c r="G108" i="14"/>
  <c r="J108" i="14"/>
  <c r="I108" i="14"/>
  <c r="Q108" i="14"/>
  <c r="U108" i="14"/>
  <c r="D108" i="14"/>
  <c r="C115" i="14"/>
  <c r="K115" i="14"/>
  <c r="S115" i="14"/>
  <c r="D115" i="14"/>
  <c r="L115" i="14"/>
  <c r="T115" i="14"/>
  <c r="N115" i="14"/>
  <c r="E115" i="14"/>
  <c r="M115" i="14"/>
  <c r="U115" i="14"/>
  <c r="F115" i="14"/>
  <c r="G115" i="14"/>
  <c r="O115" i="14"/>
  <c r="R115" i="14"/>
  <c r="H115" i="14"/>
  <c r="P115" i="14"/>
  <c r="I115" i="14"/>
  <c r="Q115" i="14"/>
  <c r="J115" i="14"/>
  <c r="F114" i="14"/>
  <c r="N114" i="14"/>
  <c r="G114" i="14"/>
  <c r="O114" i="14"/>
  <c r="Q114" i="14"/>
  <c r="H114" i="14"/>
  <c r="P114" i="14"/>
  <c r="I114" i="14"/>
  <c r="J114" i="14"/>
  <c r="R114" i="14"/>
  <c r="C114" i="14"/>
  <c r="K114" i="14"/>
  <c r="S114" i="14"/>
  <c r="E114" i="14"/>
  <c r="D114" i="14"/>
  <c r="L114" i="14"/>
  <c r="T114" i="14"/>
  <c r="M114" i="14"/>
  <c r="U114" i="14"/>
  <c r="Q119" i="14"/>
  <c r="J119" i="14"/>
  <c r="R119" i="14"/>
  <c r="E119" i="14"/>
  <c r="C119" i="14"/>
  <c r="K119" i="14"/>
  <c r="S119" i="14"/>
  <c r="M119" i="14"/>
  <c r="D119" i="14"/>
  <c r="L119" i="14"/>
  <c r="T119" i="14"/>
  <c r="U119" i="14"/>
  <c r="F119" i="14"/>
  <c r="N119" i="14"/>
  <c r="I119" i="14"/>
  <c r="G119" i="14"/>
  <c r="O119" i="14"/>
  <c r="H119" i="14"/>
  <c r="P119" i="14"/>
  <c r="S122" i="14"/>
  <c r="K122" i="14"/>
  <c r="E122" i="14"/>
  <c r="O122" i="14"/>
  <c r="G122" i="14"/>
  <c r="R122" i="14"/>
  <c r="T122" i="14"/>
  <c r="C122" i="14"/>
  <c r="P122" i="14"/>
  <c r="L122" i="14"/>
  <c r="U122" i="14"/>
  <c r="M122" i="14"/>
  <c r="J122" i="14"/>
  <c r="N122" i="14"/>
  <c r="D122" i="14"/>
  <c r="I122" i="14"/>
  <c r="F122" i="14"/>
  <c r="H122" i="14"/>
  <c r="Q122" i="14"/>
  <c r="D118" i="14"/>
  <c r="C118" i="14"/>
  <c r="S118" i="14"/>
  <c r="U118" i="14"/>
  <c r="K118" i="14"/>
  <c r="M118" i="14"/>
  <c r="N118" i="14"/>
  <c r="R118" i="14"/>
  <c r="E118" i="14"/>
  <c r="J118" i="14"/>
  <c r="T118" i="14"/>
  <c r="H118" i="14"/>
  <c r="Q118" i="14"/>
  <c r="O118" i="14"/>
  <c r="L118" i="14"/>
  <c r="P118" i="14"/>
  <c r="F118" i="14"/>
  <c r="I118" i="14"/>
  <c r="G118" i="14"/>
  <c r="D105" i="14"/>
  <c r="C105" i="14"/>
  <c r="B103" i="3" s="1"/>
  <c r="C103" i="3" s="1"/>
  <c r="M105" i="14"/>
  <c r="U105" i="14"/>
  <c r="R105" i="14"/>
  <c r="E105" i="14"/>
  <c r="K105" i="14"/>
  <c r="Q105" i="14"/>
  <c r="J105" i="14"/>
  <c r="T105" i="14"/>
  <c r="I105" i="14"/>
  <c r="O105" i="14"/>
  <c r="L105" i="14"/>
  <c r="S105" i="14"/>
  <c r="P105" i="14"/>
  <c r="D103" i="3" s="1"/>
  <c r="G105" i="14"/>
  <c r="F105" i="14"/>
  <c r="H105" i="14"/>
  <c r="N105" i="14"/>
  <c r="F120" i="14"/>
  <c r="G120" i="14"/>
  <c r="O120" i="14"/>
  <c r="J120" i="14"/>
  <c r="H120" i="14"/>
  <c r="P120" i="14"/>
  <c r="I120" i="14"/>
  <c r="Q120" i="14"/>
  <c r="R120" i="14"/>
  <c r="C120" i="14"/>
  <c r="K120" i="14"/>
  <c r="S120" i="14"/>
  <c r="D120" i="14"/>
  <c r="L120" i="14"/>
  <c r="T120" i="14"/>
  <c r="N120" i="14"/>
  <c r="E120" i="14"/>
  <c r="M120" i="14"/>
  <c r="U120" i="14"/>
  <c r="I106" i="14"/>
  <c r="P106" i="14"/>
  <c r="D104" i="3" s="1"/>
  <c r="E106" i="14"/>
  <c r="R106" i="14"/>
  <c r="U106" i="14"/>
  <c r="H106" i="14"/>
  <c r="O106" i="14"/>
  <c r="Q106" i="14"/>
  <c r="S106" i="14"/>
  <c r="C106" i="14"/>
  <c r="B104" i="3" s="1"/>
  <c r="C104" i="3" s="1"/>
  <c r="N106" i="14"/>
  <c r="K106" i="14"/>
  <c r="J106" i="14"/>
  <c r="T106" i="14"/>
  <c r="G106" i="14"/>
  <c r="L106" i="14"/>
  <c r="M106" i="14"/>
  <c r="F106" i="14"/>
  <c r="D106" i="14"/>
  <c r="C121" i="14"/>
  <c r="D121" i="14"/>
  <c r="L121" i="14"/>
  <c r="T121" i="14"/>
  <c r="O121" i="14"/>
  <c r="E121" i="14"/>
  <c r="M121" i="14"/>
  <c r="U121" i="14"/>
  <c r="G121" i="14"/>
  <c r="F121" i="14"/>
  <c r="N121" i="14"/>
  <c r="H121" i="14"/>
  <c r="P121" i="14"/>
  <c r="I121" i="14"/>
  <c r="Q121" i="14"/>
  <c r="J121" i="14"/>
  <c r="R121" i="14"/>
  <c r="K121" i="14"/>
  <c r="S121" i="14"/>
  <c r="J110" i="14"/>
  <c r="R110" i="14"/>
  <c r="C110" i="14"/>
  <c r="B108" i="3" s="1"/>
  <c r="C108" i="3" s="1"/>
  <c r="K110" i="14"/>
  <c r="S110" i="14"/>
  <c r="M110" i="14"/>
  <c r="D110" i="14"/>
  <c r="L110" i="14"/>
  <c r="T110" i="14"/>
  <c r="E110" i="14"/>
  <c r="U110" i="14"/>
  <c r="F110" i="14"/>
  <c r="N110" i="14"/>
  <c r="Q110" i="14"/>
  <c r="G110" i="14"/>
  <c r="O110" i="14"/>
  <c r="I110" i="14"/>
  <c r="H110" i="14"/>
  <c r="P110" i="14"/>
  <c r="D108" i="3" s="1"/>
  <c r="C104" i="14"/>
  <c r="B102" i="3" s="1"/>
  <c r="C102" i="3" s="1"/>
  <c r="J104" i="14"/>
  <c r="E104" i="14"/>
  <c r="O104" i="14"/>
  <c r="T104" i="14"/>
  <c r="U104" i="14"/>
  <c r="G104" i="14"/>
  <c r="L104" i="14"/>
  <c r="N104" i="14"/>
  <c r="D104" i="14"/>
  <c r="M104" i="14"/>
  <c r="Q104" i="14"/>
  <c r="F104" i="14"/>
  <c r="S104" i="14"/>
  <c r="I104" i="14"/>
  <c r="R104" i="14"/>
  <c r="K104" i="14"/>
  <c r="P104" i="14"/>
  <c r="D102" i="3" s="1"/>
  <c r="H104" i="14"/>
  <c r="C123" i="14"/>
  <c r="Q123" i="14"/>
  <c r="M123" i="14"/>
  <c r="S123" i="14"/>
  <c r="I123" i="14"/>
  <c r="E123" i="14"/>
  <c r="K123" i="14"/>
  <c r="U123" i="14"/>
  <c r="P123" i="14"/>
  <c r="T123" i="14"/>
  <c r="H123" i="14"/>
  <c r="L123" i="14"/>
  <c r="G123" i="14"/>
  <c r="J123" i="14"/>
  <c r="D123" i="14"/>
  <c r="O123" i="14"/>
  <c r="R123" i="14"/>
  <c r="F123" i="14"/>
  <c r="N123" i="14"/>
  <c r="C111" i="14"/>
  <c r="B109" i="3" s="1"/>
  <c r="C109" i="3" s="1"/>
  <c r="I111" i="14"/>
  <c r="J111" i="14"/>
  <c r="P111" i="14"/>
  <c r="D109" i="3" s="1"/>
  <c r="M111" i="14"/>
  <c r="Q111" i="14"/>
  <c r="H111" i="14"/>
  <c r="R111" i="14"/>
  <c r="E111" i="14"/>
  <c r="U111" i="14"/>
  <c r="L111" i="14"/>
  <c r="D111" i="14"/>
  <c r="S111" i="14"/>
  <c r="T111" i="14"/>
  <c r="O111" i="14"/>
  <c r="K111" i="14"/>
  <c r="G111" i="14"/>
  <c r="F111" i="14"/>
  <c r="N111" i="14"/>
  <c r="I107" i="14"/>
  <c r="Q107" i="14"/>
  <c r="D107" i="14"/>
  <c r="J107" i="14"/>
  <c r="R107" i="14"/>
  <c r="L107" i="14"/>
  <c r="C107" i="14"/>
  <c r="B105" i="3" s="1"/>
  <c r="C105" i="3" s="1"/>
  <c r="K107" i="14"/>
  <c r="S107" i="14"/>
  <c r="T107" i="14"/>
  <c r="E107" i="14"/>
  <c r="M107" i="14"/>
  <c r="U107" i="14"/>
  <c r="P107" i="14"/>
  <c r="D105" i="3" s="1"/>
  <c r="F107" i="14"/>
  <c r="N107" i="14"/>
  <c r="G107" i="14"/>
  <c r="O107" i="14"/>
  <c r="H107" i="14"/>
  <c r="C116" i="14"/>
  <c r="H116" i="14"/>
  <c r="L116" i="14"/>
  <c r="T116" i="14"/>
  <c r="R116" i="14"/>
  <c r="D116" i="14"/>
  <c r="O116" i="14"/>
  <c r="J116" i="14"/>
  <c r="G116" i="14"/>
  <c r="U116" i="14"/>
  <c r="P116" i="14"/>
  <c r="N116" i="14"/>
  <c r="M116" i="14"/>
  <c r="Q116" i="14"/>
  <c r="F116" i="14"/>
  <c r="S116" i="14"/>
  <c r="I116" i="14"/>
  <c r="E116" i="14"/>
  <c r="K116" i="14"/>
  <c r="C113" i="14"/>
  <c r="Q113" i="14"/>
  <c r="M113" i="14"/>
  <c r="K113" i="14"/>
  <c r="I113" i="14"/>
  <c r="E113" i="14"/>
  <c r="J113" i="14"/>
  <c r="R113" i="14"/>
  <c r="P113" i="14"/>
  <c r="T113" i="14"/>
  <c r="H113" i="14"/>
  <c r="L113" i="14"/>
  <c r="S113" i="14"/>
  <c r="O113" i="14"/>
  <c r="D113" i="14"/>
  <c r="G113" i="14"/>
  <c r="N113" i="14"/>
  <c r="F113" i="14"/>
  <c r="U113" i="14"/>
  <c r="I34" i="17"/>
  <c r="I103" i="14"/>
  <c r="P103" i="14"/>
  <c r="D101" i="3" s="1"/>
  <c r="D103" i="14"/>
  <c r="F103" i="14"/>
  <c r="O103" i="14"/>
  <c r="E103" i="14"/>
  <c r="S103" i="14"/>
  <c r="K103" i="14"/>
  <c r="T103" i="14"/>
  <c r="J103" i="14"/>
  <c r="H103" i="14"/>
  <c r="U103" i="14"/>
  <c r="G103" i="14"/>
  <c r="N103" i="14"/>
  <c r="M103" i="14"/>
  <c r="R103" i="14"/>
  <c r="C103" i="14"/>
  <c r="B101" i="3" s="1"/>
  <c r="C101" i="3" s="1"/>
  <c r="Q103" i="14"/>
  <c r="L103" i="14"/>
  <c r="E101" i="14"/>
  <c r="M101" i="14"/>
  <c r="U101" i="14"/>
  <c r="F101" i="14"/>
  <c r="N101" i="14"/>
  <c r="G101" i="14"/>
  <c r="O101" i="14"/>
  <c r="H101" i="14"/>
  <c r="P101" i="14"/>
  <c r="D99" i="3" s="1"/>
  <c r="I101" i="14"/>
  <c r="Q101" i="14"/>
  <c r="J101" i="14"/>
  <c r="R101" i="14"/>
  <c r="C101" i="14"/>
  <c r="B99" i="3" s="1"/>
  <c r="C99" i="3" s="1"/>
  <c r="K101" i="14"/>
  <c r="S101" i="14"/>
  <c r="D101" i="14"/>
  <c r="L101" i="14"/>
  <c r="T101" i="14"/>
  <c r="F98" i="14"/>
  <c r="N98" i="14"/>
  <c r="G98" i="14"/>
  <c r="O98" i="14"/>
  <c r="H98" i="14"/>
  <c r="P98" i="14"/>
  <c r="D96" i="3" s="1"/>
  <c r="C98" i="14"/>
  <c r="B96" i="3" s="1"/>
  <c r="C96" i="3" s="1"/>
  <c r="U98" i="14"/>
  <c r="I98" i="14"/>
  <c r="Q98" i="14"/>
  <c r="J98" i="14"/>
  <c r="R98" i="14"/>
  <c r="S98" i="14"/>
  <c r="K98" i="14"/>
  <c r="D98" i="14"/>
  <c r="L98" i="14"/>
  <c r="T98" i="14"/>
  <c r="E98" i="14"/>
  <c r="M98" i="14"/>
  <c r="C99" i="14"/>
  <c r="B97" i="3" s="1"/>
  <c r="C97" i="3" s="1"/>
  <c r="K99" i="14"/>
  <c r="S99" i="14"/>
  <c r="T99" i="14"/>
  <c r="D99" i="14"/>
  <c r="L99" i="14"/>
  <c r="E99" i="14"/>
  <c r="M99" i="14"/>
  <c r="U99" i="14"/>
  <c r="F99" i="14"/>
  <c r="N99" i="14"/>
  <c r="P99" i="14"/>
  <c r="D97" i="3" s="1"/>
  <c r="G99" i="14"/>
  <c r="O99" i="14"/>
  <c r="H99" i="14"/>
  <c r="I99" i="14"/>
  <c r="Q99" i="14"/>
  <c r="J99" i="14"/>
  <c r="R99" i="14"/>
  <c r="H100" i="14"/>
  <c r="P100" i="14"/>
  <c r="D98" i="3" s="1"/>
  <c r="I100" i="14"/>
  <c r="Q100" i="14"/>
  <c r="J100" i="14"/>
  <c r="R100" i="14"/>
  <c r="C100" i="14"/>
  <c r="B98" i="3" s="1"/>
  <c r="C98" i="3" s="1"/>
  <c r="K100" i="14"/>
  <c r="S100" i="14"/>
  <c r="D100" i="14"/>
  <c r="L100" i="14"/>
  <c r="T100" i="14"/>
  <c r="E100" i="14"/>
  <c r="M100" i="14"/>
  <c r="U100" i="14"/>
  <c r="F100" i="14"/>
  <c r="N100" i="14"/>
  <c r="G100" i="14"/>
  <c r="O100" i="14"/>
  <c r="D96" i="14"/>
  <c r="L96" i="14"/>
  <c r="T96" i="14"/>
  <c r="E96" i="14"/>
  <c r="U96" i="14"/>
  <c r="M96" i="14"/>
  <c r="F96" i="14"/>
  <c r="N96" i="14"/>
  <c r="G96" i="14"/>
  <c r="O96" i="14"/>
  <c r="Q96" i="14"/>
  <c r="H96" i="14"/>
  <c r="P96" i="14"/>
  <c r="D94" i="3" s="1"/>
  <c r="K96" i="14"/>
  <c r="I96" i="14"/>
  <c r="C96" i="14"/>
  <c r="B94" i="3" s="1"/>
  <c r="C94" i="3" s="1"/>
  <c r="J96" i="14"/>
  <c r="R96" i="14"/>
  <c r="S96" i="14"/>
  <c r="I97" i="14"/>
  <c r="Q97" i="14"/>
  <c r="J97" i="14"/>
  <c r="R97" i="14"/>
  <c r="C97" i="14"/>
  <c r="B95" i="3" s="1"/>
  <c r="C95" i="3" s="1"/>
  <c r="K97" i="14"/>
  <c r="S97" i="14"/>
  <c r="D97" i="14"/>
  <c r="L97" i="14"/>
  <c r="T97" i="14"/>
  <c r="N97" i="14"/>
  <c r="P97" i="14"/>
  <c r="D95" i="3" s="1"/>
  <c r="E97" i="14"/>
  <c r="M97" i="14"/>
  <c r="U97" i="14"/>
  <c r="F97" i="14"/>
  <c r="G97" i="14"/>
  <c r="O97" i="14"/>
  <c r="H97" i="14"/>
  <c r="I102" i="14"/>
  <c r="P102" i="14"/>
  <c r="D100" i="3" s="1"/>
  <c r="G102" i="14"/>
  <c r="J102" i="14"/>
  <c r="H102" i="14"/>
  <c r="Q102" i="14"/>
  <c r="O102" i="14"/>
  <c r="L102" i="14"/>
  <c r="D102" i="14"/>
  <c r="K102" i="14"/>
  <c r="E102" i="14"/>
  <c r="S102" i="14"/>
  <c r="N102" i="14"/>
  <c r="T102" i="14"/>
  <c r="F102" i="14"/>
  <c r="U102" i="14"/>
  <c r="M102" i="14"/>
  <c r="C102" i="14"/>
  <c r="B100" i="3" s="1"/>
  <c r="C100" i="3" s="1"/>
  <c r="R102" i="14"/>
  <c r="I9" i="17"/>
  <c r="I11" i="17"/>
  <c r="I19" i="17"/>
  <c r="I12" i="17"/>
  <c r="I27" i="17"/>
  <c r="I38" i="17"/>
  <c r="I24" i="17"/>
  <c r="I31" i="17"/>
  <c r="I7" i="17"/>
  <c r="I15" i="17"/>
  <c r="I5" i="17"/>
  <c r="I23" i="17"/>
  <c r="I40" i="17"/>
  <c r="I13" i="17"/>
  <c r="I37" i="17"/>
  <c r="I17" i="17"/>
  <c r="I21" i="17"/>
  <c r="I29" i="17"/>
  <c r="I33" i="17"/>
  <c r="I18" i="17"/>
  <c r="I6" i="17"/>
  <c r="I20" i="17"/>
  <c r="I32" i="17"/>
  <c r="I22" i="17"/>
  <c r="I39" i="17"/>
  <c r="I28" i="17"/>
  <c r="I36" i="17"/>
  <c r="I8" i="17"/>
  <c r="I10" i="17"/>
  <c r="I26" i="17"/>
  <c r="I4" i="17"/>
  <c r="C1" i="17"/>
  <c r="I16" i="17"/>
  <c r="I14" i="17"/>
  <c r="I30" i="17"/>
  <c r="F1" i="17"/>
  <c r="I35" i="17"/>
  <c r="T12" i="14"/>
  <c r="S12" i="14"/>
  <c r="R12" i="14"/>
  <c r="Q12" i="14"/>
  <c r="U12" i="14"/>
  <c r="T16" i="14"/>
  <c r="S16" i="14"/>
  <c r="R16" i="14"/>
  <c r="Q16" i="14"/>
  <c r="U16" i="14"/>
  <c r="T20" i="14"/>
  <c r="S20" i="14"/>
  <c r="R20" i="14"/>
  <c r="Q20" i="14"/>
  <c r="U20" i="14"/>
  <c r="T24" i="14"/>
  <c r="S24" i="14"/>
  <c r="R24" i="14"/>
  <c r="Q24" i="14"/>
  <c r="U24" i="14"/>
  <c r="T28" i="14"/>
  <c r="S28" i="14"/>
  <c r="R28" i="14"/>
  <c r="Q28" i="14"/>
  <c r="U28" i="14"/>
  <c r="T32" i="14"/>
  <c r="S32" i="14"/>
  <c r="R32" i="14"/>
  <c r="Q32" i="14"/>
  <c r="U32" i="14"/>
  <c r="T36" i="14"/>
  <c r="S36" i="14"/>
  <c r="R36" i="14"/>
  <c r="Q36" i="14"/>
  <c r="U36" i="14"/>
  <c r="T40" i="14"/>
  <c r="S40" i="14"/>
  <c r="R40" i="14"/>
  <c r="Q40" i="14"/>
  <c r="U40" i="14"/>
  <c r="T44" i="14"/>
  <c r="S44" i="14"/>
  <c r="R44" i="14"/>
  <c r="Q44" i="14"/>
  <c r="U44" i="14"/>
  <c r="T48" i="14"/>
  <c r="S48" i="14"/>
  <c r="R48" i="14"/>
  <c r="Q48" i="14"/>
  <c r="U48" i="14"/>
  <c r="Q7" i="14"/>
  <c r="T7" i="14"/>
  <c r="R7" i="14"/>
  <c r="S7" i="14"/>
  <c r="U7" i="14"/>
  <c r="S51" i="14"/>
  <c r="R51" i="14"/>
  <c r="U51" i="14"/>
  <c r="T51" i="14"/>
  <c r="Q51" i="14"/>
  <c r="Q55" i="14"/>
  <c r="U55" i="14"/>
  <c r="T55" i="14"/>
  <c r="S55" i="14"/>
  <c r="R55" i="14"/>
  <c r="Q59" i="14"/>
  <c r="U59" i="14"/>
  <c r="T59" i="14"/>
  <c r="S59" i="14"/>
  <c r="R59" i="14"/>
  <c r="S63" i="14"/>
  <c r="R63" i="14"/>
  <c r="Q63" i="14"/>
  <c r="U63" i="14"/>
  <c r="T63" i="14"/>
  <c r="T67" i="14"/>
  <c r="S67" i="14"/>
  <c r="R67" i="14"/>
  <c r="Q67" i="14"/>
  <c r="U67" i="14"/>
  <c r="R71" i="14"/>
  <c r="Q71" i="14"/>
  <c r="U71" i="14"/>
  <c r="T71" i="14"/>
  <c r="S71" i="14"/>
  <c r="T75" i="14"/>
  <c r="S75" i="14"/>
  <c r="R75" i="14"/>
  <c r="Q75" i="14"/>
  <c r="U75" i="14"/>
  <c r="U79" i="14"/>
  <c r="S79" i="14"/>
  <c r="Q79" i="14"/>
  <c r="T79" i="14"/>
  <c r="R79" i="14"/>
  <c r="U83" i="14"/>
  <c r="T83" i="14"/>
  <c r="S83" i="14"/>
  <c r="R83" i="14"/>
  <c r="Q83" i="14"/>
  <c r="R87" i="14"/>
  <c r="Q87" i="14"/>
  <c r="U87" i="14"/>
  <c r="T87" i="14"/>
  <c r="S87" i="14"/>
  <c r="S91" i="14"/>
  <c r="Q91" i="14"/>
  <c r="T91" i="14"/>
  <c r="R91" i="14"/>
  <c r="U91" i="14"/>
  <c r="U95" i="14"/>
  <c r="T95" i="14"/>
  <c r="S95" i="14"/>
  <c r="Q95" i="14"/>
  <c r="R95" i="14"/>
  <c r="T4" i="14"/>
  <c r="S4" i="14"/>
  <c r="R4" i="14"/>
  <c r="Q4" i="14"/>
  <c r="U4" i="14"/>
  <c r="Q15" i="14"/>
  <c r="T15" i="14"/>
  <c r="S15" i="14"/>
  <c r="R15" i="14"/>
  <c r="U15" i="14"/>
  <c r="U19" i="14"/>
  <c r="T19" i="14"/>
  <c r="S19" i="14"/>
  <c r="R19" i="14"/>
  <c r="Q19" i="14"/>
  <c r="S23" i="14"/>
  <c r="R23" i="14"/>
  <c r="Q23" i="14"/>
  <c r="T23" i="14"/>
  <c r="U23" i="14"/>
  <c r="S27" i="14"/>
  <c r="R27" i="14"/>
  <c r="T27" i="14"/>
  <c r="Q27" i="14"/>
  <c r="U27" i="14"/>
  <c r="R31" i="14"/>
  <c r="T31" i="14"/>
  <c r="Q31" i="14"/>
  <c r="S31" i="14"/>
  <c r="U31" i="14"/>
  <c r="Q35" i="14"/>
  <c r="U35" i="14"/>
  <c r="T35" i="14"/>
  <c r="S35" i="14"/>
  <c r="R35" i="14"/>
  <c r="S39" i="14"/>
  <c r="Q39" i="14"/>
  <c r="U39" i="14"/>
  <c r="T39" i="14"/>
  <c r="R39" i="14"/>
  <c r="R43" i="14"/>
  <c r="Q43" i="14"/>
  <c r="U43" i="14"/>
  <c r="T43" i="14"/>
  <c r="S43" i="14"/>
  <c r="U47" i="14"/>
  <c r="T47" i="14"/>
  <c r="S47" i="14"/>
  <c r="R47" i="14"/>
  <c r="Q47" i="14"/>
  <c r="T5" i="14"/>
  <c r="S5" i="14"/>
  <c r="R5" i="14"/>
  <c r="Q5" i="14"/>
  <c r="U5" i="14"/>
  <c r="R11" i="14"/>
  <c r="S11" i="14"/>
  <c r="Q11" i="14"/>
  <c r="T11" i="14"/>
  <c r="U11" i="14"/>
  <c r="U54" i="14"/>
  <c r="T54" i="14"/>
  <c r="R54" i="14"/>
  <c r="Q54" i="14"/>
  <c r="S54" i="14"/>
  <c r="U58" i="14"/>
  <c r="T58" i="14"/>
  <c r="Q58" i="14"/>
  <c r="S58" i="14"/>
  <c r="R58" i="14"/>
  <c r="U62" i="14"/>
  <c r="T62" i="14"/>
  <c r="S62" i="14"/>
  <c r="R62" i="14"/>
  <c r="Q62" i="14"/>
  <c r="U66" i="14"/>
  <c r="T66" i="14"/>
  <c r="S66" i="14"/>
  <c r="R66" i="14"/>
  <c r="Q66" i="14"/>
  <c r="U70" i="14"/>
  <c r="T70" i="14"/>
  <c r="R70" i="14"/>
  <c r="Q70" i="14"/>
  <c r="S70" i="14"/>
  <c r="U74" i="14"/>
  <c r="T74" i="14"/>
  <c r="S74" i="14"/>
  <c r="R74" i="14"/>
  <c r="Q74" i="14"/>
  <c r="T78" i="14"/>
  <c r="U78" i="14"/>
  <c r="S78" i="14"/>
  <c r="R78" i="14"/>
  <c r="Q78" i="14"/>
  <c r="U82" i="14"/>
  <c r="T82" i="14"/>
  <c r="S82" i="14"/>
  <c r="R82" i="14"/>
  <c r="Q82" i="14"/>
  <c r="U86" i="14"/>
  <c r="T86" i="14"/>
  <c r="R86" i="14"/>
  <c r="Q86" i="14"/>
  <c r="S86" i="14"/>
  <c r="U90" i="14"/>
  <c r="T90" i="14"/>
  <c r="Q90" i="14"/>
  <c r="S90" i="14"/>
  <c r="R90" i="14"/>
  <c r="U94" i="14"/>
  <c r="T94" i="14"/>
  <c r="S94" i="14"/>
  <c r="R94" i="14"/>
  <c r="Q94" i="14"/>
  <c r="T8" i="14"/>
  <c r="S8" i="14"/>
  <c r="R8" i="14"/>
  <c r="Q8" i="14"/>
  <c r="U8" i="14"/>
  <c r="T14" i="14"/>
  <c r="U14" i="14"/>
  <c r="S14" i="14"/>
  <c r="R14" i="14"/>
  <c r="Q14" i="14"/>
  <c r="U18" i="14"/>
  <c r="T18" i="14"/>
  <c r="S18" i="14"/>
  <c r="R18" i="14"/>
  <c r="Q18" i="14"/>
  <c r="U22" i="14"/>
  <c r="T22" i="14"/>
  <c r="R22" i="14"/>
  <c r="Q22" i="14"/>
  <c r="S22" i="14"/>
  <c r="U26" i="14"/>
  <c r="T26" i="14"/>
  <c r="Q26" i="14"/>
  <c r="S26" i="14"/>
  <c r="R26" i="14"/>
  <c r="U30" i="14"/>
  <c r="T30" i="14"/>
  <c r="S30" i="14"/>
  <c r="R30" i="14"/>
  <c r="Q30" i="14"/>
  <c r="U34" i="14"/>
  <c r="T34" i="14"/>
  <c r="S34" i="14"/>
  <c r="R34" i="14"/>
  <c r="Q34" i="14"/>
  <c r="U38" i="14"/>
  <c r="T38" i="14"/>
  <c r="R38" i="14"/>
  <c r="Q38" i="14"/>
  <c r="S38" i="14"/>
  <c r="U42" i="14"/>
  <c r="T42" i="14"/>
  <c r="Q42" i="14"/>
  <c r="S42" i="14"/>
  <c r="R42" i="14"/>
  <c r="U46" i="14"/>
  <c r="T46" i="14"/>
  <c r="S46" i="14"/>
  <c r="R46" i="14"/>
  <c r="Q46" i="14"/>
  <c r="T50" i="14"/>
  <c r="U50" i="14"/>
  <c r="S50" i="14"/>
  <c r="R50" i="14"/>
  <c r="Q50" i="14"/>
  <c r="U10" i="14"/>
  <c r="T10" i="14"/>
  <c r="Q10" i="14"/>
  <c r="S10" i="14"/>
  <c r="R10" i="14"/>
  <c r="T53" i="14"/>
  <c r="S53" i="14"/>
  <c r="R53" i="14"/>
  <c r="Q53" i="14"/>
  <c r="U53" i="14"/>
  <c r="T57" i="14"/>
  <c r="S57" i="14"/>
  <c r="R57" i="14"/>
  <c r="Q57" i="14"/>
  <c r="U57" i="14"/>
  <c r="T61" i="14"/>
  <c r="S61" i="14"/>
  <c r="R61" i="14"/>
  <c r="Q61" i="14"/>
  <c r="U61" i="14"/>
  <c r="T65" i="14"/>
  <c r="S65" i="14"/>
  <c r="R65" i="14"/>
  <c r="Q65" i="14"/>
  <c r="U65" i="14"/>
  <c r="T69" i="14"/>
  <c r="S69" i="14"/>
  <c r="R69" i="14"/>
  <c r="Q69" i="14"/>
  <c r="U69" i="14"/>
  <c r="T73" i="14"/>
  <c r="S73" i="14"/>
  <c r="R73" i="14"/>
  <c r="Q73" i="14"/>
  <c r="U73" i="14"/>
  <c r="T77" i="14"/>
  <c r="S77" i="14"/>
  <c r="R77" i="14"/>
  <c r="Q77" i="14"/>
  <c r="U77" i="14"/>
  <c r="T81" i="14"/>
  <c r="S81" i="14"/>
  <c r="R81" i="14"/>
  <c r="Q81" i="14"/>
  <c r="U81" i="14"/>
  <c r="T85" i="14"/>
  <c r="S85" i="14"/>
  <c r="R85" i="14"/>
  <c r="Q85" i="14"/>
  <c r="U85" i="14"/>
  <c r="T89" i="14"/>
  <c r="S89" i="14"/>
  <c r="R89" i="14"/>
  <c r="Q89" i="14"/>
  <c r="U89" i="14"/>
  <c r="T93" i="14"/>
  <c r="S93" i="14"/>
  <c r="R93" i="14"/>
  <c r="Q93" i="14"/>
  <c r="U93" i="14"/>
  <c r="U6" i="14"/>
  <c r="T6" i="14"/>
  <c r="R6" i="14"/>
  <c r="Q6" i="14"/>
  <c r="S6" i="14"/>
  <c r="T13" i="14"/>
  <c r="S13" i="14"/>
  <c r="R13" i="14"/>
  <c r="Q13" i="14"/>
  <c r="U13" i="14"/>
  <c r="T17" i="14"/>
  <c r="S17" i="14"/>
  <c r="R17" i="14"/>
  <c r="Q17" i="14"/>
  <c r="U17" i="14"/>
  <c r="T21" i="14"/>
  <c r="S21" i="14"/>
  <c r="R21" i="14"/>
  <c r="Q21" i="14"/>
  <c r="U21" i="14"/>
  <c r="T25" i="14"/>
  <c r="S25" i="14"/>
  <c r="R25" i="14"/>
  <c r="Q25" i="14"/>
  <c r="U25" i="14"/>
  <c r="T29" i="14"/>
  <c r="S29" i="14"/>
  <c r="R29" i="14"/>
  <c r="Q29" i="14"/>
  <c r="U29" i="14"/>
  <c r="T33" i="14"/>
  <c r="S33" i="14"/>
  <c r="R33" i="14"/>
  <c r="Q33" i="14"/>
  <c r="U33" i="14"/>
  <c r="T37" i="14"/>
  <c r="S37" i="14"/>
  <c r="R37" i="14"/>
  <c r="Q37" i="14"/>
  <c r="U37" i="14"/>
  <c r="T41" i="14"/>
  <c r="S41" i="14"/>
  <c r="R41" i="14"/>
  <c r="Q41" i="14"/>
  <c r="U41" i="14"/>
  <c r="T45" i="14"/>
  <c r="S45" i="14"/>
  <c r="R45" i="14"/>
  <c r="Q45" i="14"/>
  <c r="U45" i="14"/>
  <c r="T49" i="14"/>
  <c r="S49" i="14"/>
  <c r="R49" i="14"/>
  <c r="Q49" i="14"/>
  <c r="U49" i="14"/>
  <c r="T9" i="14"/>
  <c r="S9" i="14"/>
  <c r="R9" i="14"/>
  <c r="Q9" i="14"/>
  <c r="U9" i="14"/>
  <c r="T52" i="14"/>
  <c r="S52" i="14"/>
  <c r="R52" i="14"/>
  <c r="Q52" i="14"/>
  <c r="U52" i="14"/>
  <c r="T56" i="14"/>
  <c r="S56" i="14"/>
  <c r="R56" i="14"/>
  <c r="Q56" i="14"/>
  <c r="U56" i="14"/>
  <c r="T60" i="14"/>
  <c r="S60" i="14"/>
  <c r="R60" i="14"/>
  <c r="Q60" i="14"/>
  <c r="U60" i="14"/>
  <c r="T64" i="14"/>
  <c r="S64" i="14"/>
  <c r="R64" i="14"/>
  <c r="Q64" i="14"/>
  <c r="U64" i="14"/>
  <c r="T68" i="14"/>
  <c r="S68" i="14"/>
  <c r="R68" i="14"/>
  <c r="Q68" i="14"/>
  <c r="U68" i="14"/>
  <c r="T72" i="14"/>
  <c r="S72" i="14"/>
  <c r="R72" i="14"/>
  <c r="Q72" i="14"/>
  <c r="U72" i="14"/>
  <c r="T76" i="14"/>
  <c r="S76" i="14"/>
  <c r="R76" i="14"/>
  <c r="Q76" i="14"/>
  <c r="U76" i="14"/>
  <c r="T80" i="14"/>
  <c r="S80" i="14"/>
  <c r="R80" i="14"/>
  <c r="Q80" i="14"/>
  <c r="U80" i="14"/>
  <c r="T84" i="14"/>
  <c r="S84" i="14"/>
  <c r="R84" i="14"/>
  <c r="Q84" i="14"/>
  <c r="U84" i="14"/>
  <c r="T88" i="14"/>
  <c r="S88" i="14"/>
  <c r="R88" i="14"/>
  <c r="Q88" i="14"/>
  <c r="U88" i="14"/>
  <c r="T92" i="14"/>
  <c r="S92" i="14"/>
  <c r="R92" i="14"/>
  <c r="Q92" i="14"/>
  <c r="U92" i="14"/>
  <c r="E6" i="14"/>
  <c r="N6" i="14"/>
  <c r="M6" i="14"/>
  <c r="K6" i="14"/>
  <c r="L6" i="14"/>
  <c r="J6" i="14"/>
  <c r="H6" i="14"/>
  <c r="I6" i="14"/>
  <c r="F6" i="14"/>
  <c r="D6" i="14"/>
  <c r="O6" i="14"/>
  <c r="G6" i="14"/>
  <c r="D4" i="14"/>
  <c r="N4" i="14"/>
  <c r="M4" i="14"/>
  <c r="K4" i="14"/>
  <c r="L4" i="14"/>
  <c r="F4" i="14"/>
  <c r="H4" i="14"/>
  <c r="G4" i="14"/>
  <c r="E4" i="14"/>
  <c r="O4" i="14"/>
  <c r="J4" i="14"/>
  <c r="I4" i="14"/>
  <c r="E13" i="14"/>
  <c r="F13" i="14"/>
  <c r="J13" i="14"/>
  <c r="N13" i="14"/>
  <c r="L13" i="14"/>
  <c r="O13" i="14"/>
  <c r="D13" i="14"/>
  <c r="M13" i="14"/>
  <c r="H13" i="14"/>
  <c r="K13" i="14"/>
  <c r="G13" i="14"/>
  <c r="I13" i="14"/>
  <c r="E15" i="14"/>
  <c r="J15" i="14"/>
  <c r="O15" i="14"/>
  <c r="F15" i="14"/>
  <c r="M15" i="14"/>
  <c r="H15" i="14"/>
  <c r="N15" i="14"/>
  <c r="K15" i="14"/>
  <c r="D15" i="14"/>
  <c r="L15" i="14"/>
  <c r="I15" i="14"/>
  <c r="G15" i="14"/>
  <c r="E17" i="14"/>
  <c r="J17" i="14"/>
  <c r="F17" i="14"/>
  <c r="N17" i="14"/>
  <c r="H17" i="14"/>
  <c r="M17" i="14"/>
  <c r="L17" i="14"/>
  <c r="D17" i="14"/>
  <c r="O17" i="14"/>
  <c r="I17" i="14"/>
  <c r="G17" i="14"/>
  <c r="K17" i="14"/>
  <c r="E19" i="14"/>
  <c r="J19" i="14"/>
  <c r="F19" i="14"/>
  <c r="M19" i="14"/>
  <c r="H19" i="14"/>
  <c r="L19" i="14"/>
  <c r="N19" i="14"/>
  <c r="D19" i="14"/>
  <c r="K19" i="14"/>
  <c r="G19" i="14"/>
  <c r="O19" i="14"/>
  <c r="I19" i="14"/>
  <c r="E21" i="14"/>
  <c r="J21" i="14"/>
  <c r="F21" i="14"/>
  <c r="N21" i="14"/>
  <c r="L21" i="14"/>
  <c r="H21" i="14"/>
  <c r="M21" i="14"/>
  <c r="D21" i="14"/>
  <c r="K21" i="14"/>
  <c r="G21" i="14"/>
  <c r="O21" i="14"/>
  <c r="I21" i="14"/>
  <c r="E23" i="14"/>
  <c r="J23" i="14"/>
  <c r="F23" i="14"/>
  <c r="M23" i="14"/>
  <c r="H23" i="14"/>
  <c r="N23" i="14"/>
  <c r="D23" i="14"/>
  <c r="L23" i="14"/>
  <c r="K23" i="14"/>
  <c r="G23" i="14"/>
  <c r="O23" i="14"/>
  <c r="I23" i="14"/>
  <c r="E25" i="14"/>
  <c r="J25" i="14"/>
  <c r="F25" i="14"/>
  <c r="H25" i="14"/>
  <c r="M25" i="14"/>
  <c r="L25" i="14"/>
  <c r="D25" i="14"/>
  <c r="K25" i="14"/>
  <c r="G25" i="14"/>
  <c r="O25" i="14"/>
  <c r="I25" i="14"/>
  <c r="N25" i="14"/>
  <c r="E27" i="14"/>
  <c r="N27" i="14"/>
  <c r="O27" i="14"/>
  <c r="J27" i="14"/>
  <c r="H27" i="14"/>
  <c r="K27" i="14"/>
  <c r="G27" i="14"/>
  <c r="L27" i="14"/>
  <c r="F27" i="14"/>
  <c r="D27" i="14"/>
  <c r="I27" i="14"/>
  <c r="M27" i="14"/>
  <c r="E29" i="14"/>
  <c r="H29" i="14"/>
  <c r="N29" i="14"/>
  <c r="M29" i="14"/>
  <c r="J29" i="14"/>
  <c r="L29" i="14"/>
  <c r="D29" i="14"/>
  <c r="F29" i="14"/>
  <c r="K29" i="14"/>
  <c r="G29" i="14"/>
  <c r="O29" i="14"/>
  <c r="I29" i="14"/>
  <c r="E31" i="14"/>
  <c r="N31" i="14"/>
  <c r="D31" i="14"/>
  <c r="M31" i="14"/>
  <c r="H31" i="14"/>
  <c r="L31" i="14"/>
  <c r="J31" i="14"/>
  <c r="K31" i="14"/>
  <c r="G31" i="14"/>
  <c r="F31" i="14"/>
  <c r="O31" i="14"/>
  <c r="I31" i="14"/>
  <c r="L33" i="14"/>
  <c r="G33" i="14"/>
  <c r="E33" i="14"/>
  <c r="K33" i="14"/>
  <c r="I33" i="14"/>
  <c r="N33" i="14"/>
  <c r="O33" i="14"/>
  <c r="H33" i="14"/>
  <c r="D33" i="14"/>
  <c r="M33" i="14"/>
  <c r="J33" i="14"/>
  <c r="F33" i="14"/>
  <c r="E35" i="14"/>
  <c r="J35" i="14"/>
  <c r="F35" i="14"/>
  <c r="N35" i="14"/>
  <c r="D35" i="14"/>
  <c r="H35" i="14"/>
  <c r="M35" i="14"/>
  <c r="L35" i="14"/>
  <c r="K35" i="14"/>
  <c r="G35" i="14"/>
  <c r="O35" i="14"/>
  <c r="I35" i="14"/>
  <c r="E37" i="14"/>
  <c r="F37" i="14"/>
  <c r="J37" i="14"/>
  <c r="N37" i="14"/>
  <c r="D37" i="14"/>
  <c r="M37" i="14"/>
  <c r="L37" i="14"/>
  <c r="H37" i="14"/>
  <c r="K37" i="14"/>
  <c r="G37" i="14"/>
  <c r="O37" i="14"/>
  <c r="I37" i="14"/>
  <c r="L39" i="14"/>
  <c r="G39" i="14"/>
  <c r="I39" i="14"/>
  <c r="K39" i="14"/>
  <c r="E39" i="14"/>
  <c r="N39" i="14"/>
  <c r="J39" i="14"/>
  <c r="F39" i="14"/>
  <c r="O39" i="14"/>
  <c r="H39" i="14"/>
  <c r="D39" i="14"/>
  <c r="M39" i="14"/>
  <c r="E41" i="14"/>
  <c r="F41" i="14"/>
  <c r="J41" i="14"/>
  <c r="N41" i="14"/>
  <c r="H41" i="14"/>
  <c r="M41" i="14"/>
  <c r="D41" i="14"/>
  <c r="L41" i="14"/>
  <c r="K41" i="14"/>
  <c r="G41" i="14"/>
  <c r="O41" i="14"/>
  <c r="I41" i="14"/>
  <c r="E43" i="14"/>
  <c r="O43" i="14"/>
  <c r="N43" i="14"/>
  <c r="M43" i="14"/>
  <c r="J43" i="14"/>
  <c r="F43" i="14"/>
  <c r="H43" i="14"/>
  <c r="K43" i="14"/>
  <c r="G43" i="14"/>
  <c r="D43" i="14"/>
  <c r="L43" i="14"/>
  <c r="I43" i="14"/>
  <c r="D45" i="14"/>
  <c r="N45" i="14"/>
  <c r="M45" i="14"/>
  <c r="L45" i="14"/>
  <c r="I45" i="14"/>
  <c r="E45" i="14"/>
  <c r="O45" i="14"/>
  <c r="H45" i="14"/>
  <c r="K45" i="14"/>
  <c r="G45" i="14"/>
  <c r="J45" i="14"/>
  <c r="F45" i="14"/>
  <c r="E47" i="14"/>
  <c r="F47" i="14"/>
  <c r="J47" i="14"/>
  <c r="N47" i="14"/>
  <c r="D47" i="14"/>
  <c r="L47" i="14"/>
  <c r="H47" i="14"/>
  <c r="M47" i="14"/>
  <c r="K47" i="14"/>
  <c r="G47" i="14"/>
  <c r="O47" i="14"/>
  <c r="I47" i="14"/>
  <c r="E49" i="14"/>
  <c r="N49" i="14"/>
  <c r="M49" i="14"/>
  <c r="F49" i="14"/>
  <c r="H49" i="14"/>
  <c r="K49" i="14"/>
  <c r="G49" i="14"/>
  <c r="L49" i="14"/>
  <c r="J49" i="14"/>
  <c r="D49" i="14"/>
  <c r="O49" i="14"/>
  <c r="I49" i="14"/>
  <c r="E5" i="14"/>
  <c r="H5" i="14"/>
  <c r="F5" i="14"/>
  <c r="J5" i="14"/>
  <c r="N5" i="14"/>
  <c r="L5" i="14"/>
  <c r="K5" i="14"/>
  <c r="O5" i="14"/>
  <c r="G5" i="14"/>
  <c r="D5" i="14"/>
  <c r="I5" i="14"/>
  <c r="M5" i="14"/>
  <c r="E9" i="14"/>
  <c r="J9" i="14"/>
  <c r="F9" i="14"/>
  <c r="K9" i="14"/>
  <c r="N9" i="14"/>
  <c r="M9" i="14"/>
  <c r="L9" i="14"/>
  <c r="H9" i="14"/>
  <c r="I9" i="14"/>
  <c r="D9" i="14"/>
  <c r="O9" i="14"/>
  <c r="G9" i="14"/>
  <c r="E11" i="14"/>
  <c r="M11" i="14"/>
  <c r="K11" i="14"/>
  <c r="L11" i="14"/>
  <c r="N11" i="14"/>
  <c r="J11" i="14"/>
  <c r="F11" i="14"/>
  <c r="D11" i="14"/>
  <c r="O11" i="14"/>
  <c r="G11" i="14"/>
  <c r="H11" i="14"/>
  <c r="I11" i="14"/>
  <c r="L52" i="14"/>
  <c r="K52" i="14"/>
  <c r="E52" i="14"/>
  <c r="J52" i="14"/>
  <c r="F52" i="14"/>
  <c r="G52" i="14"/>
  <c r="I52" i="14"/>
  <c r="O52" i="14"/>
  <c r="H52" i="14"/>
  <c r="D52" i="14"/>
  <c r="M52" i="14"/>
  <c r="N52" i="14"/>
  <c r="E54" i="14"/>
  <c r="H54" i="14"/>
  <c r="J54" i="14"/>
  <c r="F54" i="14"/>
  <c r="D54" i="14"/>
  <c r="M54" i="14"/>
  <c r="N54" i="14"/>
  <c r="K54" i="14"/>
  <c r="G54" i="14"/>
  <c r="L54" i="14"/>
  <c r="O54" i="14"/>
  <c r="I54" i="14"/>
  <c r="E56" i="14"/>
  <c r="M56" i="14"/>
  <c r="N56" i="14"/>
  <c r="D56" i="14"/>
  <c r="H56" i="14"/>
  <c r="F56" i="14"/>
  <c r="L56" i="14"/>
  <c r="K56" i="14"/>
  <c r="G56" i="14"/>
  <c r="J56" i="14"/>
  <c r="O56" i="14"/>
  <c r="I56" i="14"/>
  <c r="D58" i="14"/>
  <c r="J58" i="14"/>
  <c r="M58" i="14"/>
  <c r="N58" i="14"/>
  <c r="O58" i="14"/>
  <c r="I58" i="14"/>
  <c r="E58" i="14"/>
  <c r="H58" i="14"/>
  <c r="K58" i="14"/>
  <c r="G58" i="14"/>
  <c r="L58" i="14"/>
  <c r="F58" i="14"/>
  <c r="E60" i="14"/>
  <c r="J60" i="14"/>
  <c r="F60" i="14"/>
  <c r="M60" i="14"/>
  <c r="D60" i="14"/>
  <c r="H60" i="14"/>
  <c r="N60" i="14"/>
  <c r="L60" i="14"/>
  <c r="K60" i="14"/>
  <c r="G60" i="14"/>
  <c r="O60" i="14"/>
  <c r="I60" i="14"/>
  <c r="L62" i="14"/>
  <c r="G62" i="14"/>
  <c r="I62" i="14"/>
  <c r="K62" i="14"/>
  <c r="E62" i="14"/>
  <c r="M62" i="14"/>
  <c r="J62" i="14"/>
  <c r="F62" i="14"/>
  <c r="N62" i="14"/>
  <c r="O62" i="14"/>
  <c r="H62" i="14"/>
  <c r="D62" i="14"/>
  <c r="L64" i="14"/>
  <c r="H64" i="14"/>
  <c r="M64" i="14"/>
  <c r="O64" i="14"/>
  <c r="F64" i="14"/>
  <c r="D64" i="14"/>
  <c r="N64" i="14"/>
  <c r="J64" i="14"/>
  <c r="K64" i="14"/>
  <c r="G64" i="14"/>
  <c r="I64" i="14"/>
  <c r="E64" i="14"/>
  <c r="L66" i="14"/>
  <c r="H66" i="14"/>
  <c r="M66" i="14"/>
  <c r="O66" i="14"/>
  <c r="N66" i="14"/>
  <c r="F66" i="14"/>
  <c r="D66" i="14"/>
  <c r="J66" i="14"/>
  <c r="I66" i="14"/>
  <c r="E66" i="14"/>
  <c r="K66" i="14"/>
  <c r="G66" i="14"/>
  <c r="E68" i="14"/>
  <c r="J68" i="14"/>
  <c r="O68" i="14"/>
  <c r="K68" i="14"/>
  <c r="D68" i="14"/>
  <c r="F68" i="14"/>
  <c r="H68" i="14"/>
  <c r="M68" i="14"/>
  <c r="N68" i="14"/>
  <c r="G68" i="14"/>
  <c r="L68" i="14"/>
  <c r="I68" i="14"/>
  <c r="L70" i="14"/>
  <c r="H70" i="14"/>
  <c r="D70" i="14"/>
  <c r="O70" i="14"/>
  <c r="M70" i="14"/>
  <c r="N70" i="14"/>
  <c r="J70" i="14"/>
  <c r="F70" i="14"/>
  <c r="K70" i="14"/>
  <c r="G70" i="14"/>
  <c r="I70" i="14"/>
  <c r="E70" i="14"/>
  <c r="L72" i="14"/>
  <c r="J72" i="14"/>
  <c r="F72" i="14"/>
  <c r="M72" i="14"/>
  <c r="H72" i="14"/>
  <c r="O72" i="14"/>
  <c r="D72" i="14"/>
  <c r="N72" i="14"/>
  <c r="I72" i="14"/>
  <c r="E72" i="14"/>
  <c r="K72" i="14"/>
  <c r="G72" i="14"/>
  <c r="L74" i="14"/>
  <c r="F74" i="14"/>
  <c r="J74" i="14"/>
  <c r="M74" i="14"/>
  <c r="O74" i="14"/>
  <c r="D74" i="14"/>
  <c r="N74" i="14"/>
  <c r="H74" i="14"/>
  <c r="K74" i="14"/>
  <c r="G74" i="14"/>
  <c r="I74" i="14"/>
  <c r="E74" i="14"/>
  <c r="L76" i="14"/>
  <c r="H76" i="14"/>
  <c r="J76" i="14"/>
  <c r="F76" i="14"/>
  <c r="O76" i="14"/>
  <c r="D76" i="14"/>
  <c r="M76" i="14"/>
  <c r="K76" i="14"/>
  <c r="G76" i="14"/>
  <c r="N76" i="14"/>
  <c r="I76" i="14"/>
  <c r="E76" i="14"/>
  <c r="L78" i="14"/>
  <c r="K78" i="14"/>
  <c r="G78" i="14"/>
  <c r="E78" i="14"/>
  <c r="O78" i="14"/>
  <c r="H78" i="14"/>
  <c r="D78" i="14"/>
  <c r="I78" i="14"/>
  <c r="J78" i="14"/>
  <c r="F78" i="14"/>
  <c r="M78" i="14"/>
  <c r="N78" i="14"/>
  <c r="E80" i="14"/>
  <c r="O80" i="14"/>
  <c r="H80" i="14"/>
  <c r="J80" i="14"/>
  <c r="F80" i="14"/>
  <c r="K80" i="14"/>
  <c r="D80" i="14"/>
  <c r="M80" i="14"/>
  <c r="N80" i="14"/>
  <c r="L80" i="14"/>
  <c r="G80" i="14"/>
  <c r="I80" i="14"/>
  <c r="L82" i="14"/>
  <c r="I82" i="14"/>
  <c r="K82" i="14"/>
  <c r="G82" i="14"/>
  <c r="E82" i="14"/>
  <c r="O82" i="14"/>
  <c r="H82" i="14"/>
  <c r="D82" i="14"/>
  <c r="J82" i="14"/>
  <c r="F82" i="14"/>
  <c r="M82" i="14"/>
  <c r="N82" i="14"/>
  <c r="L84" i="14"/>
  <c r="H84" i="14"/>
  <c r="O84" i="14"/>
  <c r="D84" i="14"/>
  <c r="M84" i="14"/>
  <c r="F84" i="14"/>
  <c r="N84" i="14"/>
  <c r="J84" i="14"/>
  <c r="K84" i="14"/>
  <c r="G84" i="14"/>
  <c r="I84" i="14"/>
  <c r="E84" i="14"/>
  <c r="E86" i="14"/>
  <c r="O86" i="14"/>
  <c r="D86" i="14"/>
  <c r="M86" i="14"/>
  <c r="N86" i="14"/>
  <c r="H86" i="14"/>
  <c r="F86" i="14"/>
  <c r="K86" i="14"/>
  <c r="G86" i="14"/>
  <c r="J86" i="14"/>
  <c r="L86" i="14"/>
  <c r="I86" i="14"/>
  <c r="L88" i="14"/>
  <c r="H88" i="14"/>
  <c r="O88" i="14"/>
  <c r="M88" i="14"/>
  <c r="D88" i="14"/>
  <c r="J88" i="14"/>
  <c r="N88" i="14"/>
  <c r="F88" i="14"/>
  <c r="K88" i="14"/>
  <c r="G88" i="14"/>
  <c r="I88" i="14"/>
  <c r="E88" i="14"/>
  <c r="L90" i="14"/>
  <c r="K90" i="14"/>
  <c r="E90" i="14"/>
  <c r="G90" i="14"/>
  <c r="I90" i="14"/>
  <c r="O90" i="14"/>
  <c r="H90" i="14"/>
  <c r="D90" i="14"/>
  <c r="J90" i="14"/>
  <c r="F90" i="14"/>
  <c r="M90" i="14"/>
  <c r="N90" i="14"/>
  <c r="E92" i="14"/>
  <c r="D92" i="14"/>
  <c r="M92" i="14"/>
  <c r="H92" i="14"/>
  <c r="N92" i="14"/>
  <c r="J92" i="14"/>
  <c r="L92" i="14"/>
  <c r="O92" i="14"/>
  <c r="I92" i="14"/>
  <c r="F92" i="14"/>
  <c r="K92" i="14"/>
  <c r="G92" i="14"/>
  <c r="L94" i="14"/>
  <c r="H94" i="14"/>
  <c r="O94" i="14"/>
  <c r="D94" i="14"/>
  <c r="M94" i="14"/>
  <c r="N94" i="14"/>
  <c r="F94" i="14"/>
  <c r="J94" i="14"/>
  <c r="I94" i="14"/>
  <c r="E94" i="14"/>
  <c r="K94" i="14"/>
  <c r="G94" i="14"/>
  <c r="E8" i="14"/>
  <c r="J8" i="14"/>
  <c r="M8" i="14"/>
  <c r="F8" i="14"/>
  <c r="N8" i="14"/>
  <c r="K8" i="14"/>
  <c r="L8" i="14"/>
  <c r="H8" i="14"/>
  <c r="D8" i="14"/>
  <c r="O8" i="14"/>
  <c r="G8" i="14"/>
  <c r="I8" i="14"/>
  <c r="E12" i="14"/>
  <c r="M12" i="14"/>
  <c r="N12" i="14"/>
  <c r="J12" i="14"/>
  <c r="F12" i="14"/>
  <c r="D12" i="14"/>
  <c r="L12" i="14"/>
  <c r="H12" i="14"/>
  <c r="K12" i="14"/>
  <c r="G12" i="14"/>
  <c r="I12" i="14"/>
  <c r="O12" i="14"/>
  <c r="E14" i="14"/>
  <c r="J14" i="14"/>
  <c r="F14" i="14"/>
  <c r="N14" i="14"/>
  <c r="M14" i="14"/>
  <c r="D14" i="14"/>
  <c r="H14" i="14"/>
  <c r="L14" i="14"/>
  <c r="O14" i="14"/>
  <c r="I14" i="14"/>
  <c r="K14" i="14"/>
  <c r="G14" i="14"/>
  <c r="E16" i="14"/>
  <c r="M16" i="14"/>
  <c r="N16" i="14"/>
  <c r="F16" i="14"/>
  <c r="H16" i="14"/>
  <c r="J16" i="14"/>
  <c r="D16" i="14"/>
  <c r="L16" i="14"/>
  <c r="O16" i="14"/>
  <c r="I16" i="14"/>
  <c r="G16" i="14"/>
  <c r="K16" i="14"/>
  <c r="E18" i="14"/>
  <c r="N18" i="14"/>
  <c r="M18" i="14"/>
  <c r="F18" i="14"/>
  <c r="H18" i="14"/>
  <c r="J18" i="14"/>
  <c r="D18" i="14"/>
  <c r="K18" i="14"/>
  <c r="L18" i="14"/>
  <c r="O18" i="14"/>
  <c r="I18" i="14"/>
  <c r="G18" i="14"/>
  <c r="E20" i="14"/>
  <c r="M20" i="14"/>
  <c r="N20" i="14"/>
  <c r="F20" i="14"/>
  <c r="H20" i="14"/>
  <c r="J20" i="14"/>
  <c r="D20" i="14"/>
  <c r="L20" i="14"/>
  <c r="K20" i="14"/>
  <c r="G20" i="14"/>
  <c r="O20" i="14"/>
  <c r="I20" i="14"/>
  <c r="E22" i="14"/>
  <c r="F22" i="14"/>
  <c r="J22" i="14"/>
  <c r="N22" i="14"/>
  <c r="M22" i="14"/>
  <c r="H22" i="14"/>
  <c r="D22" i="14"/>
  <c r="K22" i="14"/>
  <c r="G22" i="14"/>
  <c r="L22" i="14"/>
  <c r="O22" i="14"/>
  <c r="I22" i="14"/>
  <c r="E24" i="14"/>
  <c r="F24" i="14"/>
  <c r="J24" i="14"/>
  <c r="M24" i="14"/>
  <c r="N24" i="14"/>
  <c r="H24" i="14"/>
  <c r="D24" i="14"/>
  <c r="L24" i="14"/>
  <c r="K24" i="14"/>
  <c r="G24" i="14"/>
  <c r="O24" i="14"/>
  <c r="I24" i="14"/>
  <c r="E26" i="14"/>
  <c r="M26" i="14"/>
  <c r="N26" i="14"/>
  <c r="J26" i="14"/>
  <c r="F26" i="14"/>
  <c r="I26" i="14"/>
  <c r="O26" i="14"/>
  <c r="H26" i="14"/>
  <c r="D26" i="14"/>
  <c r="L26" i="14"/>
  <c r="K26" i="14"/>
  <c r="G26" i="14"/>
  <c r="E28" i="14"/>
  <c r="M28" i="14"/>
  <c r="O28" i="14"/>
  <c r="D28" i="14"/>
  <c r="N28" i="14"/>
  <c r="H28" i="14"/>
  <c r="J28" i="14"/>
  <c r="L28" i="14"/>
  <c r="I28" i="14"/>
  <c r="F28" i="14"/>
  <c r="K28" i="14"/>
  <c r="G28" i="14"/>
  <c r="L30" i="14"/>
  <c r="K30" i="14"/>
  <c r="G30" i="14"/>
  <c r="E30" i="14"/>
  <c r="O30" i="14"/>
  <c r="H30" i="14"/>
  <c r="D30" i="14"/>
  <c r="I30" i="14"/>
  <c r="J30" i="14"/>
  <c r="F30" i="14"/>
  <c r="M30" i="14"/>
  <c r="N30" i="14"/>
  <c r="E32" i="14"/>
  <c r="J32" i="14"/>
  <c r="D32" i="14"/>
  <c r="F32" i="14"/>
  <c r="H32" i="14"/>
  <c r="M32" i="14"/>
  <c r="N32" i="14"/>
  <c r="K32" i="14"/>
  <c r="G32" i="14"/>
  <c r="L32" i="14"/>
  <c r="O32" i="14"/>
  <c r="I32" i="14"/>
  <c r="E34" i="14"/>
  <c r="M34" i="14"/>
  <c r="N34" i="14"/>
  <c r="D34" i="14"/>
  <c r="H34" i="14"/>
  <c r="J34" i="14"/>
  <c r="L34" i="14"/>
  <c r="K34" i="14"/>
  <c r="G34" i="14"/>
  <c r="F34" i="14"/>
  <c r="O34" i="14"/>
  <c r="I34" i="14"/>
  <c r="E36" i="14"/>
  <c r="M36" i="14"/>
  <c r="N36" i="14"/>
  <c r="J36" i="14"/>
  <c r="H36" i="14"/>
  <c r="K36" i="14"/>
  <c r="G36" i="14"/>
  <c r="F36" i="14"/>
  <c r="L36" i="14"/>
  <c r="D36" i="14"/>
  <c r="O36" i="14"/>
  <c r="I36" i="14"/>
  <c r="L38" i="14"/>
  <c r="I38" i="14"/>
  <c r="J38" i="14"/>
  <c r="F38" i="14"/>
  <c r="K38" i="14"/>
  <c r="G38" i="14"/>
  <c r="E38" i="14"/>
  <c r="O38" i="14"/>
  <c r="H38" i="14"/>
  <c r="D38" i="14"/>
  <c r="M38" i="14"/>
  <c r="N38" i="14"/>
  <c r="E40" i="14"/>
  <c r="M40" i="14"/>
  <c r="N40" i="14"/>
  <c r="H40" i="14"/>
  <c r="D40" i="14"/>
  <c r="J40" i="14"/>
  <c r="L40" i="14"/>
  <c r="K40" i="14"/>
  <c r="G40" i="14"/>
  <c r="F40" i="14"/>
  <c r="O40" i="14"/>
  <c r="I40" i="14"/>
  <c r="E42" i="14"/>
  <c r="M42" i="14"/>
  <c r="N42" i="14"/>
  <c r="H42" i="14"/>
  <c r="J42" i="14"/>
  <c r="K42" i="14"/>
  <c r="G42" i="14"/>
  <c r="D42" i="14"/>
  <c r="F42" i="14"/>
  <c r="L42" i="14"/>
  <c r="O42" i="14"/>
  <c r="I42" i="14"/>
  <c r="L44" i="14"/>
  <c r="M44" i="14"/>
  <c r="O44" i="14"/>
  <c r="N44" i="14"/>
  <c r="J44" i="14"/>
  <c r="F44" i="14"/>
  <c r="H44" i="14"/>
  <c r="I44" i="14"/>
  <c r="E44" i="14"/>
  <c r="D44" i="14"/>
  <c r="K44" i="14"/>
  <c r="G44" i="14"/>
  <c r="L46" i="14"/>
  <c r="M46" i="14"/>
  <c r="N46" i="14"/>
  <c r="O46" i="14"/>
  <c r="H46" i="14"/>
  <c r="D46" i="14"/>
  <c r="J46" i="14"/>
  <c r="I46" i="14"/>
  <c r="E46" i="14"/>
  <c r="F46" i="14"/>
  <c r="K46" i="14"/>
  <c r="G46" i="14"/>
  <c r="L48" i="14"/>
  <c r="G48" i="14"/>
  <c r="E48" i="14"/>
  <c r="O48" i="14"/>
  <c r="H48" i="14"/>
  <c r="D48" i="14"/>
  <c r="K48" i="14"/>
  <c r="I48" i="14"/>
  <c r="J48" i="14"/>
  <c r="F48" i="14"/>
  <c r="M48" i="14"/>
  <c r="N48" i="14"/>
  <c r="E50" i="14"/>
  <c r="D50" i="14"/>
  <c r="J50" i="14"/>
  <c r="F50" i="14"/>
  <c r="H50" i="14"/>
  <c r="M50" i="14"/>
  <c r="N50" i="14"/>
  <c r="L50" i="14"/>
  <c r="K50" i="14"/>
  <c r="G50" i="14"/>
  <c r="O50" i="14"/>
  <c r="I50" i="14"/>
  <c r="E7" i="14"/>
  <c r="M7" i="14"/>
  <c r="N7" i="14"/>
  <c r="K7" i="14"/>
  <c r="L7" i="14"/>
  <c r="F7" i="14"/>
  <c r="H7" i="14"/>
  <c r="O7" i="14"/>
  <c r="G7" i="14"/>
  <c r="J7" i="14"/>
  <c r="D7" i="14"/>
  <c r="I7" i="14"/>
  <c r="E10" i="14"/>
  <c r="N10" i="14"/>
  <c r="M10" i="14"/>
  <c r="J10" i="14"/>
  <c r="K10" i="14"/>
  <c r="L10" i="14"/>
  <c r="F10" i="14"/>
  <c r="O10" i="14"/>
  <c r="D10" i="14"/>
  <c r="H10" i="14"/>
  <c r="G10" i="14"/>
  <c r="I10" i="14"/>
  <c r="L51" i="14"/>
  <c r="K51" i="14"/>
  <c r="G51" i="14"/>
  <c r="E51" i="14"/>
  <c r="I51" i="14"/>
  <c r="N51" i="14"/>
  <c r="J51" i="14"/>
  <c r="F51" i="14"/>
  <c r="O51" i="14"/>
  <c r="H51" i="14"/>
  <c r="D51" i="14"/>
  <c r="M51" i="14"/>
  <c r="E53" i="14"/>
  <c r="N53" i="14"/>
  <c r="M53" i="14"/>
  <c r="L53" i="14"/>
  <c r="F53" i="14"/>
  <c r="H53" i="14"/>
  <c r="K53" i="14"/>
  <c r="G53" i="14"/>
  <c r="J53" i="14"/>
  <c r="D53" i="14"/>
  <c r="O53" i="14"/>
  <c r="I53" i="14"/>
  <c r="L55" i="14"/>
  <c r="K55" i="14"/>
  <c r="G55" i="14"/>
  <c r="I55" i="14"/>
  <c r="E55" i="14"/>
  <c r="N55" i="14"/>
  <c r="O55" i="14"/>
  <c r="H55" i="14"/>
  <c r="D55" i="14"/>
  <c r="J55" i="14"/>
  <c r="F55" i="14"/>
  <c r="M55" i="14"/>
  <c r="D57" i="14"/>
  <c r="N57" i="14"/>
  <c r="M57" i="14"/>
  <c r="I57" i="14"/>
  <c r="E57" i="14"/>
  <c r="O57" i="14"/>
  <c r="H57" i="14"/>
  <c r="L57" i="14"/>
  <c r="K57" i="14"/>
  <c r="G57" i="14"/>
  <c r="J57" i="14"/>
  <c r="F57" i="14"/>
  <c r="E59" i="14"/>
  <c r="H59" i="14"/>
  <c r="N59" i="14"/>
  <c r="D59" i="14"/>
  <c r="J59" i="14"/>
  <c r="O59" i="14"/>
  <c r="M59" i="14"/>
  <c r="F59" i="14"/>
  <c r="L59" i="14"/>
  <c r="I59" i="14"/>
  <c r="K59" i="14"/>
  <c r="G59" i="14"/>
  <c r="L61" i="14"/>
  <c r="I61" i="14"/>
  <c r="K61" i="14"/>
  <c r="G61" i="14"/>
  <c r="E61" i="14"/>
  <c r="O61" i="14"/>
  <c r="H61" i="14"/>
  <c r="D61" i="14"/>
  <c r="J61" i="14"/>
  <c r="F61" i="14"/>
  <c r="N61" i="14"/>
  <c r="M61" i="14"/>
  <c r="E63" i="14"/>
  <c r="N63" i="14"/>
  <c r="D63" i="14"/>
  <c r="H63" i="14"/>
  <c r="M63" i="14"/>
  <c r="J63" i="14"/>
  <c r="K63" i="14"/>
  <c r="G63" i="14"/>
  <c r="L63" i="14"/>
  <c r="F63" i="14"/>
  <c r="O63" i="14"/>
  <c r="I63" i="14"/>
  <c r="E65" i="14"/>
  <c r="H65" i="14"/>
  <c r="O65" i="14"/>
  <c r="D65" i="14"/>
  <c r="N65" i="14"/>
  <c r="M65" i="14"/>
  <c r="F65" i="14"/>
  <c r="J65" i="14"/>
  <c r="L65" i="14"/>
  <c r="K65" i="14"/>
  <c r="G65" i="14"/>
  <c r="I65" i="14"/>
  <c r="E67" i="14"/>
  <c r="H67" i="14"/>
  <c r="O67" i="14"/>
  <c r="N67" i="14"/>
  <c r="D67" i="14"/>
  <c r="F67" i="14"/>
  <c r="M67" i="14"/>
  <c r="J67" i="14"/>
  <c r="I67" i="14"/>
  <c r="L67" i="14"/>
  <c r="K67" i="14"/>
  <c r="G67" i="14"/>
  <c r="E69" i="14"/>
  <c r="N69" i="14"/>
  <c r="D69" i="14"/>
  <c r="M69" i="14"/>
  <c r="H69" i="14"/>
  <c r="L69" i="14"/>
  <c r="J69" i="14"/>
  <c r="K69" i="14"/>
  <c r="G69" i="14"/>
  <c r="F69" i="14"/>
  <c r="O69" i="14"/>
  <c r="I69" i="14"/>
  <c r="E71" i="14"/>
  <c r="O71" i="14"/>
  <c r="H71" i="14"/>
  <c r="D71" i="14"/>
  <c r="N71" i="14"/>
  <c r="J71" i="14"/>
  <c r="F71" i="14"/>
  <c r="M71" i="14"/>
  <c r="K71" i="14"/>
  <c r="G71" i="14"/>
  <c r="L71" i="14"/>
  <c r="I71" i="14"/>
  <c r="E73" i="14"/>
  <c r="J73" i="14"/>
  <c r="F73" i="14"/>
  <c r="O73" i="14"/>
  <c r="D73" i="14"/>
  <c r="H73" i="14"/>
  <c r="N73" i="14"/>
  <c r="M73" i="14"/>
  <c r="L73" i="14"/>
  <c r="I73" i="14"/>
  <c r="K73" i="14"/>
  <c r="G73" i="14"/>
  <c r="E75" i="14"/>
  <c r="N75" i="14"/>
  <c r="H75" i="14"/>
  <c r="J75" i="14"/>
  <c r="D75" i="14"/>
  <c r="M75" i="14"/>
  <c r="F75" i="14"/>
  <c r="L75" i="14"/>
  <c r="K75" i="14"/>
  <c r="G75" i="14"/>
  <c r="O75" i="14"/>
  <c r="I75" i="14"/>
  <c r="E77" i="14"/>
  <c r="I77" i="14"/>
  <c r="K77" i="14"/>
  <c r="F77" i="14"/>
  <c r="N77" i="14"/>
  <c r="O77" i="14"/>
  <c r="H77" i="14"/>
  <c r="M77" i="14"/>
  <c r="L77" i="14"/>
  <c r="G77" i="14"/>
  <c r="J77" i="14"/>
  <c r="D77" i="14"/>
  <c r="E79" i="14"/>
  <c r="N79" i="14"/>
  <c r="D79" i="14"/>
  <c r="M79" i="14"/>
  <c r="H79" i="14"/>
  <c r="L79" i="14"/>
  <c r="J79" i="14"/>
  <c r="K79" i="14"/>
  <c r="G79" i="14"/>
  <c r="F79" i="14"/>
  <c r="O79" i="14"/>
  <c r="I79" i="14"/>
  <c r="L81" i="14"/>
  <c r="G81" i="14"/>
  <c r="I81" i="14"/>
  <c r="K81" i="14"/>
  <c r="E81" i="14"/>
  <c r="J81" i="14"/>
  <c r="F81" i="14"/>
  <c r="O81" i="14"/>
  <c r="H81" i="14"/>
  <c r="D81" i="14"/>
  <c r="N81" i="14"/>
  <c r="M81" i="14"/>
  <c r="E83" i="14"/>
  <c r="D83" i="14"/>
  <c r="N83" i="14"/>
  <c r="H83" i="14"/>
  <c r="M83" i="14"/>
  <c r="J83" i="14"/>
  <c r="K83" i="14"/>
  <c r="G83" i="14"/>
  <c r="L83" i="14"/>
  <c r="F83" i="14"/>
  <c r="O83" i="14"/>
  <c r="I83" i="14"/>
  <c r="E85" i="14"/>
  <c r="D85" i="14"/>
  <c r="H85" i="14"/>
  <c r="O85" i="14"/>
  <c r="N85" i="14"/>
  <c r="M85" i="14"/>
  <c r="F85" i="14"/>
  <c r="J85" i="14"/>
  <c r="L85" i="14"/>
  <c r="K85" i="14"/>
  <c r="G85" i="14"/>
  <c r="I85" i="14"/>
  <c r="E87" i="14"/>
  <c r="H87" i="14"/>
  <c r="O87" i="14"/>
  <c r="N87" i="14"/>
  <c r="D87" i="14"/>
  <c r="J87" i="14"/>
  <c r="M87" i="14"/>
  <c r="F87" i="14"/>
  <c r="L87" i="14"/>
  <c r="I87" i="14"/>
  <c r="K87" i="14"/>
  <c r="G87" i="14"/>
  <c r="E89" i="14"/>
  <c r="J89" i="14"/>
  <c r="F89" i="14"/>
  <c r="H89" i="14"/>
  <c r="D89" i="14"/>
  <c r="N89" i="14"/>
  <c r="M89" i="14"/>
  <c r="L89" i="14"/>
  <c r="O89" i="14"/>
  <c r="I89" i="14"/>
  <c r="K89" i="14"/>
  <c r="G89" i="14"/>
  <c r="L91" i="14"/>
  <c r="K91" i="14"/>
  <c r="G91" i="14"/>
  <c r="E91" i="14"/>
  <c r="O91" i="14"/>
  <c r="H91" i="14"/>
  <c r="D91" i="14"/>
  <c r="N91" i="14"/>
  <c r="I91" i="14"/>
  <c r="J91" i="14"/>
  <c r="F91" i="14"/>
  <c r="M91" i="14"/>
  <c r="E93" i="14"/>
  <c r="D93" i="14"/>
  <c r="H93" i="14"/>
  <c r="O93" i="14"/>
  <c r="N93" i="14"/>
  <c r="M93" i="14"/>
  <c r="F93" i="14"/>
  <c r="J93" i="14"/>
  <c r="L93" i="14"/>
  <c r="K93" i="14"/>
  <c r="G93" i="14"/>
  <c r="I93" i="14"/>
  <c r="E95" i="14"/>
  <c r="H95" i="14"/>
  <c r="D95" i="14"/>
  <c r="N95" i="14"/>
  <c r="O95" i="14"/>
  <c r="F95" i="14"/>
  <c r="M95" i="14"/>
  <c r="J95" i="14"/>
  <c r="I95" i="14"/>
  <c r="L95" i="14"/>
  <c r="K95" i="14"/>
  <c r="G95" i="14"/>
  <c r="S14" i="8"/>
  <c r="S12" i="8"/>
  <c r="S10" i="8"/>
  <c r="S8" i="8"/>
  <c r="S6" i="8"/>
  <c r="S4" i="8"/>
  <c r="N14" i="8"/>
  <c r="N12" i="8"/>
  <c r="N10" i="8"/>
  <c r="N8" i="8"/>
  <c r="N6" i="8"/>
  <c r="N4" i="8"/>
  <c r="I14" i="8"/>
  <c r="I12" i="8"/>
  <c r="I10" i="8"/>
  <c r="I8" i="8"/>
  <c r="I6" i="8"/>
  <c r="I4" i="8"/>
  <c r="D14" i="8"/>
  <c r="D12" i="8"/>
  <c r="D10" i="8"/>
  <c r="D8" i="8"/>
  <c r="D6" i="8"/>
  <c r="D4" i="8"/>
  <c r="S15" i="8"/>
  <c r="S13" i="8"/>
  <c r="S11" i="8"/>
  <c r="S9" i="8"/>
  <c r="S7" i="8"/>
  <c r="S5" i="8"/>
  <c r="N15" i="8"/>
  <c r="N13" i="8"/>
  <c r="N11" i="8"/>
  <c r="N9" i="8"/>
  <c r="N7" i="8"/>
  <c r="N5" i="8"/>
  <c r="I15" i="8"/>
  <c r="I13" i="8"/>
  <c r="I11" i="8"/>
  <c r="I9" i="8"/>
  <c r="I7" i="8"/>
  <c r="I5" i="8"/>
  <c r="D15" i="8"/>
  <c r="D13" i="8"/>
  <c r="D11" i="8"/>
  <c r="D9" i="8"/>
  <c r="D7" i="8"/>
  <c r="D5" i="8"/>
  <c r="P95" i="14" l="1"/>
  <c r="D93" i="3" s="1"/>
  <c r="C95" i="14"/>
  <c r="B93" i="3" s="1"/>
  <c r="C94" i="14"/>
  <c r="B92" i="3" s="1"/>
  <c r="P94" i="14"/>
  <c r="D92" i="3" s="1"/>
  <c r="C85" i="14"/>
  <c r="B83" i="3" s="1"/>
  <c r="P87" i="14"/>
  <c r="D85" i="3" s="1"/>
  <c r="P86" i="14"/>
  <c r="D84" i="3" s="1"/>
  <c r="P93" i="14"/>
  <c r="D91" i="3" s="1"/>
  <c r="P90" i="14"/>
  <c r="D88" i="3" s="1"/>
  <c r="P92" i="14"/>
  <c r="D90" i="3" s="1"/>
  <c r="C88" i="14"/>
  <c r="B86" i="3" s="1"/>
  <c r="P84" i="14"/>
  <c r="D82" i="3" s="1"/>
  <c r="P91" i="14"/>
  <c r="D89" i="3" s="1"/>
  <c r="C91" i="14"/>
  <c r="B89" i="3" s="1"/>
  <c r="C92" i="14"/>
  <c r="B90" i="3" s="1"/>
  <c r="C87" i="14"/>
  <c r="B85" i="3" s="1"/>
  <c r="C93" i="14"/>
  <c r="B91" i="3" s="1"/>
  <c r="C86" i="14"/>
  <c r="B84" i="3" s="1"/>
  <c r="C89" i="14"/>
  <c r="B87" i="3" s="1"/>
  <c r="C90" i="14"/>
  <c r="B88" i="3" s="1"/>
  <c r="C84" i="14"/>
  <c r="B82" i="3" s="1"/>
  <c r="P88" i="14"/>
  <c r="D86" i="3" s="1"/>
  <c r="P89" i="14"/>
  <c r="D87" i="3" s="1"/>
  <c r="P85" i="14"/>
  <c r="D83" i="3" s="1"/>
  <c r="C54" i="14"/>
  <c r="B52" i="3" s="1"/>
  <c r="P52" i="14"/>
  <c r="D50" i="3" s="1"/>
  <c r="C65" i="14"/>
  <c r="B63" i="3" s="1"/>
  <c r="C45" i="14"/>
  <c r="B43" i="3" s="1"/>
  <c r="P68" i="14"/>
  <c r="D66" i="3" s="1"/>
  <c r="C68" i="14"/>
  <c r="B66" i="3" s="1"/>
  <c r="C60" i="14"/>
  <c r="B58" i="3" s="1"/>
  <c r="P79" i="14"/>
  <c r="D77" i="3" s="1"/>
  <c r="P60" i="14"/>
  <c r="D58" i="3" s="1"/>
  <c r="P45" i="14"/>
  <c r="D43" i="3" s="1"/>
  <c r="P63" i="14"/>
  <c r="D61" i="3" s="1"/>
  <c r="P71" i="14"/>
  <c r="D69" i="3" s="1"/>
  <c r="P37" i="14"/>
  <c r="D35" i="3" s="1"/>
  <c r="P65" i="14"/>
  <c r="D63" i="3" s="1"/>
  <c r="P82" i="14"/>
  <c r="D80" i="3" s="1"/>
  <c r="C46" i="14"/>
  <c r="B44" i="3" s="1"/>
  <c r="C44" i="14"/>
  <c r="B42" i="3" s="1"/>
  <c r="C36" i="14"/>
  <c r="B34" i="3" s="1"/>
  <c r="C76" i="14"/>
  <c r="B74" i="3" s="1"/>
  <c r="C81" i="14"/>
  <c r="B79" i="3" s="1"/>
  <c r="P47" i="14"/>
  <c r="D45" i="3" s="1"/>
  <c r="C47" i="14"/>
  <c r="B45" i="3" s="1"/>
  <c r="C69" i="14"/>
  <c r="B67" i="3" s="1"/>
  <c r="C55" i="14"/>
  <c r="B53" i="3" s="1"/>
  <c r="C43" i="14"/>
  <c r="B41" i="3" s="1"/>
  <c r="C37" i="14"/>
  <c r="B35" i="3" s="1"/>
  <c r="P76" i="14"/>
  <c r="D74" i="3" s="1"/>
  <c r="P56" i="14"/>
  <c r="D54" i="3" s="1"/>
  <c r="P69" i="14"/>
  <c r="D67" i="3" s="1"/>
  <c r="P74" i="14"/>
  <c r="D72" i="3" s="1"/>
  <c r="P62" i="14"/>
  <c r="D60" i="3" s="1"/>
  <c r="P43" i="14"/>
  <c r="D41" i="3" s="1"/>
  <c r="P75" i="14"/>
  <c r="D73" i="3" s="1"/>
  <c r="P59" i="14"/>
  <c r="D57" i="3" s="1"/>
  <c r="P36" i="14"/>
  <c r="D34" i="3" s="1"/>
  <c r="C73" i="14"/>
  <c r="B71" i="3" s="1"/>
  <c r="C52" i="14"/>
  <c r="B50" i="3" s="1"/>
  <c r="P80" i="14"/>
  <c r="D78" i="3" s="1"/>
  <c r="P42" i="14"/>
  <c r="D40" i="3" s="1"/>
  <c r="P44" i="14"/>
  <c r="D42" i="3" s="1"/>
  <c r="C67" i="14"/>
  <c r="B65" i="3" s="1"/>
  <c r="C74" i="14"/>
  <c r="B72" i="3" s="1"/>
  <c r="P72" i="14"/>
  <c r="D70" i="3" s="1"/>
  <c r="P49" i="14"/>
  <c r="D47" i="3" s="1"/>
  <c r="P41" i="14"/>
  <c r="D39" i="3" s="1"/>
  <c r="P61" i="14"/>
  <c r="D59" i="3" s="1"/>
  <c r="P57" i="14"/>
  <c r="D55" i="3" s="1"/>
  <c r="P54" i="14"/>
  <c r="D52" i="3" s="1"/>
  <c r="C77" i="14"/>
  <c r="B75" i="3" s="1"/>
  <c r="C75" i="14"/>
  <c r="B73" i="3" s="1"/>
  <c r="C53" i="14"/>
  <c r="B51" i="3" s="1"/>
  <c r="C56" i="14"/>
  <c r="B54" i="3" s="1"/>
  <c r="C49" i="14"/>
  <c r="B47" i="3" s="1"/>
  <c r="P81" i="14"/>
  <c r="D79" i="3" s="1"/>
  <c r="P46" i="14"/>
  <c r="D44" i="3" s="1"/>
  <c r="P66" i="14"/>
  <c r="D64" i="3" s="1"/>
  <c r="P67" i="14"/>
  <c r="D65" i="3" s="1"/>
  <c r="P48" i="14"/>
  <c r="D46" i="3" s="1"/>
  <c r="P40" i="14"/>
  <c r="D38" i="3" s="1"/>
  <c r="C61" i="14"/>
  <c r="B59" i="3" s="1"/>
  <c r="C50" i="14"/>
  <c r="B48" i="3" s="1"/>
  <c r="C40" i="14"/>
  <c r="B38" i="3" s="1"/>
  <c r="C80" i="14"/>
  <c r="B78" i="3" s="1"/>
  <c r="C78" i="14"/>
  <c r="B76" i="3" s="1"/>
  <c r="C70" i="14"/>
  <c r="B68" i="3" s="1"/>
  <c r="C62" i="14"/>
  <c r="B60" i="3" s="1"/>
  <c r="C58" i="14"/>
  <c r="B56" i="3" s="1"/>
  <c r="C41" i="14"/>
  <c r="B39" i="3" s="1"/>
  <c r="P53" i="14"/>
  <c r="D51" i="3" s="1"/>
  <c r="P78" i="14"/>
  <c r="D76" i="3" s="1"/>
  <c r="P58" i="14"/>
  <c r="D56" i="3" s="1"/>
  <c r="P83" i="14"/>
  <c r="D81" i="3" s="1"/>
  <c r="C71" i="14"/>
  <c r="B69" i="3" s="1"/>
  <c r="C57" i="14"/>
  <c r="B55" i="3" s="1"/>
  <c r="C79" i="14"/>
  <c r="B77" i="3" s="1"/>
  <c r="C63" i="14"/>
  <c r="B61" i="3" s="1"/>
  <c r="C59" i="14"/>
  <c r="B57" i="3" s="1"/>
  <c r="C48" i="14"/>
  <c r="B46" i="3" s="1"/>
  <c r="C42" i="14"/>
  <c r="B40" i="3" s="1"/>
  <c r="C72" i="14"/>
  <c r="B70" i="3" s="1"/>
  <c r="P64" i="14"/>
  <c r="D62" i="3" s="1"/>
  <c r="P50" i="14"/>
  <c r="D48" i="3" s="1"/>
  <c r="P38" i="14"/>
  <c r="D36" i="3" s="1"/>
  <c r="P39" i="14"/>
  <c r="D37" i="3" s="1"/>
  <c r="P55" i="14"/>
  <c r="D53" i="3" s="1"/>
  <c r="C83" i="14"/>
  <c r="B81" i="3" s="1"/>
  <c r="C51" i="14"/>
  <c r="B49" i="3" s="1"/>
  <c r="C38" i="14"/>
  <c r="B36" i="3" s="1"/>
  <c r="C82" i="14"/>
  <c r="B80" i="3" s="1"/>
  <c r="C66" i="14"/>
  <c r="B64" i="3" s="1"/>
  <c r="C64" i="14"/>
  <c r="B62" i="3" s="1"/>
  <c r="C39" i="14"/>
  <c r="B37" i="3" s="1"/>
  <c r="P77" i="14"/>
  <c r="D75" i="3" s="1"/>
  <c r="P73" i="14"/>
  <c r="D71" i="3" s="1"/>
  <c r="P70" i="14"/>
  <c r="D68" i="3" s="1"/>
  <c r="P51" i="14"/>
  <c r="D49" i="3" s="1"/>
  <c r="C35" i="14"/>
  <c r="B33" i="3" s="1"/>
  <c r="P35" i="14"/>
  <c r="D33" i="3" s="1"/>
  <c r="P34" i="14"/>
  <c r="D32" i="3" s="1"/>
  <c r="C34" i="14"/>
  <c r="B32" i="3" s="1"/>
  <c r="C33" i="14"/>
  <c r="B31" i="3" s="1"/>
  <c r="P33" i="14"/>
  <c r="D31" i="3" s="1"/>
  <c r="C32" i="14"/>
  <c r="B30" i="3" s="1"/>
  <c r="P32" i="14"/>
  <c r="D30" i="3" s="1"/>
  <c r="C31" i="14"/>
  <c r="B29" i="3" s="1"/>
  <c r="P31" i="14"/>
  <c r="D29" i="3" s="1"/>
  <c r="P30" i="14"/>
  <c r="D28" i="3" s="1"/>
  <c r="C30" i="14"/>
  <c r="B28" i="3" s="1"/>
  <c r="I1" i="17"/>
  <c r="P29" i="14"/>
  <c r="D27" i="3" s="1"/>
  <c r="C29" i="14"/>
  <c r="B27" i="3" s="1"/>
  <c r="P21" i="14"/>
  <c r="D19" i="3" s="1"/>
  <c r="P11" i="14"/>
  <c r="D9" i="3" s="1"/>
  <c r="P4" i="14"/>
  <c r="D2" i="3" s="1"/>
  <c r="P9" i="14"/>
  <c r="D7" i="3" s="1"/>
  <c r="P25" i="14"/>
  <c r="D23" i="3" s="1"/>
  <c r="P13" i="14"/>
  <c r="D11" i="3" s="1"/>
  <c r="P22" i="14"/>
  <c r="D20" i="3" s="1"/>
  <c r="P14" i="14"/>
  <c r="D12" i="3" s="1"/>
  <c r="P15" i="14"/>
  <c r="D13" i="3" s="1"/>
  <c r="P23" i="14"/>
  <c r="D21" i="3" s="1"/>
  <c r="P28" i="14"/>
  <c r="D26" i="3" s="1"/>
  <c r="P17" i="14"/>
  <c r="D15" i="3" s="1"/>
  <c r="P6" i="14"/>
  <c r="D4" i="3" s="1"/>
  <c r="P26" i="14"/>
  <c r="D24" i="3" s="1"/>
  <c r="P18" i="14"/>
  <c r="D16" i="3" s="1"/>
  <c r="P5" i="14"/>
  <c r="D3" i="3" s="1"/>
  <c r="P16" i="14"/>
  <c r="D14" i="3" s="1"/>
  <c r="P10" i="14"/>
  <c r="D8" i="3" s="1"/>
  <c r="P8" i="14"/>
  <c r="D6" i="3" s="1"/>
  <c r="P27" i="14"/>
  <c r="D25" i="3" s="1"/>
  <c r="P7" i="14"/>
  <c r="D5" i="3" s="1"/>
  <c r="P24" i="14"/>
  <c r="D22" i="3" s="1"/>
  <c r="P20" i="14"/>
  <c r="D18" i="3" s="1"/>
  <c r="P19" i="14"/>
  <c r="D17" i="3" s="1"/>
  <c r="P12" i="14"/>
  <c r="D10" i="3" s="1"/>
  <c r="C12" i="14"/>
  <c r="B10" i="3" s="1"/>
  <c r="C20" i="14"/>
  <c r="B18" i="3" s="1"/>
  <c r="C16" i="14"/>
  <c r="B14" i="3" s="1"/>
  <c r="C7" i="14"/>
  <c r="B5" i="3" s="1"/>
  <c r="C17" i="14"/>
  <c r="B15" i="3" s="1"/>
  <c r="C13" i="14"/>
  <c r="B11" i="3" s="1"/>
  <c r="C4" i="14"/>
  <c r="B2" i="3" s="1"/>
  <c r="C6" i="14"/>
  <c r="B4" i="3" s="1"/>
  <c r="C10" i="14"/>
  <c r="B8" i="3" s="1"/>
  <c r="C24" i="14"/>
  <c r="B22" i="3" s="1"/>
  <c r="C9" i="14"/>
  <c r="B7" i="3" s="1"/>
  <c r="C5" i="14"/>
  <c r="B3" i="3" s="1"/>
  <c r="C21" i="14"/>
  <c r="B19" i="3" s="1"/>
  <c r="C19" i="14"/>
  <c r="B17" i="3" s="1"/>
  <c r="C28" i="14"/>
  <c r="B26" i="3" s="1"/>
  <c r="C26" i="14"/>
  <c r="B24" i="3" s="1"/>
  <c r="C18" i="14"/>
  <c r="B16" i="3" s="1"/>
  <c r="C8" i="14"/>
  <c r="B6" i="3" s="1"/>
  <c r="C11" i="14"/>
  <c r="B9" i="3" s="1"/>
  <c r="C23" i="14"/>
  <c r="B21" i="3" s="1"/>
  <c r="C15" i="14"/>
  <c r="B13" i="3" s="1"/>
  <c r="C22" i="14"/>
  <c r="B20" i="3" s="1"/>
  <c r="C14" i="14"/>
  <c r="B12" i="3" s="1"/>
  <c r="C27" i="14"/>
  <c r="B25" i="3" s="1"/>
  <c r="C25" i="14"/>
  <c r="B23" i="3" s="1"/>
  <c r="G7" i="3" l="1"/>
  <c r="G3" i="3" l="1"/>
  <c r="G12" i="3" s="1"/>
  <c r="G9" i="3" l="1"/>
  <c r="C92" i="3" l="1"/>
  <c r="C93" i="3"/>
  <c r="H5" i="3"/>
  <c r="C84" i="3"/>
  <c r="C83" i="3"/>
  <c r="C91" i="3"/>
  <c r="C90" i="3"/>
  <c r="C87" i="3"/>
  <c r="C86" i="3"/>
  <c r="C85" i="3"/>
  <c r="C82" i="3"/>
  <c r="C88" i="3"/>
  <c r="C89" i="3"/>
  <c r="C81" i="3"/>
  <c r="C43" i="3"/>
  <c r="C79" i="3"/>
  <c r="C38" i="3"/>
  <c r="C56" i="3"/>
  <c r="C36" i="3"/>
  <c r="C34" i="3"/>
  <c r="C53" i="3"/>
  <c r="C75" i="3"/>
  <c r="C76" i="3"/>
  <c r="C77" i="3"/>
  <c r="C80" i="3"/>
  <c r="C58" i="3"/>
  <c r="C71" i="3"/>
  <c r="C73" i="3"/>
  <c r="C60" i="3"/>
  <c r="C61" i="3"/>
  <c r="C64" i="3"/>
  <c r="C67" i="3"/>
  <c r="C50" i="3"/>
  <c r="C51" i="3"/>
  <c r="C39" i="3"/>
  <c r="C57" i="3"/>
  <c r="C62" i="3"/>
  <c r="C41" i="3"/>
  <c r="C42" i="3"/>
  <c r="C54" i="3"/>
  <c r="C59" i="3"/>
  <c r="C46" i="3"/>
  <c r="C37" i="3"/>
  <c r="C68" i="3"/>
  <c r="C35" i="3"/>
  <c r="C45" i="3"/>
  <c r="C47" i="3"/>
  <c r="C48" i="3"/>
  <c r="C40" i="3"/>
  <c r="C63" i="3"/>
  <c r="C49" i="3"/>
  <c r="C44" i="3"/>
  <c r="C65" i="3"/>
  <c r="C69" i="3"/>
  <c r="C78" i="3"/>
  <c r="C70" i="3"/>
  <c r="C74" i="3"/>
  <c r="C66" i="3"/>
  <c r="C72" i="3"/>
  <c r="C55" i="3"/>
  <c r="C52" i="3"/>
  <c r="C32" i="3"/>
  <c r="C33" i="3"/>
  <c r="C30" i="3"/>
  <c r="C31" i="3"/>
  <c r="C28" i="3"/>
  <c r="C29" i="3"/>
  <c r="C26" i="3"/>
  <c r="C27" i="3"/>
  <c r="H3" i="3"/>
  <c r="C25" i="3"/>
  <c r="H9" i="3"/>
  <c r="H2" i="3"/>
  <c r="H4" i="3"/>
  <c r="H6" i="3"/>
  <c r="H11" i="3"/>
  <c r="C18" i="3"/>
  <c r="C24" i="3"/>
  <c r="C6" i="3"/>
  <c r="C7" i="3"/>
  <c r="C5" i="3"/>
  <c r="C10" i="3"/>
  <c r="C22" i="3"/>
  <c r="C12" i="3"/>
  <c r="C4" i="3"/>
  <c r="C8" i="3"/>
  <c r="C13" i="3"/>
  <c r="C2" i="3"/>
  <c r="C17" i="3"/>
  <c r="C9" i="3"/>
  <c r="C16" i="3"/>
  <c r="C19" i="3"/>
  <c r="C14" i="3"/>
  <c r="C15" i="3"/>
  <c r="C3" i="3"/>
  <c r="C20" i="3"/>
  <c r="C11" i="3"/>
  <c r="C23" i="3"/>
  <c r="C21" i="3"/>
  <c r="H7" i="3"/>
</calcChain>
</file>

<file path=xl/comments1.xml><?xml version="1.0" encoding="utf-8"?>
<comments xmlns="http://schemas.openxmlformats.org/spreadsheetml/2006/main">
  <authors>
    <author>Author</author>
  </authors>
  <commentList>
    <comment ref="A1" authorId="0">
      <text>
        <r>
          <rPr>
            <b/>
            <sz val="8"/>
            <color indexed="81"/>
            <rFont val="Tahoma"/>
            <family val="2"/>
          </rPr>
          <t xml:space="preserve">Date
</t>
        </r>
        <r>
          <rPr>
            <sz val="8"/>
            <color indexed="81"/>
            <rFont val="Tahoma"/>
            <family val="2"/>
          </rPr>
          <t xml:space="preserve">The date when arb was placed.
</t>
        </r>
        <r>
          <rPr>
            <b/>
            <sz val="8"/>
            <color indexed="81"/>
            <rFont val="Tahoma"/>
            <family val="2"/>
          </rPr>
          <t>NOTE!</t>
        </r>
        <r>
          <rPr>
            <sz val="8"/>
            <color indexed="81"/>
            <rFont val="Tahoma"/>
            <family val="2"/>
          </rPr>
          <t xml:space="preserve"> In order for the MonthStats tab to display correct stats, these cells must be formatted like:
YYMMDD</t>
        </r>
      </text>
    </comment>
    <comment ref="B1" authorId="0">
      <text>
        <r>
          <rPr>
            <b/>
            <sz val="8"/>
            <color indexed="81"/>
            <rFont val="Tahoma"/>
            <family val="2"/>
          </rPr>
          <t xml:space="preserve">Sport
</t>
        </r>
        <r>
          <rPr>
            <i/>
            <sz val="8"/>
            <color indexed="81"/>
            <rFont val="Tahoma"/>
            <family val="2"/>
          </rPr>
          <t>Type of sport</t>
        </r>
      </text>
    </comment>
    <comment ref="C1" authorId="0">
      <text>
        <r>
          <rPr>
            <b/>
            <sz val="8"/>
            <color indexed="81"/>
            <rFont val="Tahoma"/>
            <family val="2"/>
          </rPr>
          <t xml:space="preserve">Bookie 1
</t>
        </r>
        <r>
          <rPr>
            <i/>
            <sz val="8"/>
            <color indexed="81"/>
            <rFont val="Tahoma"/>
            <family val="2"/>
          </rPr>
          <t>Bookmaker outcome 1</t>
        </r>
        <r>
          <rPr>
            <b/>
            <sz val="8"/>
            <color indexed="81"/>
            <rFont val="Tahoma"/>
            <family val="2"/>
          </rPr>
          <t xml:space="preserve">
Please see the "BooksAndSports" tab for abbrevations</t>
        </r>
      </text>
    </comment>
    <comment ref="F1" authorId="0">
      <text>
        <r>
          <rPr>
            <b/>
            <sz val="8"/>
            <color indexed="81"/>
            <rFont val="Tahoma"/>
            <family val="2"/>
          </rPr>
          <t xml:space="preserve">Commission%
</t>
        </r>
        <r>
          <rPr>
            <sz val="8"/>
            <color indexed="81"/>
            <rFont val="Tahoma"/>
            <family val="2"/>
          </rPr>
          <t>Only fill this in if you place a BackBet with an exchange.</t>
        </r>
      </text>
    </comment>
    <comment ref="J1" authorId="0">
      <text>
        <r>
          <rPr>
            <b/>
            <sz val="8"/>
            <color indexed="81"/>
            <rFont val="Tahoma"/>
            <family val="2"/>
          </rPr>
          <t xml:space="preserve">Odds 1
</t>
        </r>
        <r>
          <rPr>
            <sz val="8"/>
            <color indexed="81"/>
            <rFont val="Tahoma"/>
            <family val="2"/>
          </rPr>
          <t>The odds of outcome 1</t>
        </r>
      </text>
    </comment>
    <comment ref="M1" authorId="0">
      <text>
        <r>
          <rPr>
            <b/>
            <sz val="8"/>
            <color indexed="81"/>
            <rFont val="Tahoma"/>
            <family val="2"/>
          </rPr>
          <t xml:space="preserve">Stake 1
</t>
        </r>
        <r>
          <rPr>
            <i/>
            <sz val="8"/>
            <color indexed="81"/>
            <rFont val="Tahoma"/>
            <family val="2"/>
          </rPr>
          <t>Stake outcome 1</t>
        </r>
      </text>
    </comment>
    <comment ref="W1" authorId="0">
      <text>
        <r>
          <rPr>
            <b/>
            <sz val="8"/>
            <color indexed="81"/>
            <rFont val="Tahoma"/>
            <family val="2"/>
          </rPr>
          <t xml:space="preserve">Total Stake
</t>
        </r>
        <r>
          <rPr>
            <i/>
            <sz val="8"/>
            <color indexed="81"/>
            <rFont val="Tahoma"/>
            <family val="2"/>
          </rPr>
          <t>The combined stake of S1, SX and S2</t>
        </r>
      </text>
    </comment>
    <comment ref="Y1" authorId="0">
      <text>
        <r>
          <rPr>
            <b/>
            <sz val="8"/>
            <color indexed="81"/>
            <rFont val="Tahoma"/>
            <family val="2"/>
          </rPr>
          <t xml:space="preserve">Result 1
</t>
        </r>
        <r>
          <rPr>
            <i/>
            <sz val="8"/>
            <color indexed="81"/>
            <rFont val="Tahoma"/>
            <family val="2"/>
          </rPr>
          <t>The possible result if outcome 1</t>
        </r>
      </text>
    </comment>
    <comment ref="AG1" authorId="0">
      <text>
        <r>
          <rPr>
            <b/>
            <sz val="8"/>
            <color indexed="81"/>
            <rFont val="Tahoma"/>
            <family val="2"/>
          </rPr>
          <t xml:space="preserve">Result X
</t>
        </r>
        <r>
          <rPr>
            <i/>
            <sz val="8"/>
            <color indexed="81"/>
            <rFont val="Tahoma"/>
            <family val="2"/>
          </rPr>
          <t>The possible result if outcome X (draw)</t>
        </r>
      </text>
    </comment>
    <comment ref="AH1" authorId="0">
      <text>
        <r>
          <rPr>
            <b/>
            <sz val="8"/>
            <color indexed="81"/>
            <rFont val="Tahoma"/>
            <family val="2"/>
          </rPr>
          <t xml:space="preserve">Result 2
</t>
        </r>
        <r>
          <rPr>
            <i/>
            <sz val="8"/>
            <color indexed="81"/>
            <rFont val="Tahoma"/>
            <family val="2"/>
          </rPr>
          <t>The possible result if outcome 2</t>
        </r>
      </text>
    </comment>
    <comment ref="AI1" authorId="0">
      <text>
        <r>
          <rPr>
            <b/>
            <sz val="8"/>
            <color indexed="81"/>
            <rFont val="Tahoma"/>
            <family val="2"/>
          </rPr>
          <t xml:space="preserve">Running Result
</t>
        </r>
        <r>
          <rPr>
            <i/>
            <sz val="8"/>
            <color indexed="81"/>
            <rFont val="Tahoma"/>
            <family val="2"/>
          </rPr>
          <t>The running result of the ArbBook</t>
        </r>
      </text>
    </comment>
  </commentList>
</comments>
</file>

<file path=xl/comments2.xml><?xml version="1.0" encoding="utf-8"?>
<comments xmlns="http://schemas.openxmlformats.org/spreadsheetml/2006/main">
  <authors>
    <author>Author</author>
  </authors>
  <commentList>
    <comment ref="A1" authorId="0">
      <text>
        <r>
          <rPr>
            <b/>
            <sz val="8"/>
            <color indexed="81"/>
            <rFont val="Tahoma"/>
            <family val="2"/>
          </rPr>
          <t xml:space="preserve">Date:
</t>
        </r>
        <r>
          <rPr>
            <i/>
            <sz val="8"/>
            <color indexed="81"/>
            <rFont val="Tahoma"/>
            <family val="2"/>
          </rPr>
          <t>The date when arb was placed.
NOTE: In order for the MonthStats tab to display correct stats, these cells must be formatted like:
YYMMDD</t>
        </r>
      </text>
    </comment>
    <comment ref="B1" authorId="0">
      <text>
        <r>
          <rPr>
            <b/>
            <sz val="8"/>
            <color indexed="81"/>
            <rFont val="Tahoma"/>
            <family val="2"/>
          </rPr>
          <t xml:space="preserve">Sport:
</t>
        </r>
        <r>
          <rPr>
            <i/>
            <sz val="8"/>
            <color indexed="81"/>
            <rFont val="Tahoma"/>
            <family val="2"/>
          </rPr>
          <t>The abbreviation of the sport.</t>
        </r>
      </text>
    </comment>
    <comment ref="C1" authorId="0">
      <text>
        <r>
          <rPr>
            <b/>
            <sz val="8"/>
            <color indexed="81"/>
            <rFont val="Tahoma"/>
            <family val="2"/>
          </rPr>
          <t xml:space="preserve">BackBook:
</t>
        </r>
        <r>
          <rPr>
            <i/>
            <sz val="8"/>
            <color indexed="81"/>
            <rFont val="Tahoma"/>
            <family val="2"/>
          </rPr>
          <t>The bookie used for placing the back-bet.</t>
        </r>
      </text>
    </comment>
    <comment ref="E1" authorId="0">
      <text>
        <r>
          <rPr>
            <b/>
            <sz val="8"/>
            <color indexed="81"/>
            <rFont val="Tahoma"/>
            <family val="2"/>
          </rPr>
          <t xml:space="preserve">LayBook:
</t>
        </r>
        <r>
          <rPr>
            <i/>
            <sz val="8"/>
            <color indexed="81"/>
            <rFont val="Tahoma"/>
            <family val="2"/>
          </rPr>
          <t>The bookie used for placing the lay-bet.</t>
        </r>
      </text>
    </comment>
    <comment ref="F1" authorId="0">
      <text>
        <r>
          <rPr>
            <b/>
            <sz val="8"/>
            <color indexed="81"/>
            <rFont val="Tahoma"/>
            <family val="2"/>
          </rPr>
          <t xml:space="preserve">Commission %:
</t>
        </r>
        <r>
          <rPr>
            <i/>
            <sz val="8"/>
            <color indexed="81"/>
            <rFont val="Tahoma"/>
            <family val="2"/>
          </rPr>
          <t>Enter your commission% of the Exchange (LayBook) you are using in your arb.</t>
        </r>
      </text>
    </comment>
    <comment ref="H1" authorId="0">
      <text>
        <r>
          <rPr>
            <b/>
            <sz val="8"/>
            <color indexed="81"/>
            <rFont val="Tahoma"/>
            <family val="2"/>
          </rPr>
          <t xml:space="preserve">Played on:
</t>
        </r>
        <r>
          <rPr>
            <i/>
            <sz val="8"/>
            <color indexed="81"/>
            <rFont val="Tahoma"/>
            <family val="2"/>
          </rPr>
          <t>What you played on.
For instance:
"Team1"
"3-3" (correct score)
etc</t>
        </r>
      </text>
    </comment>
    <comment ref="I1" authorId="0">
      <text>
        <r>
          <rPr>
            <b/>
            <sz val="8"/>
            <color indexed="81"/>
            <rFont val="Tahoma"/>
            <family val="2"/>
          </rPr>
          <t xml:space="preserve">BackOdds:
</t>
        </r>
        <r>
          <rPr>
            <i/>
            <sz val="8"/>
            <color indexed="81"/>
            <rFont val="Tahoma"/>
            <family val="2"/>
          </rPr>
          <t>The odds of your back-bet.</t>
        </r>
      </text>
    </comment>
    <comment ref="J1" authorId="0">
      <text>
        <r>
          <rPr>
            <b/>
            <i/>
            <sz val="8"/>
            <color indexed="81"/>
            <rFont val="Tahoma"/>
            <family val="2"/>
          </rPr>
          <t xml:space="preserve">LayOdds:
</t>
        </r>
        <r>
          <rPr>
            <i/>
            <sz val="8"/>
            <color indexed="81"/>
            <rFont val="Tahoma"/>
            <family val="2"/>
          </rPr>
          <t>The odds of your lay-bet (backer's odds).</t>
        </r>
      </text>
    </comment>
    <comment ref="K1" authorId="0">
      <text>
        <r>
          <rPr>
            <b/>
            <sz val="8"/>
            <color indexed="81"/>
            <rFont val="Tahoma"/>
            <family val="2"/>
          </rPr>
          <t xml:space="preserve">BackStake:
</t>
        </r>
        <r>
          <rPr>
            <sz val="8"/>
            <color indexed="81"/>
            <rFont val="Tahoma"/>
            <family val="2"/>
          </rPr>
          <t>The stake of your back-bet.</t>
        </r>
      </text>
    </comment>
    <comment ref="L1" authorId="0">
      <text>
        <r>
          <rPr>
            <b/>
            <sz val="8"/>
            <color indexed="81"/>
            <rFont val="Tahoma"/>
            <family val="2"/>
          </rPr>
          <t xml:space="preserve">LayStake:
</t>
        </r>
        <r>
          <rPr>
            <i/>
            <sz val="8"/>
            <color indexed="81"/>
            <rFont val="Tahoma"/>
            <family val="2"/>
          </rPr>
          <t>The backer's stake of your lay-bet.</t>
        </r>
      </text>
    </comment>
    <comment ref="M1" authorId="0">
      <text>
        <r>
          <rPr>
            <b/>
            <sz val="8"/>
            <color indexed="81"/>
            <rFont val="Tahoma"/>
            <family val="2"/>
          </rPr>
          <t xml:space="preserve">LayLiability:
</t>
        </r>
        <r>
          <rPr>
            <i/>
            <sz val="8"/>
            <color indexed="81"/>
            <rFont val="Tahoma"/>
            <family val="2"/>
          </rPr>
          <t>Your liability of the lay-bet. (Automatically calculated)</t>
        </r>
      </text>
    </comment>
    <comment ref="N1" authorId="0">
      <text>
        <r>
          <rPr>
            <b/>
            <i/>
            <sz val="8"/>
            <color indexed="81"/>
            <rFont val="Tahoma"/>
            <family val="2"/>
          </rPr>
          <t xml:space="preserve">Arb%
</t>
        </r>
        <r>
          <rPr>
            <i/>
            <sz val="8"/>
            <color indexed="81"/>
            <rFont val="Tahoma"/>
            <family val="2"/>
          </rPr>
          <t>The average arb% with commission deducted</t>
        </r>
      </text>
    </comment>
    <comment ref="Q1" authorId="0">
      <text>
        <r>
          <rPr>
            <b/>
            <sz val="8"/>
            <color indexed="81"/>
            <rFont val="Tahoma"/>
            <family val="2"/>
          </rPr>
          <t xml:space="preserve">Total Stake
</t>
        </r>
        <r>
          <rPr>
            <i/>
            <sz val="8"/>
            <color indexed="81"/>
            <rFont val="Tahoma"/>
            <family val="2"/>
          </rPr>
          <t>The combined stake of BackStake and LayLiability</t>
        </r>
      </text>
    </comment>
    <comment ref="R1" authorId="0">
      <text>
        <r>
          <rPr>
            <b/>
            <sz val="8"/>
            <color indexed="81"/>
            <rFont val="Tahoma"/>
            <family val="2"/>
          </rPr>
          <t xml:space="preserve">Rback:
</t>
        </r>
        <r>
          <rPr>
            <i/>
            <sz val="8"/>
            <color indexed="81"/>
            <rFont val="Tahoma"/>
            <family val="2"/>
          </rPr>
          <t>The possible result if the Back-bet hits.</t>
        </r>
      </text>
    </comment>
    <comment ref="S1" authorId="0">
      <text>
        <r>
          <rPr>
            <b/>
            <sz val="8"/>
            <color indexed="81"/>
            <rFont val="Tahoma"/>
            <family val="2"/>
          </rPr>
          <t xml:space="preserve">Rlay:
</t>
        </r>
        <r>
          <rPr>
            <i/>
            <sz val="8"/>
            <color indexed="81"/>
            <rFont val="Tahoma"/>
            <family val="2"/>
          </rPr>
          <t>The possible result if the Lay-bet hits.</t>
        </r>
      </text>
    </comment>
    <comment ref="T1" authorId="0">
      <text>
        <r>
          <rPr>
            <b/>
            <sz val="8"/>
            <color indexed="81"/>
            <rFont val="Tahoma"/>
            <family val="2"/>
          </rPr>
          <t xml:space="preserve">Actual Result
</t>
        </r>
        <r>
          <rPr>
            <i/>
            <sz val="8"/>
            <color indexed="81"/>
            <rFont val="Tahoma"/>
            <family val="2"/>
          </rPr>
          <t>The actual return of the arbitrage (needs the "Outcome" to be filled in)</t>
        </r>
      </text>
    </comment>
    <comment ref="W1" authorId="0">
      <text>
        <r>
          <rPr>
            <b/>
            <sz val="8"/>
            <color indexed="81"/>
            <rFont val="Tahoma"/>
            <family val="2"/>
          </rPr>
          <t xml:space="preserve">% if back
</t>
        </r>
        <r>
          <rPr>
            <i/>
            <sz val="8"/>
            <color indexed="81"/>
            <rFont val="Tahoma"/>
            <family val="2"/>
          </rPr>
          <t>The possible result in % if the back-bet hits.</t>
        </r>
      </text>
    </comment>
    <comment ref="X1" authorId="0">
      <text>
        <r>
          <rPr>
            <b/>
            <sz val="8"/>
            <color indexed="81"/>
            <rFont val="Tahoma"/>
            <family val="2"/>
          </rPr>
          <t xml:space="preserve">% if lay
</t>
        </r>
        <r>
          <rPr>
            <i/>
            <sz val="8"/>
            <color indexed="81"/>
            <rFont val="Tahoma"/>
            <family val="2"/>
          </rPr>
          <t>The possible result in % if the lay-bet hits.</t>
        </r>
      </text>
    </comment>
    <comment ref="Y1" authorId="0">
      <text>
        <r>
          <rPr>
            <b/>
            <sz val="8"/>
            <color indexed="81"/>
            <rFont val="Tahoma"/>
            <family val="2"/>
          </rPr>
          <t xml:space="preserve">Actual %
</t>
        </r>
        <r>
          <rPr>
            <i/>
            <sz val="8"/>
            <color indexed="81"/>
            <rFont val="Tahoma"/>
            <family val="2"/>
          </rPr>
          <t>The actual return in % of the arbitrage</t>
        </r>
      </text>
    </comment>
    <comment ref="AB1" authorId="0">
      <text>
        <r>
          <rPr>
            <b/>
            <sz val="8"/>
            <color indexed="81"/>
            <rFont val="Tahoma"/>
            <family val="2"/>
          </rPr>
          <t xml:space="preserve">Running Result
</t>
        </r>
        <r>
          <rPr>
            <i/>
            <sz val="8"/>
            <color indexed="81"/>
            <rFont val="Tahoma"/>
            <family val="2"/>
          </rPr>
          <t>The running result of the ArbBook</t>
        </r>
      </text>
    </comment>
  </commentList>
</comments>
</file>

<file path=xl/comments3.xml><?xml version="1.0" encoding="utf-8"?>
<comments xmlns="http://schemas.openxmlformats.org/spreadsheetml/2006/main">
  <authors>
    <author>Author</author>
  </authors>
  <commentList>
    <comment ref="A1" authorId="0">
      <text>
        <r>
          <rPr>
            <b/>
            <sz val="8"/>
            <color indexed="81"/>
            <rFont val="Tahoma"/>
            <family val="2"/>
          </rPr>
          <t xml:space="preserve">Bookie
</t>
        </r>
        <r>
          <rPr>
            <i/>
            <sz val="8"/>
            <color indexed="81"/>
            <rFont val="Tahoma"/>
            <family val="2"/>
          </rPr>
          <t>Please do not add new bookies in this column, use the table in "BooksAndSports" to add new bookies to this list</t>
        </r>
      </text>
    </comment>
    <comment ref="B1" authorId="0">
      <text>
        <r>
          <rPr>
            <b/>
            <sz val="8"/>
            <color indexed="81"/>
            <rFont val="Tahoma"/>
            <family val="2"/>
          </rPr>
          <t xml:space="preserve">Bookie Balance
</t>
        </r>
        <r>
          <rPr>
            <i/>
            <sz val="8"/>
            <color indexed="81"/>
            <rFont val="Tahoma"/>
            <family val="2"/>
          </rPr>
          <t>Your current balance on specific bookie</t>
        </r>
      </text>
    </comment>
    <comment ref="C1" authorId="0">
      <text>
        <r>
          <rPr>
            <b/>
            <sz val="8"/>
            <color indexed="81"/>
            <rFont val="Tahoma"/>
            <family val="2"/>
          </rPr>
          <t xml:space="preserve">% of total bankroll
</t>
        </r>
        <r>
          <rPr>
            <i/>
            <sz val="8"/>
            <color indexed="81"/>
            <rFont val="Tahoma"/>
            <family val="2"/>
          </rPr>
          <t>The percentage of your total bankroll distributed on bookie</t>
        </r>
      </text>
    </comment>
    <comment ref="H1" authorId="0">
      <text>
        <r>
          <rPr>
            <b/>
            <sz val="8"/>
            <color indexed="81"/>
            <rFont val="Tahoma"/>
            <family val="2"/>
          </rPr>
          <t xml:space="preserve">%
</t>
        </r>
        <r>
          <rPr>
            <i/>
            <sz val="8"/>
            <color indexed="81"/>
            <rFont val="Tahoma"/>
            <family val="2"/>
          </rPr>
          <t>The amount in percent of your bankroll</t>
        </r>
      </text>
    </comment>
    <comment ref="F2" authorId="0">
      <text>
        <r>
          <rPr>
            <b/>
            <sz val="8"/>
            <color indexed="81"/>
            <rFont val="Tahoma"/>
            <family val="2"/>
          </rPr>
          <t xml:space="preserve">Total Dep/With
</t>
        </r>
        <r>
          <rPr>
            <i/>
            <sz val="8"/>
            <color indexed="81"/>
            <rFont val="Tahoma"/>
            <family val="2"/>
          </rPr>
          <t>To and from your TOTAL bankroll</t>
        </r>
      </text>
    </comment>
    <comment ref="F3" authorId="0">
      <text>
        <r>
          <rPr>
            <b/>
            <sz val="8"/>
            <color indexed="81"/>
            <rFont val="Tahoma"/>
            <family val="2"/>
          </rPr>
          <t xml:space="preserve">Total in Play
</t>
        </r>
        <r>
          <rPr>
            <i/>
            <sz val="8"/>
            <color indexed="81"/>
            <rFont val="Tahoma"/>
            <family val="2"/>
          </rPr>
          <t>The amount that is "in play" at the bookies, ie if you have not filled in the outcome of a match in the ArbLog tab.</t>
        </r>
      </text>
    </comment>
    <comment ref="F4" authorId="0">
      <text>
        <r>
          <rPr>
            <b/>
            <sz val="8"/>
            <color indexed="81"/>
            <rFont val="Tahoma"/>
            <family val="2"/>
          </rPr>
          <t xml:space="preserve">Total Bonuses
</t>
        </r>
        <r>
          <rPr>
            <i/>
            <sz val="8"/>
            <color indexed="81"/>
            <rFont val="Tahoma"/>
            <family val="2"/>
          </rPr>
          <t>The sum of all bonuses and account adjustments</t>
        </r>
      </text>
    </comment>
    <comment ref="F6" authorId="0">
      <text>
        <r>
          <rPr>
            <b/>
            <sz val="8"/>
            <color indexed="81"/>
            <rFont val="Tahoma"/>
            <family val="2"/>
          </rPr>
          <t xml:space="preserve">Account Balance
</t>
        </r>
        <r>
          <rPr>
            <i/>
            <sz val="8"/>
            <color indexed="81"/>
            <rFont val="Tahoma"/>
            <family val="2"/>
          </rPr>
          <t>The total balance of your bankroll that is not spread out on different bookies. 
If, for instance, you only use NETeller, this cell would show the current arbing-balance on your NETeller account.
If you use several E-wallets (NETeller+another ie moneybookers) this cell would show you the combined balance on these two wallets.</t>
        </r>
      </text>
    </comment>
    <comment ref="F7" authorId="0">
      <text>
        <r>
          <rPr>
            <b/>
            <sz val="8"/>
            <color indexed="81"/>
            <rFont val="Tahoma"/>
            <family val="2"/>
          </rPr>
          <t xml:space="preserve">Total Balance on Books
</t>
        </r>
        <r>
          <rPr>
            <i/>
            <sz val="8"/>
            <color indexed="81"/>
            <rFont val="Tahoma"/>
            <family val="2"/>
          </rPr>
          <t>Your total balance in your bookie accounts</t>
        </r>
      </text>
    </comment>
    <comment ref="F9" authorId="0">
      <text>
        <r>
          <rPr>
            <b/>
            <sz val="8"/>
            <color indexed="81"/>
            <rFont val="Tahoma"/>
            <family val="2"/>
          </rPr>
          <t xml:space="preserve">Total Bankroll
</t>
        </r>
        <r>
          <rPr>
            <i/>
            <sz val="8"/>
            <color indexed="81"/>
            <rFont val="Tahoma"/>
            <family val="2"/>
          </rPr>
          <t>Your total bankroll.
Deposits/Withdrawals + Account Balance + BookBalance (including inPlay) + Bonuses + Profit</t>
        </r>
      </text>
    </comment>
    <comment ref="F11" authorId="0">
      <text>
        <r>
          <rPr>
            <b/>
            <sz val="8"/>
            <color indexed="81"/>
            <rFont val="Tahoma"/>
            <family val="2"/>
          </rPr>
          <t xml:space="preserve">Total Profit
</t>
        </r>
        <r>
          <rPr>
            <i/>
            <sz val="8"/>
            <color indexed="81"/>
            <rFont val="Tahoma"/>
            <family val="2"/>
          </rPr>
          <t>Your total winnings of the bets you´ve placed</t>
        </r>
      </text>
    </comment>
    <comment ref="F12" authorId="0">
      <text>
        <r>
          <rPr>
            <b/>
            <sz val="9"/>
            <color indexed="81"/>
            <rFont val="Tahoma"/>
            <family val="2"/>
          </rPr>
          <t>Yield:</t>
        </r>
        <r>
          <rPr>
            <sz val="9"/>
            <color indexed="81"/>
            <rFont val="Tahoma"/>
            <family val="2"/>
          </rPr>
          <t xml:space="preserve">
The Profit ratio applied to the total turnover.
When applied to gambling, Yield measures betting efficiency compared to total turnover.
Basically, it's what you profit per unit placed.</t>
        </r>
      </text>
    </comment>
  </commentList>
</comments>
</file>

<file path=xl/comments4.xml><?xml version="1.0" encoding="utf-8"?>
<comments xmlns="http://schemas.openxmlformats.org/spreadsheetml/2006/main">
  <authors>
    <author>Author</author>
  </authors>
  <commentList>
    <comment ref="C1" authorId="0">
      <text>
        <r>
          <rPr>
            <b/>
            <sz val="8"/>
            <color indexed="81"/>
            <rFont val="Tahoma"/>
            <family val="2"/>
          </rPr>
          <t xml:space="preserve">Type
</t>
        </r>
        <r>
          <rPr>
            <i/>
            <sz val="8"/>
            <color indexed="81"/>
            <rFont val="Tahoma"/>
            <family val="2"/>
          </rPr>
          <t xml:space="preserve">Please advise, theese are deposits/withdrawals </t>
        </r>
        <r>
          <rPr>
            <i/>
            <u/>
            <sz val="8"/>
            <color indexed="81"/>
            <rFont val="Tahoma"/>
            <family val="2"/>
          </rPr>
          <t>within</t>
        </r>
        <r>
          <rPr>
            <i/>
            <sz val="8"/>
            <color indexed="81"/>
            <rFont val="Tahoma"/>
            <family val="2"/>
          </rPr>
          <t xml:space="preserve"> your bankroll. If you wish to register a deposit/withdrawal </t>
        </r>
        <r>
          <rPr>
            <i/>
            <u/>
            <sz val="8"/>
            <color indexed="81"/>
            <rFont val="Tahoma"/>
            <family val="2"/>
          </rPr>
          <t>to/from</t>
        </r>
        <r>
          <rPr>
            <i/>
            <sz val="8"/>
            <color indexed="81"/>
            <rFont val="Tahoma"/>
            <family val="2"/>
          </rPr>
          <t xml:space="preserve"> your bankroll (ie withdraw from your arbing bankroll), please use the table on the right.</t>
        </r>
      </text>
    </comment>
    <comment ref="E1" authorId="0">
      <text>
        <r>
          <rPr>
            <b/>
            <sz val="8"/>
            <color indexed="81"/>
            <rFont val="Tahoma"/>
            <family val="2"/>
          </rPr>
          <t xml:space="preserve">Amount
</t>
        </r>
        <r>
          <rPr>
            <i/>
            <sz val="8"/>
            <color indexed="81"/>
            <rFont val="Tahoma"/>
            <family val="2"/>
          </rPr>
          <t xml:space="preserve">Type in as follows:
</t>
        </r>
        <r>
          <rPr>
            <b/>
            <sz val="8"/>
            <color indexed="81"/>
            <rFont val="Tahoma"/>
            <family val="2"/>
          </rPr>
          <t xml:space="preserve">
</t>
        </r>
        <r>
          <rPr>
            <i/>
            <sz val="8"/>
            <color indexed="81"/>
            <rFont val="Tahoma"/>
            <family val="2"/>
          </rPr>
          <t>Deposits: "430"
Withdrawals: "-430"
Without the ""</t>
        </r>
      </text>
    </comment>
    <comment ref="J1" authorId="0">
      <text>
        <r>
          <rPr>
            <b/>
            <sz val="8"/>
            <color indexed="81"/>
            <rFont val="Tahoma"/>
            <family val="2"/>
          </rPr>
          <t xml:space="preserve">To or from bankroll
</t>
        </r>
        <r>
          <rPr>
            <i/>
            <sz val="8"/>
            <color indexed="81"/>
            <rFont val="Tahoma"/>
            <family val="2"/>
          </rPr>
          <t xml:space="preserve">These are deposits and withdrawals to or from you TOTAL bankroll. Use this table if you are depositing or withdrawing money to or from your betting bankroll.
For deposits and withdrawals </t>
        </r>
        <r>
          <rPr>
            <b/>
            <i/>
            <sz val="8"/>
            <color indexed="81"/>
            <rFont val="Tahoma"/>
            <family val="2"/>
          </rPr>
          <t>within</t>
        </r>
        <r>
          <rPr>
            <i/>
            <sz val="8"/>
            <color indexed="81"/>
            <rFont val="Tahoma"/>
            <family val="2"/>
          </rPr>
          <t xml:space="preserve"> your bankroll, please use the table to the left.</t>
        </r>
      </text>
    </comment>
    <comment ref="K2" authorId="0">
      <text>
        <r>
          <rPr>
            <b/>
            <sz val="8"/>
            <color indexed="81"/>
            <rFont val="Tahoma"/>
            <family val="2"/>
          </rPr>
          <t xml:space="preserve">Starting Balance
</t>
        </r>
        <r>
          <rPr>
            <i/>
            <sz val="8"/>
            <color indexed="81"/>
            <rFont val="Tahoma"/>
            <family val="2"/>
          </rPr>
          <t>Please enter your starting balance here for correct statistics.</t>
        </r>
      </text>
    </comment>
    <comment ref="S2" authorId="0">
      <text>
        <r>
          <rPr>
            <b/>
            <sz val="8"/>
            <color indexed="81"/>
            <rFont val="Tahoma"/>
            <family val="2"/>
          </rPr>
          <t xml:space="preserve">Bonuses
</t>
        </r>
        <r>
          <rPr>
            <i/>
            <sz val="8"/>
            <color indexed="81"/>
            <rFont val="Tahoma"/>
            <family val="2"/>
          </rPr>
          <t>Please enter your bonus money in this table.
A bonus of ie $100 from TheGreek adds $100 to TheGreeks bookie balance, but does not affect your E-wallet balance, since that has not changed.</t>
        </r>
      </text>
    </comment>
  </commentList>
</comments>
</file>

<file path=xl/comments5.xml><?xml version="1.0" encoding="utf-8"?>
<comments xmlns="http://schemas.openxmlformats.org/spreadsheetml/2006/main">
  <authors>
    <author>Author</author>
  </authors>
  <commentList>
    <comment ref="A1" authorId="0">
      <text>
        <r>
          <rPr>
            <b/>
            <sz val="8"/>
            <color indexed="81"/>
            <rFont val="Tahoma"/>
            <family val="2"/>
          </rPr>
          <t xml:space="preserve">Outcome dropdown
</t>
        </r>
        <r>
          <rPr>
            <i/>
            <sz val="8"/>
            <color indexed="81"/>
            <rFont val="Tahoma"/>
            <family val="2"/>
          </rPr>
          <t>Dropdown lists minimizes the risk of misstyping in the ArbLog</t>
        </r>
      </text>
    </comment>
    <comment ref="D1" authorId="0">
      <text>
        <r>
          <rPr>
            <b/>
            <sz val="8"/>
            <color indexed="81"/>
            <rFont val="Tahoma"/>
            <family val="2"/>
          </rPr>
          <t xml:space="preserve">Sport dropdown
</t>
        </r>
        <r>
          <rPr>
            <i/>
            <sz val="8"/>
            <color indexed="81"/>
            <rFont val="Tahoma"/>
            <family val="2"/>
          </rPr>
          <t>Add new sports below by pressing TAB at the end of the table.</t>
        </r>
      </text>
    </comment>
    <comment ref="H1" authorId="0">
      <text>
        <r>
          <rPr>
            <b/>
            <sz val="8"/>
            <color indexed="81"/>
            <rFont val="Tahoma"/>
            <family val="2"/>
          </rPr>
          <t xml:space="preserve">Bookmaker dropdown
</t>
        </r>
        <r>
          <rPr>
            <i/>
            <sz val="8"/>
            <color indexed="81"/>
            <rFont val="Tahoma"/>
            <family val="2"/>
          </rPr>
          <t>Add new bookies below by pressing TAB at the end of the table.</t>
        </r>
      </text>
    </comment>
    <comment ref="I1" authorId="0">
      <text>
        <r>
          <rPr>
            <b/>
            <sz val="8"/>
            <color indexed="81"/>
            <rFont val="Tahoma"/>
            <family val="2"/>
          </rPr>
          <t>To add new Book:</t>
        </r>
        <r>
          <rPr>
            <sz val="8"/>
            <color indexed="81"/>
            <rFont val="Tahoma"/>
            <family val="2"/>
          </rPr>
          <t xml:space="preserve">
Type the abbreviation of the new book in the 'Book' column. Type the book name in the 'Name' column, then press tab to enter a new book.</t>
        </r>
      </text>
    </comment>
    <comment ref="E9" authorId="0">
      <text>
        <r>
          <rPr>
            <b/>
            <sz val="8"/>
            <color indexed="81"/>
            <rFont val="Tahoma"/>
            <family val="2"/>
          </rPr>
          <t xml:space="preserve">To add new sport:
</t>
        </r>
        <r>
          <rPr>
            <i/>
            <sz val="8"/>
            <color indexed="81"/>
            <rFont val="Tahoma"/>
            <family val="2"/>
          </rPr>
          <t>Type the abbreviation of the new sport in the 'Sport' column. Type the sport name in the 'Name' column, then press tab to enter another sport.</t>
        </r>
      </text>
    </comment>
    <comment ref="D13" authorId="0">
      <text>
        <r>
          <rPr>
            <b/>
            <sz val="9"/>
            <color indexed="81"/>
            <rFont val="Tahoma"/>
            <family val="2"/>
          </rPr>
          <t xml:space="preserve">To add new sport:
</t>
        </r>
        <r>
          <rPr>
            <sz val="9"/>
            <color indexed="81"/>
            <rFont val="Tahoma"/>
            <family val="2"/>
          </rPr>
          <t>Type the name of the new sport in the 'Sport' column. Then press tab to enter another sport.</t>
        </r>
      </text>
    </comment>
  </commentList>
</comments>
</file>

<file path=xl/comments6.xml><?xml version="1.0" encoding="utf-8"?>
<comments xmlns="http://schemas.openxmlformats.org/spreadsheetml/2006/main">
  <authors>
    <author>Author</author>
  </authors>
  <commentList>
    <comment ref="C21" authorId="0">
      <text>
        <r>
          <rPr>
            <b/>
            <sz val="8"/>
            <color indexed="81"/>
            <rFont val="Tahoma"/>
            <family val="2"/>
          </rPr>
          <t xml:space="preserve">Example Comment
</t>
        </r>
        <r>
          <rPr>
            <sz val="8"/>
            <color indexed="81"/>
            <rFont val="Tahoma"/>
            <family val="2"/>
          </rPr>
          <t>This is an example</t>
        </r>
      </text>
    </comment>
  </commentList>
</comments>
</file>

<file path=xl/comments7.xml><?xml version="1.0" encoding="utf-8"?>
<comments xmlns="http://schemas.openxmlformats.org/spreadsheetml/2006/main">
  <authors>
    <author>Author</author>
  </authors>
  <commentList>
    <comment ref="C3" authorId="0">
      <text>
        <r>
          <rPr>
            <b/>
            <sz val="8"/>
            <color indexed="81"/>
            <rFont val="Tahoma"/>
            <family val="2"/>
          </rPr>
          <t xml:space="preserve">Balance
</t>
        </r>
        <r>
          <rPr>
            <i/>
            <sz val="8"/>
            <color indexed="81"/>
            <rFont val="Tahoma"/>
            <family val="2"/>
          </rPr>
          <t>The balance at the specific bookie</t>
        </r>
      </text>
    </comment>
    <comment ref="D3" authorId="0">
      <text>
        <r>
          <rPr>
            <b/>
            <sz val="8"/>
            <color indexed="81"/>
            <rFont val="Tahoma"/>
            <family val="2"/>
          </rPr>
          <t xml:space="preserve">Deposits &amp; Withdrawals
</t>
        </r>
        <r>
          <rPr>
            <i/>
            <sz val="8"/>
            <color indexed="81"/>
            <rFont val="Tahoma"/>
            <family val="2"/>
          </rPr>
          <t>Total of deposits-withdrawals for specific bookie</t>
        </r>
      </text>
    </comment>
  </commentList>
</comments>
</file>

<file path=xl/sharedStrings.xml><?xml version="1.0" encoding="utf-8"?>
<sst xmlns="http://schemas.openxmlformats.org/spreadsheetml/2006/main" count="13358" uniqueCount="3800">
  <si>
    <t>B2</t>
  </si>
  <si>
    <t>O2</t>
  </si>
  <si>
    <t>R1</t>
  </si>
  <si>
    <t>Date</t>
  </si>
  <si>
    <t>S2</t>
  </si>
  <si>
    <t>Comments</t>
  </si>
  <si>
    <t>TS</t>
  </si>
  <si>
    <t>Basketball</t>
  </si>
  <si>
    <t>Tennis</t>
  </si>
  <si>
    <t>Hockey</t>
  </si>
  <si>
    <t>Pinnacle</t>
  </si>
  <si>
    <t>Ladbrokes</t>
  </si>
  <si>
    <t>Unibet</t>
  </si>
  <si>
    <t>Expekt</t>
  </si>
  <si>
    <t>WilliamHill</t>
  </si>
  <si>
    <t>Betsson</t>
  </si>
  <si>
    <t>Gamebookers</t>
  </si>
  <si>
    <t>TheGreek</t>
  </si>
  <si>
    <t>% if 1</t>
  </si>
  <si>
    <t>% if 2</t>
  </si>
  <si>
    <t>Bookie</t>
  </si>
  <si>
    <t>Balance</t>
  </si>
  <si>
    <t>PaddyPower</t>
  </si>
  <si>
    <t>Sport</t>
  </si>
  <si>
    <t>Outcome</t>
  </si>
  <si>
    <t>D/W</t>
  </si>
  <si>
    <t>A%</t>
  </si>
  <si>
    <t>AR</t>
  </si>
  <si>
    <t>BR</t>
  </si>
  <si>
    <t>Key</t>
  </si>
  <si>
    <t>Name</t>
  </si>
  <si>
    <t>Type</t>
  </si>
  <si>
    <t>Deposit</t>
  </si>
  <si>
    <t>Withdrawal</t>
  </si>
  <si>
    <t>Amount</t>
  </si>
  <si>
    <t>0</t>
  </si>
  <si>
    <t>Total Balance on Books</t>
  </si>
  <si>
    <t>Account Balance</t>
  </si>
  <si>
    <t>Bonus</t>
  </si>
  <si>
    <t>Other</t>
  </si>
  <si>
    <t>Total Bankroll</t>
  </si>
  <si>
    <t>Total in Play</t>
  </si>
  <si>
    <t>Total Bonuses</t>
  </si>
  <si>
    <t>%</t>
  </si>
  <si>
    <t>Total Deposits/Witdrawals</t>
  </si>
  <si>
    <t>June</t>
  </si>
  <si>
    <t>July</t>
  </si>
  <si>
    <t>August</t>
  </si>
  <si>
    <t>September</t>
  </si>
  <si>
    <t>October</t>
  </si>
  <si>
    <t>November</t>
  </si>
  <si>
    <t>December</t>
  </si>
  <si>
    <t>May</t>
  </si>
  <si>
    <t>April</t>
  </si>
  <si>
    <t>March</t>
  </si>
  <si>
    <t>February</t>
  </si>
  <si>
    <t>January</t>
  </si>
  <si>
    <t>Month</t>
  </si>
  <si>
    <t>Total Turnover</t>
  </si>
  <si>
    <t>Turnover</t>
  </si>
  <si>
    <t>Betfair</t>
  </si>
  <si>
    <t>Cells that have a red triangle in the upper right corner has comments and explanations.</t>
  </si>
  <si>
    <t>Here you will see “real-time” account balances of your different bookmaker accounts.</t>
  </si>
  <si>
    <t>&lt;--- example</t>
  </si>
  <si>
    <t>1. The tabs</t>
  </si>
  <si>
    <t>Enter your total bankroll amount in the table in the middle.</t>
  </si>
  <si>
    <t>Enter every bookmaker balance as a deposit in the table to the left</t>
  </si>
  <si>
    <t>2.2 The DepWith tab</t>
  </si>
  <si>
    <t>2. Before you start logging your bets</t>
  </si>
  <si>
    <t>3. Logging your bets</t>
  </si>
  <si>
    <t>to help you keep track of your bets, bookies and E-wallets.</t>
  </si>
  <si>
    <t>etc), select the bottom right cell in the table and press the “tab” button on your keyboard.</t>
  </si>
  <si>
    <t xml:space="preserve">You have to press tab in order to create a new row, otherwise the information </t>
  </si>
  <si>
    <t>will not be logged properly.</t>
  </si>
  <si>
    <r>
      <t xml:space="preserve">· </t>
    </r>
    <r>
      <rPr>
        <sz val="11"/>
        <color rgb="FF000000"/>
        <rFont val="Calibri"/>
        <family val="2"/>
        <scheme val="minor"/>
      </rPr>
      <t>If you wish to see more columns that are hidden, or hide certain columns,</t>
    </r>
  </si>
  <si>
    <t>this can be done in Excel. The columns that are shown by default are however all that you should</t>
  </si>
  <si>
    <t>need to see.</t>
  </si>
  <si>
    <r>
      <t xml:space="preserve">· </t>
    </r>
    <r>
      <rPr>
        <sz val="11"/>
        <color rgb="FF000000"/>
        <rFont val="Calibri"/>
        <family val="2"/>
        <scheme val="minor"/>
      </rPr>
      <t>Everything on this tab is automatically calculated.</t>
    </r>
  </si>
  <si>
    <r>
      <t xml:space="preserve">· </t>
    </r>
    <r>
      <rPr>
        <sz val="11"/>
        <color rgb="FF000000"/>
        <rFont val="Calibri"/>
        <family val="2"/>
        <scheme val="minor"/>
      </rPr>
      <t>In addition to current account balances, you will also see the percentage of your total bankroll</t>
    </r>
  </si>
  <si>
    <t>in respective account.</t>
  </si>
  <si>
    <t>Here you will log all your deposits and withdrawals to and from bookmakers, and also to and from your</t>
  </si>
  <si>
    <t>bankroll. You will also make bookmaker account adjustments on this tab (for example cent adjustments</t>
  </si>
  <si>
    <t>when the account balance differs with a few cents), and also manual bookmaker bonus adjustments.</t>
  </si>
  <si>
    <r>
      <t xml:space="preserve">· </t>
    </r>
    <r>
      <rPr>
        <sz val="11"/>
        <color rgb="FF000000"/>
        <rFont val="Calibri"/>
        <family val="2"/>
        <scheme val="minor"/>
      </rPr>
      <t xml:space="preserve">Use the table to the </t>
    </r>
    <r>
      <rPr>
        <b/>
        <sz val="11"/>
        <color rgb="FF000000"/>
        <rFont val="Calibri"/>
        <family val="2"/>
        <scheme val="minor"/>
      </rPr>
      <t>left</t>
    </r>
    <r>
      <rPr>
        <sz val="11"/>
        <color rgb="FF000000"/>
        <rFont val="Calibri"/>
        <family val="2"/>
        <scheme val="minor"/>
      </rPr>
      <t xml:space="preserve"> to make transactions </t>
    </r>
    <r>
      <rPr>
        <i/>
        <sz val="11"/>
        <color rgb="FF000000"/>
        <rFont val="Calibri"/>
        <family val="2"/>
        <scheme val="minor"/>
      </rPr>
      <t>within</t>
    </r>
    <r>
      <rPr>
        <sz val="11"/>
        <color rgb="FF000000"/>
        <rFont val="Calibri"/>
        <family val="2"/>
        <scheme val="minor"/>
      </rPr>
      <t xml:space="preserve"> your bankroll</t>
    </r>
  </si>
  <si>
    <r>
      <t xml:space="preserve">· </t>
    </r>
    <r>
      <rPr>
        <sz val="11"/>
        <color rgb="FF000000"/>
        <rFont val="Calibri"/>
        <family val="2"/>
        <scheme val="minor"/>
      </rPr>
      <t xml:space="preserve">Use the table in the </t>
    </r>
    <r>
      <rPr>
        <b/>
        <sz val="11"/>
        <color rgb="FF000000"/>
        <rFont val="Calibri"/>
        <family val="2"/>
        <scheme val="minor"/>
      </rPr>
      <t>middle</t>
    </r>
    <r>
      <rPr>
        <sz val="11"/>
        <color rgb="FF000000"/>
        <rFont val="Calibri"/>
        <family val="2"/>
        <scheme val="minor"/>
      </rPr>
      <t xml:space="preserve"> to make transactions to or from your </t>
    </r>
    <r>
      <rPr>
        <i/>
        <sz val="11"/>
        <color rgb="FF000000"/>
        <rFont val="Calibri"/>
        <family val="2"/>
        <scheme val="minor"/>
      </rPr>
      <t>total</t>
    </r>
    <r>
      <rPr>
        <sz val="11"/>
        <color rgb="FF000000"/>
        <rFont val="Calibri"/>
        <family val="2"/>
        <scheme val="minor"/>
      </rPr>
      <t xml:space="preserve"> bankroll.</t>
    </r>
  </si>
  <si>
    <r>
      <t xml:space="preserve">· </t>
    </r>
    <r>
      <rPr>
        <sz val="11"/>
        <color rgb="FF000000"/>
        <rFont val="Calibri"/>
        <family val="2"/>
        <scheme val="minor"/>
      </rPr>
      <t xml:space="preserve">Use the table to the </t>
    </r>
    <r>
      <rPr>
        <b/>
        <sz val="11"/>
        <color rgb="FF000000"/>
        <rFont val="Calibri"/>
        <family val="2"/>
        <scheme val="minor"/>
      </rPr>
      <t>right</t>
    </r>
    <r>
      <rPr>
        <sz val="11"/>
        <color rgb="FF000000"/>
        <rFont val="Calibri"/>
        <family val="2"/>
        <scheme val="minor"/>
      </rPr>
      <t xml:space="preserve"> to make account/bonus </t>
    </r>
    <r>
      <rPr>
        <i/>
        <sz val="11"/>
        <color rgb="FF000000"/>
        <rFont val="Calibri"/>
        <family val="2"/>
        <scheme val="minor"/>
      </rPr>
      <t>adjustments</t>
    </r>
  </si>
  <si>
    <t>Enter your total bankroll amount (including the total balance of your bookmaker accounts) in the</t>
  </si>
  <si>
    <t>table in the middle.</t>
  </si>
  <si>
    <r>
      <t xml:space="preserve">If you </t>
    </r>
    <r>
      <rPr>
        <i/>
        <sz val="11"/>
        <color rgb="FF000000"/>
        <rFont val="Calibri"/>
        <family val="2"/>
        <scheme val="minor"/>
      </rPr>
      <t>DO NOT</t>
    </r>
    <r>
      <rPr>
        <sz val="11"/>
        <color rgb="FF000000"/>
        <rFont val="Calibri"/>
        <family val="2"/>
        <scheme val="minor"/>
      </rPr>
      <t xml:space="preserve"> have accounts with any bookmaker:</t>
    </r>
  </si>
  <si>
    <r>
      <t xml:space="preserve">If you </t>
    </r>
    <r>
      <rPr>
        <i/>
        <sz val="11"/>
        <color rgb="FF000000"/>
        <rFont val="Calibri"/>
        <family val="2"/>
        <scheme val="minor"/>
      </rPr>
      <t>DO</t>
    </r>
    <r>
      <rPr>
        <sz val="11"/>
        <color rgb="FF000000"/>
        <rFont val="Calibri"/>
        <family val="2"/>
        <scheme val="minor"/>
      </rPr>
      <t xml:space="preserve"> have accounts with bookmakers:</t>
    </r>
  </si>
  <si>
    <t>your standard procedure after your bet, it only takes a few seconds when getting used to it.</t>
  </si>
  <si>
    <t>SBO</t>
  </si>
  <si>
    <t>will not work properly.</t>
  </si>
  <si>
    <t>If you need to unlock any tab for any reason, the password is 'RebelBetting'</t>
  </si>
  <si>
    <t>Hold the pointer over the cell to display the comment.</t>
  </si>
  <si>
    <t>Example</t>
  </si>
  <si>
    <t>SP</t>
  </si>
  <si>
    <t>Participants</t>
  </si>
  <si>
    <t>BackBook</t>
  </si>
  <si>
    <t>LayBook</t>
  </si>
  <si>
    <t>Played on</t>
  </si>
  <si>
    <t>LayBet outcome</t>
  </si>
  <si>
    <t>BackOdds</t>
  </si>
  <si>
    <t>LayOdds</t>
  </si>
  <si>
    <t>BackStake</t>
  </si>
  <si>
    <t>LayStake</t>
  </si>
  <si>
    <t>Rback</t>
  </si>
  <si>
    <t>Rlay</t>
  </si>
  <si>
    <t>% if back</t>
  </si>
  <si>
    <t>% if lay</t>
  </si>
  <si>
    <t>BackAmount</t>
  </si>
  <si>
    <t>LayAmount</t>
  </si>
  <si>
    <t>LayLiability</t>
  </si>
  <si>
    <t>IfBack</t>
  </si>
  <si>
    <t>IfLay</t>
  </si>
  <si>
    <t>LayWin-Commission</t>
  </si>
  <si>
    <r>
      <t>1.3</t>
    </r>
    <r>
      <rPr>
        <sz val="7"/>
        <color rgb="FF000000"/>
        <rFont val="Times New Roman"/>
        <family val="1"/>
      </rPr>
      <t xml:space="preserve">   </t>
    </r>
    <r>
      <rPr>
        <sz val="11"/>
        <color rgb="FF000000"/>
        <rFont val="Calibri"/>
        <family val="2"/>
        <scheme val="minor"/>
      </rPr>
      <t xml:space="preserve">The </t>
    </r>
    <r>
      <rPr>
        <b/>
        <sz val="11"/>
        <color rgb="FF000000"/>
        <rFont val="Calibri"/>
        <family val="2"/>
        <scheme val="minor"/>
      </rPr>
      <t>Balance</t>
    </r>
    <r>
      <rPr>
        <sz val="11"/>
        <color rgb="FF000000"/>
        <rFont val="Calibri"/>
        <family val="2"/>
        <scheme val="minor"/>
      </rPr>
      <t xml:space="preserve"> tab</t>
    </r>
  </si>
  <si>
    <r>
      <t>1.4</t>
    </r>
    <r>
      <rPr>
        <sz val="7"/>
        <color rgb="FF000000"/>
        <rFont val="Times New Roman"/>
        <family val="1"/>
      </rPr>
      <t xml:space="preserve">   </t>
    </r>
    <r>
      <rPr>
        <sz val="11"/>
        <color rgb="FF000000"/>
        <rFont val="Calibri"/>
        <family val="2"/>
        <scheme val="minor"/>
      </rPr>
      <t xml:space="preserve">The </t>
    </r>
    <r>
      <rPr>
        <b/>
        <sz val="11"/>
        <color rgb="FF000000"/>
        <rFont val="Calibri"/>
        <family val="2"/>
        <scheme val="minor"/>
      </rPr>
      <t>DepWith</t>
    </r>
    <r>
      <rPr>
        <sz val="11"/>
        <color rgb="FF000000"/>
        <rFont val="Calibri"/>
        <family val="2"/>
        <scheme val="minor"/>
      </rPr>
      <t xml:space="preserve"> tab</t>
    </r>
  </si>
  <si>
    <r>
      <t>1.5</t>
    </r>
    <r>
      <rPr>
        <sz val="7"/>
        <color rgb="FF000000"/>
        <rFont val="Times New Roman"/>
        <family val="1"/>
      </rPr>
      <t xml:space="preserve">   </t>
    </r>
    <r>
      <rPr>
        <sz val="11"/>
        <color rgb="FF000000"/>
        <rFont val="Calibri"/>
        <family val="2"/>
        <scheme val="minor"/>
      </rPr>
      <t xml:space="preserve">The </t>
    </r>
    <r>
      <rPr>
        <b/>
        <sz val="11"/>
        <color rgb="FF000000"/>
        <rFont val="Calibri"/>
        <family val="2"/>
        <scheme val="minor"/>
      </rPr>
      <t>BooksAndSports</t>
    </r>
    <r>
      <rPr>
        <sz val="11"/>
        <color rgb="FF000000"/>
        <rFont val="Calibri"/>
        <family val="2"/>
        <scheme val="minor"/>
      </rPr>
      <t xml:space="preserve"> tab</t>
    </r>
  </si>
  <si>
    <r>
      <t>1.6</t>
    </r>
    <r>
      <rPr>
        <sz val="7"/>
        <color rgb="FF000000"/>
        <rFont val="Times New Roman"/>
        <family val="1"/>
      </rPr>
      <t xml:space="preserve">   </t>
    </r>
    <r>
      <rPr>
        <sz val="11"/>
        <color rgb="FF000000"/>
        <rFont val="Calibri"/>
        <family val="2"/>
        <scheme val="minor"/>
      </rPr>
      <t xml:space="preserve">The </t>
    </r>
    <r>
      <rPr>
        <b/>
        <sz val="11"/>
        <color rgb="FF000000"/>
        <rFont val="Calibri"/>
        <family val="2"/>
        <scheme val="minor"/>
      </rPr>
      <t>Graphs</t>
    </r>
    <r>
      <rPr>
        <sz val="11"/>
        <color rgb="FF000000"/>
        <rFont val="Calibri"/>
        <family val="2"/>
        <scheme val="minor"/>
      </rPr>
      <t xml:space="preserve"> tab</t>
    </r>
  </si>
  <si>
    <r>
      <t>1.7</t>
    </r>
    <r>
      <rPr>
        <sz val="7"/>
        <color rgb="FF000000"/>
        <rFont val="Times New Roman"/>
        <family val="1"/>
      </rPr>
      <t xml:space="preserve">   </t>
    </r>
    <r>
      <rPr>
        <sz val="11"/>
        <color rgb="FF000000"/>
        <rFont val="Calibri"/>
        <family val="2"/>
        <scheme val="minor"/>
      </rPr>
      <t xml:space="preserve">The </t>
    </r>
    <r>
      <rPr>
        <b/>
        <sz val="11"/>
        <color rgb="FF000000"/>
        <rFont val="Calibri"/>
        <family val="2"/>
        <scheme val="minor"/>
      </rPr>
      <t>MonthStats</t>
    </r>
    <r>
      <rPr>
        <sz val="11"/>
        <color rgb="FF000000"/>
        <rFont val="Calibri"/>
        <family val="2"/>
        <scheme val="minor"/>
      </rPr>
      <t xml:space="preserve"> tab</t>
    </r>
  </si>
  <si>
    <t>Arb%</t>
  </si>
  <si>
    <t>&lt;---- Initial bankroll</t>
  </si>
  <si>
    <r>
      <t>IMPORTANT</t>
    </r>
    <r>
      <rPr>
        <sz val="11"/>
        <color rgb="FF000000"/>
        <rFont val="Calibri"/>
        <family val="2"/>
        <scheme val="minor"/>
      </rPr>
      <t xml:space="preserve">: </t>
    </r>
    <r>
      <rPr>
        <u/>
        <sz val="11"/>
        <color rgb="FF000000"/>
        <rFont val="Calibri"/>
        <family val="2"/>
        <scheme val="minor"/>
      </rPr>
      <t>DO NOT delete the content of any cells containing a formula.</t>
    </r>
    <r>
      <rPr>
        <sz val="11"/>
        <color rgb="FF000000"/>
        <rFont val="Calibri"/>
        <family val="2"/>
        <scheme val="minor"/>
      </rPr>
      <t xml:space="preserve"> (Most of these cells have a</t>
    </r>
  </si>
  <si>
    <r>
      <t xml:space="preserve">grey heading text.) These cells are automatically filled in, and </t>
    </r>
    <r>
      <rPr>
        <b/>
        <sz val="11"/>
        <rFont val="Calibri"/>
        <family val="2"/>
        <scheme val="minor"/>
      </rPr>
      <t>if you delete the formulas, they</t>
    </r>
  </si>
  <si>
    <t>C% 2</t>
  </si>
  <si>
    <t>Changelog</t>
  </si>
  <si>
    <t>C% Lay</t>
  </si>
  <si>
    <t>C% Back</t>
  </si>
  <si>
    <t>BackWin-Commission</t>
  </si>
  <si>
    <t>Outcome2</t>
  </si>
  <si>
    <t>Outcome3</t>
  </si>
  <si>
    <t>B3</t>
  </si>
  <si>
    <t>C% 3</t>
  </si>
  <si>
    <t>O3</t>
  </si>
  <si>
    <t>S3</t>
  </si>
  <si>
    <t>% if 3</t>
  </si>
  <si>
    <t>WBA1</t>
  </si>
  <si>
    <t>WBA2</t>
  </si>
  <si>
    <t>WBA3</t>
  </si>
  <si>
    <t>Total Stake S1</t>
  </si>
  <si>
    <t>Total Stake S2</t>
  </si>
  <si>
    <t>Total Stake S3</t>
  </si>
  <si>
    <t>WinningBookieAmount1</t>
  </si>
  <si>
    <t>WinningBookieAmount2</t>
  </si>
  <si>
    <t>WinningBookieAmount3</t>
  </si>
  <si>
    <t>Bonus and Adjustments</t>
  </si>
  <si>
    <t>OutcomeBack</t>
  </si>
  <si>
    <t>OutcomeLay</t>
  </si>
  <si>
    <t>WBABack</t>
  </si>
  <si>
    <t>WBALay</t>
  </si>
  <si>
    <t>Total Stake Back</t>
  </si>
  <si>
    <t>Total Stake Lay</t>
  </si>
  <si>
    <t>WinningBookieAmountBack</t>
  </si>
  <si>
    <t>WinningBookieAmountLay</t>
  </si>
  <si>
    <t>Not</t>
  </si>
  <si>
    <t>In</t>
  </si>
  <si>
    <t>Use</t>
  </si>
  <si>
    <t>WBA1-Commission</t>
  </si>
  <si>
    <t>WBA2-Commission</t>
  </si>
  <si>
    <t>WBA3-Commission</t>
  </si>
  <si>
    <t>NordicBet</t>
  </si>
  <si>
    <r>
      <t>1.1</t>
    </r>
    <r>
      <rPr>
        <sz val="7"/>
        <color rgb="FF000000"/>
        <rFont val="Times New Roman"/>
        <family val="1"/>
      </rPr>
      <t xml:space="preserve">   </t>
    </r>
    <r>
      <rPr>
        <sz val="11"/>
        <color rgb="FF000000"/>
        <rFont val="Calibri"/>
        <family val="2"/>
        <scheme val="minor"/>
      </rPr>
      <t>The Log</t>
    </r>
    <r>
      <rPr>
        <b/>
        <sz val="11"/>
        <color rgb="FF000000"/>
        <rFont val="Calibri"/>
        <family val="2"/>
        <scheme val="minor"/>
      </rPr>
      <t>BackBets</t>
    </r>
    <r>
      <rPr>
        <sz val="11"/>
        <color rgb="FF000000"/>
        <rFont val="Calibri"/>
        <family val="2"/>
        <scheme val="minor"/>
      </rPr>
      <t xml:space="preserve"> tab</t>
    </r>
  </si>
  <si>
    <t>3.1 Outcome options</t>
  </si>
  <si>
    <r>
      <t>Win:</t>
    </r>
    <r>
      <rPr>
        <sz val="11"/>
        <color rgb="FF000000"/>
        <rFont val="Calibri"/>
        <family val="2"/>
        <scheme val="minor"/>
      </rPr>
      <t xml:space="preserve"> Select this outcome when you have </t>
    </r>
    <r>
      <rPr>
        <b/>
        <sz val="11"/>
        <color rgb="FF000000"/>
        <rFont val="Calibri"/>
        <family val="2"/>
        <scheme val="minor"/>
      </rPr>
      <t>won</t>
    </r>
    <r>
      <rPr>
        <sz val="11"/>
        <color rgb="FF000000"/>
        <rFont val="Calibri"/>
        <family val="2"/>
        <scheme val="minor"/>
      </rPr>
      <t xml:space="preserve"> the bet at the bookmaker.</t>
    </r>
  </si>
  <si>
    <r>
      <t>Lose:</t>
    </r>
    <r>
      <rPr>
        <sz val="11"/>
        <color rgb="FF000000"/>
        <rFont val="Calibri"/>
        <family val="2"/>
        <scheme val="minor"/>
      </rPr>
      <t xml:space="preserve"> Select this outcome when you have </t>
    </r>
    <r>
      <rPr>
        <b/>
        <sz val="11"/>
        <color rgb="FF000000"/>
        <rFont val="Calibri"/>
        <family val="2"/>
        <scheme val="minor"/>
      </rPr>
      <t>lost</t>
    </r>
    <r>
      <rPr>
        <sz val="11"/>
        <color rgb="FF000000"/>
        <rFont val="Calibri"/>
        <family val="2"/>
        <scheme val="minor"/>
      </rPr>
      <t xml:space="preserve"> the bet at the bookmaker.</t>
    </r>
  </si>
  <si>
    <r>
      <t>Win Half Stake:</t>
    </r>
    <r>
      <rPr>
        <sz val="11"/>
        <color rgb="FF000000"/>
        <rFont val="Calibri"/>
        <family val="2"/>
        <scheme val="minor"/>
      </rPr>
      <t xml:space="preserve"> Select this outcome when you win half your stake, and get the other half of your stake refunded to your bookmaker account.</t>
    </r>
  </si>
  <si>
    <r>
      <t>Void:</t>
    </r>
    <r>
      <rPr>
        <sz val="11"/>
        <color rgb="FF000000"/>
        <rFont val="Calibri"/>
        <family val="2"/>
        <scheme val="minor"/>
      </rPr>
      <t xml:space="preserve"> Select this outcome when a match gets cancelled and your funds are </t>
    </r>
    <r>
      <rPr>
        <b/>
        <sz val="11"/>
        <color rgb="FF000000"/>
        <rFont val="Calibri"/>
        <family val="2"/>
        <scheme val="minor"/>
      </rPr>
      <t>refunded</t>
    </r>
    <r>
      <rPr>
        <sz val="11"/>
        <color rgb="FF000000"/>
        <rFont val="Calibri"/>
        <family val="2"/>
        <scheme val="minor"/>
      </rPr>
      <t xml:space="preserve"> to your bookmaker account.</t>
    </r>
  </si>
  <si>
    <r>
      <t>Lose Half Stake:</t>
    </r>
    <r>
      <rPr>
        <sz val="11"/>
        <color rgb="FF000000"/>
        <rFont val="Calibri"/>
        <family val="2"/>
        <scheme val="minor"/>
      </rPr>
      <t xml:space="preserve"> Select this outcome when you lose half your stake and get the other half of your stake refunded (also used in quarter handicap).</t>
    </r>
  </si>
  <si>
    <t>Pending</t>
  </si>
  <si>
    <t>Pending 1</t>
  </si>
  <si>
    <t>Pending 2</t>
  </si>
  <si>
    <t>Pending 3</t>
  </si>
  <si>
    <t>PendingL1</t>
  </si>
  <si>
    <t>PendingL2</t>
  </si>
  <si>
    <t>Baseball</t>
  </si>
  <si>
    <t>Centrebet</t>
  </si>
  <si>
    <t>BetAtHome</t>
  </si>
  <si>
    <t>Total Turnover (BackBets)</t>
  </si>
  <si>
    <t>Total Turnover (LayBets)</t>
  </si>
  <si>
    <t>Total Turnover (ALL)</t>
  </si>
  <si>
    <t>BackBets</t>
  </si>
  <si>
    <t>LayBets</t>
  </si>
  <si>
    <t>BackBets + LayBets</t>
  </si>
  <si>
    <t>888sport</t>
  </si>
  <si>
    <t>Bet365</t>
  </si>
  <si>
    <t>Netbet</t>
  </si>
  <si>
    <t>Winner</t>
  </si>
  <si>
    <t>Smarkets</t>
  </si>
  <si>
    <t>Marathonbet</t>
  </si>
  <si>
    <t>Coral</t>
  </si>
  <si>
    <t>19</t>
  </si>
  <si>
    <t>20</t>
  </si>
  <si>
    <t>Id</t>
  </si>
  <si>
    <t>Comm %</t>
  </si>
  <si>
    <t>Odds</t>
  </si>
  <si>
    <t>Stake</t>
  </si>
  <si>
    <t>Bet on</t>
  </si>
  <si>
    <t>Start time</t>
  </si>
  <si>
    <t>Result</t>
  </si>
  <si>
    <t>Soccer</t>
  </si>
  <si>
    <t>AMFootball</t>
  </si>
  <si>
    <t>RugbyUnion</t>
  </si>
  <si>
    <t>RugbyLeague</t>
  </si>
  <si>
    <t>AussieRules</t>
  </si>
  <si>
    <t>Politics</t>
  </si>
  <si>
    <t>HorseRacing</t>
  </si>
  <si>
    <t>NewSport</t>
  </si>
  <si>
    <t>10Bet</t>
  </si>
  <si>
    <t>12Bet</t>
  </si>
  <si>
    <t>12BetUK</t>
  </si>
  <si>
    <t>188Bet</t>
  </si>
  <si>
    <t>18bet</t>
  </si>
  <si>
    <t>1xBet</t>
  </si>
  <si>
    <t>21Bet</t>
  </si>
  <si>
    <t>3et</t>
  </si>
  <si>
    <t>5Dimes</t>
  </si>
  <si>
    <t>AdmiralAt</t>
  </si>
  <si>
    <t>Bet9ja</t>
  </si>
  <si>
    <t>BetClic</t>
  </si>
  <si>
    <t>BetCRIS</t>
  </si>
  <si>
    <t>BetDaq</t>
  </si>
  <si>
    <t>Betfred</t>
  </si>
  <si>
    <t>BetOlimp</t>
  </si>
  <si>
    <t>BetOnline</t>
  </si>
  <si>
    <t>Betrally</t>
  </si>
  <si>
    <t>Bets10</t>
  </si>
  <si>
    <t>BetSafe</t>
  </si>
  <si>
    <t>Betshop</t>
  </si>
  <si>
    <t>BookmakerEu</t>
  </si>
  <si>
    <t>BoyleSports</t>
  </si>
  <si>
    <t>BWin</t>
  </si>
  <si>
    <t>Cashpoint</t>
  </si>
  <si>
    <t>Comeon</t>
  </si>
  <si>
    <t>Dafabet</t>
  </si>
  <si>
    <t>DanskeSpil</t>
  </si>
  <si>
    <t>DiamondSB</t>
  </si>
  <si>
    <t>Fun88</t>
  </si>
  <si>
    <t>Fun88UK</t>
  </si>
  <si>
    <t>Intertops</t>
  </si>
  <si>
    <t>Interwetten</t>
  </si>
  <si>
    <t>Jetbull</t>
  </si>
  <si>
    <t>LadbrokesAU</t>
  </si>
  <si>
    <t>Marathonbet.co.uk</t>
  </si>
  <si>
    <t>MatchBook</t>
  </si>
  <si>
    <t>Meridianbet</t>
  </si>
  <si>
    <t>Merrybet</t>
  </si>
  <si>
    <t>Mobilbet</t>
  </si>
  <si>
    <t>Mybet</t>
  </si>
  <si>
    <t>NairaBET</t>
  </si>
  <si>
    <t>Novibet</t>
  </si>
  <si>
    <t>Noxwin</t>
  </si>
  <si>
    <t>Paf</t>
  </si>
  <si>
    <t>PlanetWin365</t>
  </si>
  <si>
    <t>Rivalo</t>
  </si>
  <si>
    <t>StanleybetDK</t>
  </si>
  <si>
    <t>Stoiximan</t>
  </si>
  <si>
    <t>TabAU</t>
  </si>
  <si>
    <t>Tatts</t>
  </si>
  <si>
    <t>Tipico</t>
  </si>
  <si>
    <t>TitanBet</t>
  </si>
  <si>
    <t>TLCBet</t>
  </si>
  <si>
    <t>TLCBetUK</t>
  </si>
  <si>
    <t>WilliamHillAU</t>
  </si>
  <si>
    <t>Bookmaker</t>
  </si>
  <si>
    <t>32Red</t>
  </si>
  <si>
    <t>Bethard</t>
  </si>
  <si>
    <t>Betstar</t>
  </si>
  <si>
    <t>Etoto</t>
  </si>
  <si>
    <t>GiocoDigitale</t>
  </si>
  <si>
    <t>JenningsBet</t>
  </si>
  <si>
    <t>LeoVegas</t>
  </si>
  <si>
    <t>NapoleonGames</t>
  </si>
  <si>
    <t>PartyPoker</t>
  </si>
  <si>
    <t>Sportingbet</t>
  </si>
  <si>
    <t>Sportsbetting</t>
  </si>
  <si>
    <t>XTiP</t>
  </si>
  <si>
    <t>18</t>
  </si>
  <si>
    <t>21</t>
  </si>
  <si>
    <t>22</t>
  </si>
  <si>
    <r>
      <t xml:space="preserve">2018-07-30: </t>
    </r>
    <r>
      <rPr>
        <i/>
        <sz val="11"/>
        <color theme="0" tint="-0.499984740745262"/>
        <rFont val="Calibri"/>
        <family val="2"/>
        <scheme val="minor"/>
      </rPr>
      <t>FIX</t>
    </r>
    <r>
      <rPr>
        <i/>
        <sz val="11"/>
        <color rgb="FF000000"/>
        <rFont val="Calibri"/>
        <family val="2"/>
        <scheme val="minor"/>
      </rPr>
      <t xml:space="preserve"> - Removed old years MonthStats tab and added more bookmaker abbreviations</t>
    </r>
  </si>
  <si>
    <t>Yield</t>
  </si>
  <si>
    <t>Profit/Loss</t>
  </si>
  <si>
    <r>
      <t xml:space="preserve">2018-09-12: </t>
    </r>
    <r>
      <rPr>
        <i/>
        <sz val="11"/>
        <color rgb="FFFF0000"/>
        <rFont val="Calibri"/>
        <family val="2"/>
        <scheme val="minor"/>
      </rPr>
      <t>NEW</t>
    </r>
    <r>
      <rPr>
        <i/>
        <sz val="11"/>
        <color rgb="FF000000"/>
        <rFont val="Calibri"/>
        <family val="2"/>
        <scheme val="minor"/>
      </rPr>
      <t xml:space="preserve"> - Added Turnover and Yield on Balance tab</t>
    </r>
  </si>
  <si>
    <t>ValueBetting Log book - Instructions of use</t>
  </si>
  <si>
    <t xml:space="preserve">Thank you for downloading the ValueBetting Log book by RebelBetting. This spreadsheet is designed </t>
  </si>
  <si>
    <t xml:space="preserve">If you need to email me regarding this Log book, you can reach me at </t>
  </si>
  <si>
    <t>bjorn.b@rebelbetting.com with subject “ValueBetting Log book”.</t>
  </si>
  <si>
    <r>
      <t xml:space="preserve">IMPORTANT: </t>
    </r>
    <r>
      <rPr>
        <sz val="11"/>
        <rFont val="Calibri"/>
        <family val="2"/>
        <scheme val="minor"/>
      </rPr>
      <t xml:space="preserve">The Log book is built up with tables. To create </t>
    </r>
  </si>
  <si>
    <t xml:space="preserve">a new row in the tables in the Log book (when adding another bet, a new deposit/withdrawal </t>
  </si>
  <si>
    <t>Excel requirements: Excel 2007,  2010 or newer</t>
  </si>
  <si>
    <r>
      <t xml:space="preserve">Copyright RebelBetting. This spreadsheet is for personal use only. You may </t>
    </r>
    <r>
      <rPr>
        <b/>
        <i/>
        <sz val="11"/>
        <color rgb="FF000000"/>
        <rFont val="Calibri"/>
        <family val="2"/>
        <scheme val="minor"/>
      </rPr>
      <t>not</t>
    </r>
    <r>
      <rPr>
        <i/>
        <sz val="11"/>
        <color rgb="FF000000"/>
        <rFont val="Calibri"/>
        <family val="2"/>
        <scheme val="minor"/>
      </rPr>
      <t xml:space="preserve"> distribute this </t>
    </r>
  </si>
  <si>
    <t xml:space="preserve">spreadsheet, or use it in any other way without specific written permission from the creator. </t>
  </si>
  <si>
    <r>
      <t xml:space="preserve">2018-10-09: </t>
    </r>
    <r>
      <rPr>
        <i/>
        <sz val="11"/>
        <color theme="0" tint="-0.499984740745262"/>
        <rFont val="Calibri"/>
        <family val="2"/>
        <scheme val="minor"/>
      </rPr>
      <t>FIX</t>
    </r>
    <r>
      <rPr>
        <i/>
        <sz val="11"/>
        <color rgb="FF000000"/>
        <rFont val="Calibri"/>
        <family val="2"/>
        <scheme val="minor"/>
      </rPr>
      <t xml:space="preserve"> - Yield-calculation and Locked formula cells</t>
    </r>
  </si>
  <si>
    <t xml:space="preserve">The LogBackBets tab is the tab that you will use the most. Here you will be entering all your bets, </t>
  </si>
  <si>
    <t>and also the outcome of your bets. Use the LogBackBets tab to log every value bet you place.</t>
  </si>
  <si>
    <t>Bookie: The bookmaker used</t>
  </si>
  <si>
    <t>Comm %: The commission percentage (when placing bets at exchanges such as Betfair, Matchbook, Smarkets)</t>
  </si>
  <si>
    <t>Participants: The participants in the match</t>
  </si>
  <si>
    <t>Odds: The odds of the bet</t>
  </si>
  <si>
    <t>Stake: The stake of the bet</t>
  </si>
  <si>
    <t>Bet on: What you bet on</t>
  </si>
  <si>
    <t>Start time: The start time of the match</t>
  </si>
  <si>
    <t>Outcome: The result of your bet (If you win, lose, void etcetera)</t>
  </si>
  <si>
    <t>Result: The result of the bet (automatically calculated)</t>
  </si>
  <si>
    <t>Comments. Individual comments if necessary.</t>
  </si>
  <si>
    <r>
      <t xml:space="preserve">· </t>
    </r>
    <r>
      <rPr>
        <sz val="11"/>
        <color rgb="FF000000"/>
        <rFont val="Calibri"/>
        <family val="2"/>
        <scheme val="minor"/>
      </rPr>
      <t xml:space="preserve">The columns you need to fill out is 1-3 (not 4 if you haven't bet on an exchange) 6,7 and 10. </t>
    </r>
  </si>
  <si>
    <t>copied to your clipboard. You can now easily just paste the bet into the Log book. (Please add a new row to the LogBackBets table first!)</t>
  </si>
  <si>
    <r>
      <rPr>
        <sz val="11"/>
        <color rgb="FFFF0000"/>
        <rFont val="Calibri"/>
        <family val="2"/>
        <scheme val="minor"/>
      </rPr>
      <t>NOTE!</t>
    </r>
    <r>
      <rPr>
        <sz val="11"/>
        <color rgb="FF000000"/>
        <rFont val="Calibri"/>
        <family val="2"/>
        <scheme val="minor"/>
      </rPr>
      <t xml:space="preserve"> After placing a bet in the ValueBetting software, click the "Confirm placed bet" button in the Betting Browser. The bet details will then be</t>
    </r>
  </si>
  <si>
    <t>Use this tab to enter new books and sports into the Log book.</t>
  </si>
  <si>
    <t>Just a tab with a graph of your value betting profit!</t>
  </si>
  <si>
    <t>Monthly results of your value betting progress.</t>
  </si>
  <si>
    <t>After you have placed a bet you should log the bet immediately afterwards. Make this into</t>
  </si>
  <si>
    <t xml:space="preserve"> After placing a bet in the ValueBetting software, click the "Confirm placed bet" button in the Betting Browser. The bet details will then be</t>
  </si>
  <si>
    <r>
      <t>When the match has finished, you need to enter the outcome. "Outcome" is most often "</t>
    </r>
    <r>
      <rPr>
        <b/>
        <sz val="11"/>
        <color rgb="FF000000"/>
        <rFont val="Calibri"/>
        <family val="2"/>
        <scheme val="minor"/>
      </rPr>
      <t>Win</t>
    </r>
    <r>
      <rPr>
        <sz val="11"/>
        <color rgb="FF000000"/>
        <rFont val="Calibri"/>
        <family val="2"/>
        <scheme val="minor"/>
      </rPr>
      <t>" or "</t>
    </r>
    <r>
      <rPr>
        <b/>
        <sz val="11"/>
        <color rgb="FF000000"/>
        <rFont val="Calibri"/>
        <family val="2"/>
        <scheme val="minor"/>
      </rPr>
      <t>Lose</t>
    </r>
    <r>
      <rPr>
        <sz val="11"/>
        <color rgb="FF000000"/>
        <rFont val="Calibri"/>
        <family val="2"/>
        <scheme val="minor"/>
      </rPr>
      <t>", but there are also a few other options in these cells:</t>
    </r>
  </si>
  <si>
    <t xml:space="preserve">  This could happen in for instance a quarter handicap bet (AH(0.25))</t>
  </si>
  <si>
    <r>
      <t xml:space="preserve">Sport: </t>
    </r>
    <r>
      <rPr>
        <sz val="11"/>
        <color rgb="FF000000"/>
        <rFont val="Calibri"/>
        <family val="2"/>
        <scheme val="minor"/>
      </rPr>
      <t>The sport</t>
    </r>
  </si>
  <si>
    <t>0: The running result of your value betting career (automatically calculated, don't change!)</t>
  </si>
  <si>
    <r>
      <t xml:space="preserve">Date: The date of the bet: </t>
    </r>
    <r>
      <rPr>
        <b/>
        <i/>
        <sz val="11"/>
        <color rgb="FF000000"/>
        <rFont val="Calibri"/>
        <family val="2"/>
        <scheme val="minor"/>
      </rPr>
      <t xml:space="preserve">YYMMDD    &lt;-- must </t>
    </r>
    <r>
      <rPr>
        <i/>
        <sz val="11"/>
        <color rgb="FF000000"/>
        <rFont val="Calibri"/>
        <family val="2"/>
        <scheme val="minor"/>
      </rPr>
      <t>be in this format</t>
    </r>
  </si>
  <si>
    <r>
      <t xml:space="preserve">answer support emails </t>
    </r>
    <r>
      <rPr>
        <b/>
        <sz val="11"/>
        <color rgb="FF000000"/>
        <rFont val="Calibri"/>
        <family val="2"/>
        <scheme val="minor"/>
      </rPr>
      <t>if</t>
    </r>
    <r>
      <rPr>
        <sz val="11"/>
        <color rgb="FF000000"/>
        <rFont val="Calibri"/>
        <family val="2"/>
        <scheme val="minor"/>
      </rPr>
      <t xml:space="preserve"> we have the time.</t>
    </r>
  </si>
  <si>
    <r>
      <t xml:space="preserve">Disclaimer: </t>
    </r>
    <r>
      <rPr>
        <sz val="11"/>
        <color rgb="FF000000"/>
        <rFont val="Calibri"/>
        <family val="2"/>
        <scheme val="minor"/>
      </rPr>
      <t xml:space="preserve">This Log book comes 'as is' with no support guaranteed. We will only </t>
    </r>
  </si>
  <si>
    <t>Read this FAQ - how to log your value bets: https://www.rebelbetting.com/faq/log-your-value-bets</t>
  </si>
  <si>
    <r>
      <rPr>
        <sz val="11"/>
        <rFont val="Calibri"/>
        <family val="2"/>
        <scheme val="minor"/>
      </rPr>
      <t>Read this FAQ - how to log your value bets:</t>
    </r>
    <r>
      <rPr>
        <sz val="11"/>
        <color rgb="FFFF0000"/>
        <rFont val="Calibri"/>
        <family val="2"/>
        <scheme val="minor"/>
      </rPr>
      <t xml:space="preserve"> https://www.rebelbetting.com/faq/log-your-value-bets</t>
    </r>
  </si>
  <si>
    <t>Bets</t>
  </si>
  <si>
    <t>Profit</t>
  </si>
  <si>
    <t>P/B</t>
  </si>
  <si>
    <t>Total</t>
  </si>
  <si>
    <t>Value</t>
  </si>
  <si>
    <r>
      <t xml:space="preserve">2018-10-17: </t>
    </r>
    <r>
      <rPr>
        <i/>
        <sz val="11"/>
        <color rgb="FFFF0000"/>
        <rFont val="Calibri"/>
        <family val="2"/>
        <scheme val="minor"/>
      </rPr>
      <t>NEW</t>
    </r>
    <r>
      <rPr>
        <i/>
        <sz val="11"/>
        <color rgb="FF000000"/>
        <rFont val="Calibri"/>
        <family val="2"/>
        <scheme val="minor"/>
      </rPr>
      <t xml:space="preserve"> - Added Value column</t>
    </r>
  </si>
  <si>
    <r>
      <t xml:space="preserve">2018-10-18: </t>
    </r>
    <r>
      <rPr>
        <i/>
        <sz val="11"/>
        <color theme="0" tint="-0.499984740745262"/>
        <rFont val="Calibri"/>
        <family val="2"/>
        <scheme val="minor"/>
      </rPr>
      <t>FIX</t>
    </r>
    <r>
      <rPr>
        <i/>
        <sz val="11"/>
        <color rgb="FF000000"/>
        <rFont val="Calibri"/>
        <family val="2"/>
        <scheme val="minor"/>
      </rPr>
      <t xml:space="preserve"> - Graph design</t>
    </r>
  </si>
  <si>
    <t>181024</t>
  </si>
  <si>
    <t>BK Pardubice - BC Avtodor Saratov</t>
  </si>
  <si>
    <t>AH2(-6)</t>
  </si>
  <si>
    <t>17:59</t>
  </si>
  <si>
    <t>11dca4587788b878d4b60570c6cf3ca3</t>
  </si>
  <si>
    <t>FK Pirmasens - Kaiserslautern</t>
  </si>
  <si>
    <t>AH2(-0.75)</t>
  </si>
  <si>
    <t>9a7b1088d08bb18a04d39879252c7f8b</t>
  </si>
  <si>
    <t>Karlskrona HK - Almtuna IS</t>
  </si>
  <si>
    <t>40cd4b8a0d903f930b16865fac125628</t>
  </si>
  <si>
    <t>VIK Västerås HK - HC Vita Hästen</t>
  </si>
  <si>
    <t>765340bc4704a92794f94db20e0e262e</t>
  </si>
  <si>
    <t>Bayer Leverkusen (w) - MSV Duisburg (w)</t>
  </si>
  <si>
    <t>U(1.25) 1H</t>
  </si>
  <si>
    <t>04e30baaa3ed3e5be3f7d0ba137e3f08</t>
  </si>
  <si>
    <t>Barbora Krejcikova / Katerina Siniakova - Nicole Melichar / Kveta Peschke</t>
  </si>
  <si>
    <t>542dd49e17651709a9195ed597f654b2</t>
  </si>
  <si>
    <t>AD Cantolao - Sporting Cristal</t>
  </si>
  <si>
    <t>O(1) 1H</t>
  </si>
  <si>
    <t>1f2dde29465f7ec9de17293a502325fc</t>
  </si>
  <si>
    <t>FC Copenhagen - Slavia Praha</t>
  </si>
  <si>
    <t>O(2.25)</t>
  </si>
  <si>
    <t>5e36fb442dcf7ae40e5fa8ca1f9e0e1a</t>
  </si>
  <si>
    <t>Royal Pari FC (n) - Aurora Cochabamba</t>
  </si>
  <si>
    <t>O(2.75)</t>
  </si>
  <si>
    <t>1ee907c1aba7ea0109efe557d97deea0</t>
  </si>
  <si>
    <t>Cruzeiro - Ceara</t>
  </si>
  <si>
    <t>U(2)</t>
  </si>
  <si>
    <t>65b94f9ddea446f3b4d5492d8fcf83b0</t>
  </si>
  <si>
    <t>FK Jablonec - FC Astana</t>
  </si>
  <si>
    <t>O(2)</t>
  </si>
  <si>
    <t>902ef9e2aa496042e69fa099f7bd0d22</t>
  </si>
  <si>
    <t>Standard Liege - FC Krasnodar</t>
  </si>
  <si>
    <t>f16bb25bfeac2b4d0e6fb31c0d7a9e4a</t>
  </si>
  <si>
    <t>Blu Basket Treviglio - Bergamo Basket 2014</t>
  </si>
  <si>
    <t>U(155)</t>
  </si>
  <si>
    <t>ad4baf34a175c889390ecd07ca38418a</t>
  </si>
  <si>
    <t>Real Potosi - Sport Boys Warnes</t>
  </si>
  <si>
    <t>O(3)</t>
  </si>
  <si>
    <t>13b04bf26884638455a3432b1335a608</t>
  </si>
  <si>
    <t>Chelsea - BATE Borisov</t>
  </si>
  <si>
    <t>114f4f1c046c44d2b6e3cf730600c78a</t>
  </si>
  <si>
    <t>Win</t>
  </si>
  <si>
    <t>Changwon LG Sakers - Seoul SK Knights</t>
  </si>
  <si>
    <t>U(169)</t>
  </si>
  <si>
    <t>23f81792eaeec8a6b912c4a93a168b5b</t>
  </si>
  <si>
    <t>Anastasia Grymalska - Carolina Alves</t>
  </si>
  <si>
    <t>b5e8f9b67fcf515b628d64874bbc886a</t>
  </si>
  <si>
    <t>Sporting Lisbon - Arsenal</t>
  </si>
  <si>
    <t>69838e64793dec64fa06dd07f3438294</t>
  </si>
  <si>
    <t>NorthEast United - Jamshedpur FC</t>
  </si>
  <si>
    <t>b77fea948b5e7bfa7fc13e861518e308</t>
  </si>
  <si>
    <t>Lose</t>
  </si>
  <si>
    <t>Void</t>
  </si>
  <si>
    <t>AC Milan - Real Betis</t>
  </si>
  <si>
    <t>AH2(1)</t>
  </si>
  <si>
    <t>4eee50029258eb855cd63a894549ede2</t>
  </si>
  <si>
    <t>Sporting - Arsenal</t>
  </si>
  <si>
    <t>AH1(1)</t>
  </si>
  <si>
    <t>eace8192d6044a5c5ea99a3c48f9a9fa</t>
  </si>
  <si>
    <t>Marseille - Lazio</t>
  </si>
  <si>
    <t>5faed2b5db1a3e070e88bc8bf70a49a4</t>
  </si>
  <si>
    <t>RB Leipzig - Celtic</t>
  </si>
  <si>
    <t>22ba1c05a4f4cb5dfcb772aab269181c</t>
  </si>
  <si>
    <t>Red Bull Salzburg - Rosenborg</t>
  </si>
  <si>
    <t>AH2(1) 1H</t>
  </si>
  <si>
    <t>bf8b1d9f58a5bb10bbe41fb73e5c1d1c</t>
  </si>
  <si>
    <t>Besiktas - Genk</t>
  </si>
  <si>
    <t>608b1fa00288395dc78893af0df65d9e</t>
  </si>
  <si>
    <t>Qingdao Eagles - Guangzhou Long Lions</t>
  </si>
  <si>
    <t>AH2(6)</t>
  </si>
  <si>
    <t>be0a2023a6820351a985bb9009166323</t>
  </si>
  <si>
    <t>Georgina Garcia Perez - Monica Niculescu</t>
  </si>
  <si>
    <t>532f63730c1a5ea44dde1b6b1555ccf2</t>
  </si>
  <si>
    <t>Varvara Lepchenko - Whitney Osuigwe</t>
  </si>
  <si>
    <t>5aa3f425f9b83992598ad8cb0c3bbdad</t>
  </si>
  <si>
    <t>O(0.75) 1H</t>
  </si>
  <si>
    <t>c2a49b21711c8d9739731f747057849b</t>
  </si>
  <si>
    <t>PAOK - MOL Vidi</t>
  </si>
  <si>
    <t>AH1(-0.75)</t>
  </si>
  <si>
    <t>f11c61da37a7ddbb2110656c98c0eb7b</t>
  </si>
  <si>
    <t>Sarpsborg 08 - Malmo</t>
  </si>
  <si>
    <t>a8d397be1f0d4c1a84db06d72229b047</t>
  </si>
  <si>
    <t>MKS Dabrowa Gornicza - Stal Ostrow Wielkopolski</t>
  </si>
  <si>
    <t>AH1(3.5)</t>
  </si>
  <si>
    <t>a9da5a33a66a8af3d294bc6475c79c47</t>
  </si>
  <si>
    <t>Oklahoma City Thunder - Boston Celtics</t>
  </si>
  <si>
    <t>155a0e7b978455c9448ea2565a86441b</t>
  </si>
  <si>
    <t>0dda0ece38077fd7acc18611df72da9d</t>
  </si>
  <si>
    <t>Rennes - Dynamo Kiev</t>
  </si>
  <si>
    <t>cd057ee2c80417b60930549756244956</t>
  </si>
  <si>
    <t>Anderlecht - Fenerbahce</t>
  </si>
  <si>
    <t>ccf5a1b7e3bac6ce24e9c6e84167852e</t>
  </si>
  <si>
    <t>Ricardas Berankis - Quentin Halys</t>
  </si>
  <si>
    <t>d5b6ff1c0f0b54537f828b9fe288cfe1</t>
  </si>
  <si>
    <t>limitiran na 1 EUR</t>
  </si>
  <si>
    <t>181025</t>
  </si>
  <si>
    <t>Caroline Wozniacki - Elina Svitolina</t>
  </si>
  <si>
    <t>2</t>
  </si>
  <si>
    <t>13:30</t>
  </si>
  <si>
    <t>c272942526ce22b0fbd5c6c30caaf5c9</t>
  </si>
  <si>
    <t>Qarabag Aghdam - Vorskla Poltava</t>
  </si>
  <si>
    <t>18:55</t>
  </si>
  <si>
    <t>9c218063b8cafacdd91e47ca03614488</t>
  </si>
  <si>
    <t>Ann Li - Hailey Baptiste</t>
  </si>
  <si>
    <t>1</t>
  </si>
  <si>
    <t>15:30</t>
  </si>
  <si>
    <t>fcd156f3901b16bdce9af276b2bd7005</t>
  </si>
  <si>
    <t>M.Bryan/E.Roger-Vasselin - F.Lopez/M.Lopez</t>
  </si>
  <si>
    <t>13:00</t>
  </si>
  <si>
    <t>5a3e2aef7f47727850aadb9655f21c03</t>
  </si>
  <si>
    <t>Zob Ahan - Paykan FC</t>
  </si>
  <si>
    <t>2 1H</t>
  </si>
  <si>
    <t>14:45</t>
  </si>
  <si>
    <t>705270b77baf5ef78dd68864da7d9e98</t>
  </si>
  <si>
    <t>RSC Anderlecht - Fenerbahce</t>
  </si>
  <si>
    <t>0c70629417a41aa55abb09b98565e0f4</t>
  </si>
  <si>
    <t>Neftchi Baku 2 - Sabail 2</t>
  </si>
  <si>
    <t>O(2.5)</t>
  </si>
  <si>
    <t>96adaebffb19dc95379748c240dcc904</t>
  </si>
  <si>
    <t>FC Kapaz - PFK Turan Tovuz</t>
  </si>
  <si>
    <t>b77d3a0a9ab6939f766b4b9ab53edd3b</t>
  </si>
  <si>
    <t>Al Duhail SC - Al Kharaitiyat</t>
  </si>
  <si>
    <t>AH1(-2.5)</t>
  </si>
  <si>
    <t>16:20</t>
  </si>
  <si>
    <t>3f874bff6f222914e5557ccd3a5377e9</t>
  </si>
  <si>
    <t>Al Hilal (KSA) - Al Ittihad (KSA)</t>
  </si>
  <si>
    <t>O(3.25)</t>
  </si>
  <si>
    <t>19:30</t>
  </si>
  <si>
    <t>9275f272c44be87d376692b14d2aa2b5</t>
  </si>
  <si>
    <t>Nassaji Mazandaran - Machine Sazi Tabriz FC</t>
  </si>
  <si>
    <t>15:00</t>
  </si>
  <si>
    <t>a9b8df4ce8c35243665c4242b21ce106</t>
  </si>
  <si>
    <t>Spartak Trnava - Dinamo Zagreb</t>
  </si>
  <si>
    <t>a8eaf6a71faa3db6e5ff2c75d1f23d72</t>
  </si>
  <si>
    <t>FBC Melgar - Deportivo Municipal</t>
  </si>
  <si>
    <t>03:00</t>
  </si>
  <si>
    <t>a311e06067b6e64b660486ab7633b7cf</t>
  </si>
  <si>
    <t>Hapoel Ramat Gan Givatayim - Hapoel Katamon Jerusalem</t>
  </si>
  <si>
    <t>AH1(0.5)</t>
  </si>
  <si>
    <t>18:45</t>
  </si>
  <si>
    <t>6bea58ef6f0b55643f011ab1cd33f4d1</t>
  </si>
  <si>
    <t>Villarreal - Rapid Wien</t>
  </si>
  <si>
    <t>AH1(-0.75) 1H</t>
  </si>
  <si>
    <t>21:00</t>
  </si>
  <si>
    <t>b57aa8240e84ffe38bd128e9c1056cf7</t>
  </si>
  <si>
    <t>U(4)</t>
  </si>
  <si>
    <t>f86087cb6b5fef6289e6e846e71f0ba0</t>
  </si>
  <si>
    <t>Zurich - Bayer 04 Leverkusen</t>
  </si>
  <si>
    <t>41ad6f69f397cd1a18954a19146730c5</t>
  </si>
  <si>
    <t>Lenadores de Durango - Mineros de Zacatecas Basquetbol</t>
  </si>
  <si>
    <t>AH1(19.5)</t>
  </si>
  <si>
    <t>02:00</t>
  </si>
  <si>
    <t>c495eddb402f8be93b9450da9462f46e</t>
  </si>
  <si>
    <t>Al Sareeh - Al Ahly Amman</t>
  </si>
  <si>
    <t>17:30</t>
  </si>
  <si>
    <t>ec8b6ba1892b129f2a92da4f6b95e78f</t>
  </si>
  <si>
    <t>Farjestad Hockey - Rogle Hockey</t>
  </si>
  <si>
    <t>19:00</t>
  </si>
  <si>
    <t>8f1e8b024b4618793a627786a3de6791</t>
  </si>
  <si>
    <t>Fredericia - Viborg</t>
  </si>
  <si>
    <t>18:30</t>
  </si>
  <si>
    <t>fc4245c6c67fcedc78c0a2ce8116a65c</t>
  </si>
  <si>
    <t>Maccabi Herzliya - Hapoel Kfar Shalem</t>
  </si>
  <si>
    <t>X</t>
  </si>
  <si>
    <t>16:30</t>
  </si>
  <si>
    <t>8d028ec0c8c4ac87ecf28c1fdda08ec9</t>
  </si>
  <si>
    <t>Vaxjo Lakers Hockey - Lulea Hockey</t>
  </si>
  <si>
    <t>AH2(0.5)</t>
  </si>
  <si>
    <t>d1fbe8a9c8e9c8484258b236af389e2f</t>
  </si>
  <si>
    <t>Eintracht Frankfurt - Apollon Limassol</t>
  </si>
  <si>
    <t>16b7f5b90f6113a5ba5926641647d732</t>
  </si>
  <si>
    <t>Jean Julien Rojer / Horia Tecau - Alexander Zverev / Mischa Zverev</t>
  </si>
  <si>
    <t>18:00</t>
  </si>
  <si>
    <t>66bce8684eb6ce166db6d1c4c15b3b9b</t>
  </si>
  <si>
    <t>Pedro Sousa - Juan Ignacio Londero</t>
  </si>
  <si>
    <t>20:00</t>
  </si>
  <si>
    <t>51330349b07bad27a8a17653ac792b2f</t>
  </si>
  <si>
    <t>U(2.25)</t>
  </si>
  <si>
    <t>17f943341d16e2f677f663d94aa388a4</t>
  </si>
  <si>
    <t>Win Half Stake</t>
  </si>
  <si>
    <t>21c11c125e6315ab5b48bdc7308ac8ae</t>
  </si>
  <si>
    <t>Zenit St. Petersburg - Bordeaux</t>
  </si>
  <si>
    <t>466cba8984145464326600a14f311e55</t>
  </si>
  <si>
    <t>Edmonton Oilers - Washington Capitals</t>
  </si>
  <si>
    <t>8402eba6d447b6f758037336e6b1d76b</t>
  </si>
  <si>
    <t>Altay - Denizlispor</t>
  </si>
  <si>
    <t>afdd4cedf1c8ecb245698e70f75f1884</t>
  </si>
  <si>
    <t>3d95403c9094e038fbda869201140906</t>
  </si>
  <si>
    <t>Trelleborgs - Elfsborg</t>
  </si>
  <si>
    <t>300731204c5fc8012122dda4d43a3bb5</t>
  </si>
  <si>
    <t>2adb513ad9ed3b83250e1b6c608fe546</t>
  </si>
  <si>
    <t>Palermo - Venezia</t>
  </si>
  <si>
    <t>25305e27973d322f99fd173dc9db6c71</t>
  </si>
  <si>
    <t>Bursaspor - Alanyaspor</t>
  </si>
  <si>
    <t>7add4e016eb7495f94210c94bf7147d5</t>
  </si>
  <si>
    <t>Sporting Gijon - Cordoba CF</t>
  </si>
  <si>
    <t>3e6822b1d30104d4b8e0682143c26693</t>
  </si>
  <si>
    <t>Western Michigan Broncos - Toledo Rockets</t>
  </si>
  <si>
    <t>O(68)</t>
  </si>
  <si>
    <t>01:00</t>
  </si>
  <si>
    <t>90e1f92d82b7fa143a74d1825145c33b</t>
  </si>
  <si>
    <t>Grenoble Foot 38 - Troyes</t>
  </si>
  <si>
    <t>ec6fb790a23e9ca89aa592990199e493</t>
  </si>
  <si>
    <t>Volendam - Jong Ajax</t>
  </si>
  <si>
    <t>dc557a0f230f04c7f97f2b5d1e77b1e5</t>
  </si>
  <si>
    <t>SV Babelsberg 03 - VSG Altglienicke</t>
  </si>
  <si>
    <t>97340ba49cb18a4c4c8bc75a1e4d8881</t>
  </si>
  <si>
    <t>Georgia Southern Eagles - Appalachian State Mountaineers</t>
  </si>
  <si>
    <t>AH2(-10.5)</t>
  </si>
  <si>
    <t>01:30</t>
  </si>
  <si>
    <t>80ad806e2116344599467ff9d77c2827</t>
  </si>
  <si>
    <t>Junior Barranquilla - Defensa y Justicia</t>
  </si>
  <si>
    <t>O(1.75)</t>
  </si>
  <si>
    <t>02:45</t>
  </si>
  <si>
    <t>d100452630f929ad00dd5280763833de</t>
  </si>
  <si>
    <t>Sligo Rovers - Shamrock Rovers</t>
  </si>
  <si>
    <t>20:45</t>
  </si>
  <si>
    <t>631e56619bf8b96694ddeaf44b6adec4</t>
  </si>
  <si>
    <t>Lose Half Stake</t>
  </si>
  <si>
    <t>Perth Lynx (w) - Bendigo Spirit (w)</t>
  </si>
  <si>
    <t>AH1(-4.5)</t>
  </si>
  <si>
    <t>12:30</t>
  </si>
  <si>
    <t>7ee2bff7e6065d4b6cbd883294a66ecc</t>
  </si>
  <si>
    <t>Provence Basket Fos Sur Mer - Boulazac Basket Dordogne</t>
  </si>
  <si>
    <t>U(153.5)</t>
  </si>
  <si>
    <t>757ac61e15e08ee99c0af7b890e28b58</t>
  </si>
  <si>
    <t>SV Darmstadt 98 - Greuther Furth</t>
  </si>
  <si>
    <t>6862e7cab7512b7fa66aaa6a655a778c</t>
  </si>
  <si>
    <t>Londrina PR - Vila Nova GO</t>
  </si>
  <si>
    <t>00:15</t>
  </si>
  <si>
    <t>bfddc6cc12d708c771a711d06d45f087</t>
  </si>
  <si>
    <t>181026</t>
  </si>
  <si>
    <t>Goias - Avai SC</t>
  </si>
  <si>
    <t>02:30</t>
  </si>
  <si>
    <t>cf8feab5f6defd3f042ab33d0d89c9de</t>
  </si>
  <si>
    <t>CA Huracan - Colon de Santa Fe</t>
  </si>
  <si>
    <t>fb6df7bd3e8a80bd2c7d0927ca922428</t>
  </si>
  <si>
    <t>Tiburones Rojos Veracruz - Pachuca</t>
  </si>
  <si>
    <t>04:00</t>
  </si>
  <si>
    <t>b72f214ebdd4332e1de26e4504b5c780</t>
  </si>
  <si>
    <t>Teplice - Banik Ostrava</t>
  </si>
  <si>
    <t>1444a63fde93b13da7838a640e6c8087</t>
  </si>
  <si>
    <t>Shonan Bellmare (N) - Yokohama Marinos</t>
  </si>
  <si>
    <t>06:05</t>
  </si>
  <si>
    <t>072940b4d05349a3002895101795ba62</t>
  </si>
  <si>
    <t>Zhejiang Guangsha Lions - Nanjing Tongxi Monkey King</t>
  </si>
  <si>
    <t>O(216.5)</t>
  </si>
  <si>
    <t>a57f4ebb275597ef02fa376d0c214dd2</t>
  </si>
  <si>
    <t>Sheffield Sharks - Cheshire Phoenix</t>
  </si>
  <si>
    <t>O(166)</t>
  </si>
  <si>
    <t>20:30</t>
  </si>
  <si>
    <t>69eaeb599f3942be8d9b28d8ab372ad1</t>
  </si>
  <si>
    <t>NLEX Road Warriors - Alaska Aces</t>
  </si>
  <si>
    <t>U(207.5)</t>
  </si>
  <si>
    <t>10:30</t>
  </si>
  <si>
    <t>fb94eef8c8e5ea50ac294abe2e31b4d3</t>
  </si>
  <si>
    <t>NK Rudes - NK Lokomotiva</t>
  </si>
  <si>
    <t>AH1(0.5) 1H</t>
  </si>
  <si>
    <t>3db6ed525396cc994d1cd80ca40f9c85</t>
  </si>
  <si>
    <t>Ashleigh Barty / Coco Vandeweghe - Elise Mertens / Demi Schuurs</t>
  </si>
  <si>
    <t>0578d36f245ba9f630d4a860624324bd</t>
  </si>
  <si>
    <t>AH2(5)</t>
  </si>
  <si>
    <t>548b5aeb2512215fab5e156a072d6853</t>
  </si>
  <si>
    <t>Emmen - VVV-Venlo</t>
  </si>
  <si>
    <t>cd9cb6ed5f1c148c0e33723db81802da</t>
  </si>
  <si>
    <t>Valenciennes - AS Nancy Lorraine</t>
  </si>
  <si>
    <t>8e250c2e5292b1b506426d2bdb39d6b5</t>
  </si>
  <si>
    <t>SC Verl - Viktoria Koln</t>
  </si>
  <si>
    <t>30e83a81c9fe405a21aebb78992f217f</t>
  </si>
  <si>
    <t>IFK Goteborg - GIF Sundsvall</t>
  </si>
  <si>
    <t>037514eece378fd2935140cfeef5dd03</t>
  </si>
  <si>
    <t>O(154.5)</t>
  </si>
  <si>
    <t>03f6083fa01383d898fb136abfbd21ae</t>
  </si>
  <si>
    <t>SSV Ulm 1846 - Saarbrucken</t>
  </si>
  <si>
    <t>3f3eeed0c37192d4f6cceee080d41158</t>
  </si>
  <si>
    <t>St. Patricks Athletic - Derry City</t>
  </si>
  <si>
    <t>1 1H</t>
  </si>
  <si>
    <t>0b3a96be64a9e576f485481aaa128ef6</t>
  </si>
  <si>
    <t>Ural Sverdlovsk Oblast U21 - FC Ufa U21</t>
  </si>
  <si>
    <t>U(4.5)</t>
  </si>
  <si>
    <t>09:00</t>
  </si>
  <si>
    <t>b631b18e83d962dd1ab6fddc921e7f3b</t>
  </si>
  <si>
    <t>Saint-Chamond - Aix Maurienne Savoie Basket</t>
  </si>
  <si>
    <t>U(158)</t>
  </si>
  <si>
    <t>b4e222ddb4e1d5239661555cd8a6e3e8</t>
  </si>
  <si>
    <t>Lowen Frankfurt - Eispiraten Crimmitschau</t>
  </si>
  <si>
    <t>O(6.5)</t>
  </si>
  <si>
    <t>0ccc796bf4635ca9785ab07979cb1467</t>
  </si>
  <si>
    <t>EC Red Bull Salzburg - Dornbirn Bulldogs</t>
  </si>
  <si>
    <t>AH1(-1.5)</t>
  </si>
  <si>
    <t>19:15</t>
  </si>
  <si>
    <t>bb89c4d9b732ac4572987415d85f0bc8</t>
  </si>
  <si>
    <t>Sacramento Kings - Washington Wizards</t>
  </si>
  <si>
    <t>U(237)</t>
  </si>
  <si>
    <t>04:05</t>
  </si>
  <si>
    <t>fa4938f841b266177562b2d84215ac8e</t>
  </si>
  <si>
    <t>Ricardas Berankis - Jaume Munar</t>
  </si>
  <si>
    <t>d8f6033830a8dd3cc3b75b3f7dd24589</t>
  </si>
  <si>
    <t>Julien Benneteau - Stefano Travaglia</t>
  </si>
  <si>
    <t>d35b0c6e03a357929e6c1df6848ee334</t>
  </si>
  <si>
    <t>TSG 1899 Hoffenheim AM - SC Freiburg AM</t>
  </si>
  <si>
    <t>17:00</t>
  </si>
  <si>
    <t>2596f64dc49f35b7216d716f1b7f6150</t>
  </si>
  <si>
    <t>Maccabi Ironi Kiryat Ata (N) - Hapoel Asi Gilboa</t>
  </si>
  <si>
    <t>AH2(1.5)</t>
  </si>
  <si>
    <t>bc1c91b77d41b0284dd7fea37dc94187</t>
  </si>
  <si>
    <t>U(3)</t>
  </si>
  <si>
    <t>a147c116d502caf93b4f55f439cf7e0c</t>
  </si>
  <si>
    <t>Deportivo Cuenca - El Nacional Quito</t>
  </si>
  <si>
    <t>fae0f74c83821071d415662d801104bc</t>
  </si>
  <si>
    <t>Arsenal Tula U21 - FC Orenburg U21</t>
  </si>
  <si>
    <t>8a0004903bab89fa2efe08b56802a25d</t>
  </si>
  <si>
    <t>AH2(0.5) 1H</t>
  </si>
  <si>
    <t>379a9b96572b7f2517de61e1ddc11a20</t>
  </si>
  <si>
    <t>Adelaide United - Newcastle Jets</t>
  </si>
  <si>
    <t>AH1(-0.25)</t>
  </si>
  <si>
    <t>10:50</t>
  </si>
  <si>
    <t>c5cfc0bf87e9df34c55b8ba5b547b2c1</t>
  </si>
  <si>
    <t>NK Rudes - NK Lokomotiva Zagreb</t>
  </si>
  <si>
    <t>0360d04637c6932c3b3f97f4b1d4360d</t>
  </si>
  <si>
    <t>Maccabi Yavne - Beitar Kfar Saba Shlomi</t>
  </si>
  <si>
    <t>AH2(1.25)</t>
  </si>
  <si>
    <t>6f5fb341e37bfaed2644b16aa7b24980</t>
  </si>
  <si>
    <t>UC Capitals (W) - Melbourne Boomers (W)</t>
  </si>
  <si>
    <t>AH1(-3)</t>
  </si>
  <si>
    <t>10:00</t>
  </si>
  <si>
    <t>147c5a40146dade069d4f47ff2c6ad46</t>
  </si>
  <si>
    <t>FC Shikun HaMizrah - Hapoel Yeruham</t>
  </si>
  <si>
    <t>11:30</t>
  </si>
  <si>
    <t>267f3b7d007ff0269778f7cc6697025e</t>
  </si>
  <si>
    <t>Beitar Nahariya - FC Ahva Kafr Manda</t>
  </si>
  <si>
    <t>10:45</t>
  </si>
  <si>
    <t>656ad9337d7fda767a7b46262cf0ec61</t>
  </si>
  <si>
    <t>Jagiellonia Bialystok - Legia Warszawa</t>
  </si>
  <si>
    <t>U(1) 1H</t>
  </si>
  <si>
    <t>b24b1a4d7847070ae2137ebb5d7e1786</t>
  </si>
  <si>
    <t>NEC Nijmegen - TOP Oss</t>
  </si>
  <si>
    <t>AH1(-1)</t>
  </si>
  <si>
    <t>e8f02a67cfdeb697d9344ed6e3f15cf3</t>
  </si>
  <si>
    <t>bfb50452b704bcd3428b6be906f42354</t>
  </si>
  <si>
    <t>AH2(-7.5)</t>
  </si>
  <si>
    <t>84961e051bdeac38db8173bcc902f301</t>
  </si>
  <si>
    <t>Daejeon Korail - Mokpo City FC</t>
  </si>
  <si>
    <t>12:00</t>
  </si>
  <si>
    <t>71353ef6cfce8cc4c71000c89720b819</t>
  </si>
  <si>
    <t>Lorenzo Sonego - Roberto Carballes Baena</t>
  </si>
  <si>
    <t>14:00</t>
  </si>
  <si>
    <t>ac59133a48b04af553d6a7c763fed789</t>
  </si>
  <si>
    <t>HPK Hameenlinna - Kouvolan KooKoo</t>
  </si>
  <si>
    <t>315b001ce56b1846bbc0b7310523d24f</t>
  </si>
  <si>
    <t>China U19 - Malaysia U19</t>
  </si>
  <si>
    <t>83b5954166bec5b53dfe8cafd340b5fe</t>
  </si>
  <si>
    <t>ccb7fdce9c2f64f3ad3bce63773a47c0</t>
  </si>
  <si>
    <t>0a1495a6ab4f2be99d0146875510709d</t>
  </si>
  <si>
    <t>AH2(14.5)</t>
  </si>
  <si>
    <t>13:35</t>
  </si>
  <si>
    <t>ebfa5ed43800a34032de37df8e129a66</t>
  </si>
  <si>
    <t>U(2.5)</t>
  </si>
  <si>
    <t>8ffe88f89a5e762c0f4dceecdda6038c</t>
  </si>
  <si>
    <t>VfB Lubeck - SC Weiche Flensburg 08</t>
  </si>
  <si>
    <t>7c4569f5eacb8d86f3a634d820ddb7e1</t>
  </si>
  <si>
    <t>Maccabi Kabilio Jaffa - FC Kafr Qasim</t>
  </si>
  <si>
    <t>13:15</t>
  </si>
  <si>
    <t>c49d71b25107324e15acc95dde818fa5</t>
  </si>
  <si>
    <t>Santos Laguna - Rayados Monterrey</t>
  </si>
  <si>
    <t>6ff1d8a5b35ec87a62f1958546be8353</t>
  </si>
  <si>
    <t>Saudi Arabia U19 - Tajikistan U19</t>
  </si>
  <si>
    <t>b24d850accfa031b4163c0e4edc2f32d</t>
  </si>
  <si>
    <t>MZKS Chrobry Glogow - MKS Bytovia Bytow</t>
  </si>
  <si>
    <t>580cd902d719643137da7255623bbdfb</t>
  </si>
  <si>
    <t>19386f7a0b57d639b3ee75648fb92ad7</t>
  </si>
  <si>
    <t>Atletico de Kolkata - Chennaiyin FC</t>
  </si>
  <si>
    <t>16:00</t>
  </si>
  <si>
    <t>17c2f7e518146e51a2595a7a502d2f20</t>
  </si>
  <si>
    <t>Hapoel Kfar Saba - Beitar Tel Aviv Ramla</t>
  </si>
  <si>
    <t>ece8fed34bba856da69b8ac35d6aecda</t>
  </si>
  <si>
    <t>Club Atletico Tigre (R) - Lanus (R)</t>
  </si>
  <si>
    <t>d54a2dfdb54200a978ce558c32891ecc</t>
  </si>
  <si>
    <t>Lorient - Metz</t>
  </si>
  <si>
    <t>d32f32e21662e1a21dc16f5012c64652</t>
  </si>
  <si>
    <t>de6b024837bb44e34579565ddca22b93</t>
  </si>
  <si>
    <t>Girona - Rayo Vallecano</t>
  </si>
  <si>
    <t>685641c05dc2309e2985a4f7c2a11404</t>
  </si>
  <si>
    <t>Padova - Spezia</t>
  </si>
  <si>
    <t>50326a132fa2f0a408f3fce2bc81c900</t>
  </si>
  <si>
    <t>Stranraer - Arbroath</t>
  </si>
  <si>
    <t>f0da2160d26ecd993942f1ad361ddcbe</t>
  </si>
  <si>
    <t>Port Vale - Bury</t>
  </si>
  <si>
    <t>cae6b73d387511f21c7a15796b69ab2b</t>
  </si>
  <si>
    <t>Stirling Albion - Edinburgh City</t>
  </si>
  <si>
    <t>92716524a980b1f1de6f73b25f22f631</t>
  </si>
  <si>
    <t>Bristol City - Stoke City</t>
  </si>
  <si>
    <t>35db3c4d722523473f2b3cdacd7f610a</t>
  </si>
  <si>
    <t>Partick Thistle - Ayr United</t>
  </si>
  <si>
    <t>e2cfde681e309203f3f61f1bad0595ab</t>
  </si>
  <si>
    <t>Juventude - Sampaio Correa</t>
  </si>
  <si>
    <t>9d52eb22c05a50413495ad62b93dd035</t>
  </si>
  <si>
    <t>Mallorca - Las Palmas</t>
  </si>
  <si>
    <t>ecdce9f25160e64b6374aff2aabc7ec2</t>
  </si>
  <si>
    <t>Beitar Jerusalem - Bnei Yehuda Tel Aviv</t>
  </si>
  <si>
    <t>faf8d072a53b4184028a8ffe4365c3f3</t>
  </si>
  <si>
    <t>Maccabi Netanya - Hapoel Beer Sheva</t>
  </si>
  <si>
    <t>AH2(-0.25) 1H</t>
  </si>
  <si>
    <t>18:15</t>
  </si>
  <si>
    <t>b7443ae85a6ad0c9a9a5c0a0b601047c</t>
  </si>
  <si>
    <t>b69073c35dfa31bcd5abbf3b56c2b11d</t>
  </si>
  <si>
    <t>Tenerife - Alcorcon</t>
  </si>
  <si>
    <t>2b0a18d12d3aa9461689d9339fc63c35</t>
  </si>
  <si>
    <t>adb03cf1ff467fc7cc00530524bdde7e</t>
  </si>
  <si>
    <t>Perth Wildcats - Melbourne United</t>
  </si>
  <si>
    <t>06:01</t>
  </si>
  <si>
    <t>68b5568f9ba859703887f3279088f4ec</t>
  </si>
  <si>
    <t>db7cd6ecc53569b2958a44288933c53d</t>
  </si>
  <si>
    <t>Livorno - Ascoli</t>
  </si>
  <si>
    <t>cde64e9d8cbcc9e2009792a7f9eb7271</t>
  </si>
  <si>
    <t>BK Decin - USK Praha</t>
  </si>
  <si>
    <t>U(148)</t>
  </si>
  <si>
    <t>2a7047c534a58f20f60495693b17b374</t>
  </si>
  <si>
    <t>Borussia Dortmund - Hertha Berlin</t>
  </si>
  <si>
    <t>d098a6336da1b469a5425ae35f51deb2</t>
  </si>
  <si>
    <t>Colorado Avalanche - Ottawa Senators</t>
  </si>
  <si>
    <t>03:05</t>
  </si>
  <si>
    <t>fa4c307a409d02413c3c4872755a532a</t>
  </si>
  <si>
    <t>AH2(-5)</t>
  </si>
  <si>
    <t>b37e6ba747f770e5786b4314508649db</t>
  </si>
  <si>
    <t>Empoli - Juventus</t>
  </si>
  <si>
    <t>AH1(0.75) 1H</t>
  </si>
  <si>
    <t>cc736e1a0ed728b86089b5e28bca2f0b</t>
  </si>
  <si>
    <t>Illawarra Hawks - Brisbane Bullets</t>
  </si>
  <si>
    <t>U(174)</t>
  </si>
  <si>
    <t>895d56255fa07f242a735f390315f2d3</t>
  </si>
  <si>
    <t>Guingamp - Strasbourg</t>
  </si>
  <si>
    <t>1c1d275af519da82626b9df2222b7d31</t>
  </si>
  <si>
    <t>181027</t>
  </si>
  <si>
    <t>87bc7ef288f9694937f89fdcdd01adb8</t>
  </si>
  <si>
    <t>Lechia Gdansk - Arka Gdynia</t>
  </si>
  <si>
    <t>10a409406683e171627a51cb787f46f5</t>
  </si>
  <si>
    <t>Texas Stars - Chicago Wolves</t>
  </si>
  <si>
    <t>U(6)</t>
  </si>
  <si>
    <t>8a26f2a5ad65e040b3e021c6878f3142</t>
  </si>
  <si>
    <t>Binghamton Devils - Charlotte Checkers</t>
  </si>
  <si>
    <t>O(5.5)</t>
  </si>
  <si>
    <t>01:05</t>
  </si>
  <si>
    <t>5c935746c2b520ee7189ae3befaff401</t>
  </si>
  <si>
    <t>Ontario Reign - Tucson Roadrunners</t>
  </si>
  <si>
    <t>O(6)</t>
  </si>
  <si>
    <t>173eb2cf4d45c6f588e3339cc37b3c55</t>
  </si>
  <si>
    <t>Montedio Yamagata - Mito Hollyhock</t>
  </si>
  <si>
    <t>07:00</t>
  </si>
  <si>
    <t>504acc8fee443b67c1d1cfc571dc4563</t>
  </si>
  <si>
    <t>Syracuse Crunch - Charlotte Checkers</t>
  </si>
  <si>
    <t>AH2(-0.5)</t>
  </si>
  <si>
    <t>f223534d4eda55497f2be1014c30e0e1</t>
  </si>
  <si>
    <t>Albirex Niigata - Machida Zelvia</t>
  </si>
  <si>
    <t>9d1ff7903dc247eaaf73db1528a65009</t>
  </si>
  <si>
    <t>AC Oulu - JJK Jyvaskyla</t>
  </si>
  <si>
    <t>a24ab0c729c5cd79c0a7abc1d4e42049</t>
  </si>
  <si>
    <t>Boston Bruins - Montreal Canadiens</t>
  </si>
  <si>
    <t>191557185929d9c1834d746067a79773</t>
  </si>
  <si>
    <t>San Diego Gulls - Tucson Roadrunners</t>
  </si>
  <si>
    <t>AH1(-0.5)</t>
  </si>
  <si>
    <t>8123aa782637c7cfc2e3d9dc93318b8f</t>
  </si>
  <si>
    <t>Guangzhou R&amp;F - Tianjin Quanjian</t>
  </si>
  <si>
    <t>0503a19f7237aab511f2a554109ff3dc</t>
  </si>
  <si>
    <t>Changchun Yatai - Chongqing Lifan</t>
  </si>
  <si>
    <t>09:30</t>
  </si>
  <si>
    <t>7dedda303bb8a4b466d0801c881f01c4</t>
  </si>
  <si>
    <t>Pescara - Cittadella</t>
  </si>
  <si>
    <t>0b2f39ef7d297b8e46a9acdd5be4c658</t>
  </si>
  <si>
    <t>7277b39ca52925919b0c15d58dc985be</t>
  </si>
  <si>
    <t>SC Hessen Dreieich - FSV Frankfurt</t>
  </si>
  <si>
    <t>0536e065d2ba586d2ab2c19c6f66655e</t>
  </si>
  <si>
    <t>b3be2ffc5845a9eb49ed1800b34df955</t>
  </si>
  <si>
    <t>773180dfdd440ab070055223507945f0</t>
  </si>
  <si>
    <t>b40eb4c374603a981dacb5d77a256d16</t>
  </si>
  <si>
    <t>5ebcc3699a219fb4eee86d2ab98bd51e</t>
  </si>
  <si>
    <t>Elazigspor - Hatayspor</t>
  </si>
  <si>
    <t>2cfd74e32819749fe297828a7a53b3ed</t>
  </si>
  <si>
    <t>4ea6af0c6770a5d5e377281a79942d9b</t>
  </si>
  <si>
    <t>Arsenal Kiev - Shakhtar Donetsk</t>
  </si>
  <si>
    <t>3a7020a3bad214dfbe081fca90cc817b</t>
  </si>
  <si>
    <t>d2bfa9d561d7912c6683981161b382e7</t>
  </si>
  <si>
    <t>Middlesbrough - Derby County</t>
  </si>
  <si>
    <t>1aeede2462437d2e8a165ab1f0730108</t>
  </si>
  <si>
    <t>Schaffhausen - Winterthur</t>
  </si>
  <si>
    <t>451baea6a4db229bd31b05e8e6406e7d</t>
  </si>
  <si>
    <t>Calgary Flames - Washington Capitals</t>
  </si>
  <si>
    <t>22:00</t>
  </si>
  <si>
    <t>da1c9c652ad60f87bf532ab14a1638c5</t>
  </si>
  <si>
    <t>Columbus Blue Jackets - Buffalo Sabres</t>
  </si>
  <si>
    <t>26edf49d91840848b0b9d59a8e595057</t>
  </si>
  <si>
    <t>Rad Belgrade - Radnicki Nis</t>
  </si>
  <si>
    <t>8f3fa81ca9a0edca294dadc1c193f762</t>
  </si>
  <si>
    <t>e667968326b7b4f237b8e988bc1dddcb</t>
  </si>
  <si>
    <t>Alki Oroklini - APOEL Nicosia</t>
  </si>
  <si>
    <t>733d0e9a7f3847bc1d65b0ea7d431e4c</t>
  </si>
  <si>
    <t>Airdrieonians - Stenhousemuir</t>
  </si>
  <si>
    <t>d3d84dcf8724a4cbbb7326173a94b0a3</t>
  </si>
  <si>
    <t>AH2(-0.75) 1H</t>
  </si>
  <si>
    <t>4431d9638995742331b3b186d1b62a38</t>
  </si>
  <si>
    <t>Altrincham - Ashton United</t>
  </si>
  <si>
    <t>16cf625ad7e3778115069daa12ac8763</t>
  </si>
  <si>
    <t>Don Benito - Villanovense</t>
  </si>
  <si>
    <t>f68785514fc8047b3ebfd99b981db721</t>
  </si>
  <si>
    <t>Deportivo Cali - Jaguares de Cordoba</t>
  </si>
  <si>
    <t>23:00</t>
  </si>
  <si>
    <t>78537325c1ee0dc133779abfb7ed93d0</t>
  </si>
  <si>
    <t>Monopoli - Catanzaro</t>
  </si>
  <si>
    <t>14:30</t>
  </si>
  <si>
    <t>0c4d8bda7339d4d67a9a9fbcc99f1952</t>
  </si>
  <si>
    <t>Birmingham City - Sheffield Wednesday</t>
  </si>
  <si>
    <t>1423778fbc673a477089a5d10356e755</t>
  </si>
  <si>
    <t>Atletico Madrid - Real Sociedad</t>
  </si>
  <si>
    <t>f2d8afc0bfb6f5b7044cf99e5a5bf5cc</t>
  </si>
  <si>
    <t>Ifaistos Limnou - Kolossos Rhodes</t>
  </si>
  <si>
    <t>U(152.5)</t>
  </si>
  <si>
    <t>d33ad38430e2e489cc1173476d8edf90</t>
  </si>
  <si>
    <t>AH2(-1.75)</t>
  </si>
  <si>
    <t>397bed379b991de002a8f59af58106a0</t>
  </si>
  <si>
    <t>ADO Den Haag - NAC Breda</t>
  </si>
  <si>
    <t>105e727850b85698eba1ce6b0a5833d4</t>
  </si>
  <si>
    <t>AH2(0.75)</t>
  </si>
  <si>
    <t>0914adc27dca8302a1a667e94ac1a403</t>
  </si>
  <si>
    <t>Lille - Caen</t>
  </si>
  <si>
    <t>0c3491a246219d2d7441b12e8b502051</t>
  </si>
  <si>
    <t>fe234931e835ed3237168effaf420d65</t>
  </si>
  <si>
    <t>Foggia - Lecce</t>
  </si>
  <si>
    <t>ada6755266a4b04190078ac9c1edc881</t>
  </si>
  <si>
    <t>Henan Jianye - Beijing Guoan</t>
  </si>
  <si>
    <t>74d7b63607f33c64e4217fba14a03413</t>
  </si>
  <si>
    <t>Coleraine - Cliftonville</t>
  </si>
  <si>
    <t>ebd63caf1819e3f4447797f00ce2f1d9</t>
  </si>
  <si>
    <t>7a5a47b9e4de35762c04df6d0d93b8a2</t>
  </si>
  <si>
    <t>U(2.75)</t>
  </si>
  <si>
    <t>0e18d99673fd50cbfb06ac3ab8e6ea8f</t>
  </si>
  <si>
    <t>f000b21e60c7939a6e7b7038f2bbcbaf</t>
  </si>
  <si>
    <t>f27f7148e9e48c39de5851540f403694</t>
  </si>
  <si>
    <t>U(3.25)</t>
  </si>
  <si>
    <t>5a915817d8ef4bd85bf9e83f74764e6d</t>
  </si>
  <si>
    <t>New Jersey Devils - Florida Panthers</t>
  </si>
  <si>
    <t>4af715a6f38b66c1184966d80553de1c</t>
  </si>
  <si>
    <t>Pokerstars EU</t>
  </si>
  <si>
    <t>d905cf7038d10ab0871395d1ab1aa769</t>
  </si>
  <si>
    <t>73b56a85eb4fe0b2245056e8df215ff2</t>
  </si>
  <si>
    <t>Ventforet Kofu - Kamatamare Sanuki</t>
  </si>
  <si>
    <t>b31ca74f9dc589eaf07694dfeb48a3e8</t>
  </si>
  <si>
    <t>Nurnberg - Eintracht Frankfurt</t>
  </si>
  <si>
    <t>5f5445dc28222fb27696ea53859542e6</t>
  </si>
  <si>
    <t>HB Koge - Naestved</t>
  </si>
  <si>
    <t>e63ab190a581c40bf6a99ebce6f61c1d</t>
  </si>
  <si>
    <t>Belenenses - Benfica</t>
  </si>
  <si>
    <t>21:30</t>
  </si>
  <si>
    <t>ca557fa4898e4c212535b7450dafb511</t>
  </si>
  <si>
    <t>6afd70abf49610dd93d6ebdbb0743899</t>
  </si>
  <si>
    <t>34ae106292f13faafb7a1bf46acf711c</t>
  </si>
  <si>
    <t>Millwall - Ipswich Town</t>
  </si>
  <si>
    <t>e4500ac98c64456777f32e6f185f7b34</t>
  </si>
  <si>
    <t>Fulham - Bournemouth</t>
  </si>
  <si>
    <t>16:15</t>
  </si>
  <si>
    <t>aae9cab75c4efb02fe4a1aa94d2609c1</t>
  </si>
  <si>
    <t>c0ff8559dcaa8816b586929652997300</t>
  </si>
  <si>
    <t>Clyde - Peterhead</t>
  </si>
  <si>
    <t>ec4c7c0b82360fb77e43b28774521458</t>
  </si>
  <si>
    <t>Norwich City - Brentford</t>
  </si>
  <si>
    <t>1c3632b54df4a73509b96588ff4204b9</t>
  </si>
  <si>
    <t>Genoa - Udinese</t>
  </si>
  <si>
    <t>4c01c122e58c88db36c62ab03f2386cf</t>
  </si>
  <si>
    <t>Cagliari - Chievo</t>
  </si>
  <si>
    <t>a23604150edc19145917188ab054abc7</t>
  </si>
  <si>
    <t>Sassuolo - Bologna</t>
  </si>
  <si>
    <t>1fed2032ab49a2fb53019319b66a284c</t>
  </si>
  <si>
    <t>Arkansas - Vanderbilt</t>
  </si>
  <si>
    <t>6245e67b577392b349eef580d899dee5</t>
  </si>
  <si>
    <t>Gornik Zabrze - Zaglebie Lubin</t>
  </si>
  <si>
    <t>8243072a07652113b9e5a9f6e87e5b93</t>
  </si>
  <si>
    <t>705264d940b1aa4053d889c8e8be8d73</t>
  </si>
  <si>
    <t>GTK Gliwice - Polpharma Starogard Gdanski</t>
  </si>
  <si>
    <t>AH2(4)</t>
  </si>
  <si>
    <t>2d039d786bebb921035ca95541d89f16</t>
  </si>
  <si>
    <t>O(175)</t>
  </si>
  <si>
    <t>12:40</t>
  </si>
  <si>
    <t>0af48a9077ddd02c4aa5439f172f7f24</t>
  </si>
  <si>
    <t>dde129184d794dfd1cbf81b76bd3d090</t>
  </si>
  <si>
    <t>dee740f3105775af28f8aded3597f41b</t>
  </si>
  <si>
    <t>Crotone - Salernitana</t>
  </si>
  <si>
    <t>9e9020a345bb47e787c4d9fd7a42fb8d</t>
  </si>
  <si>
    <t>Barcelona - Real Madrid</t>
  </si>
  <si>
    <t>U(1.5) 1H</t>
  </si>
  <si>
    <t>17:15</t>
  </si>
  <si>
    <t>2a19e2cfe739de1e09b3848b6673e815</t>
  </si>
  <si>
    <t>a8a1e16224cbd0128bb477265c6b0e6b</t>
  </si>
  <si>
    <t>Toronto FC - Atlanta United</t>
  </si>
  <si>
    <t>22:30</t>
  </si>
  <si>
    <t>cc5cb8d5ce9f70c4bd1b71385a7846ac</t>
  </si>
  <si>
    <t>06c8acfb4cafd37e01c793f19e47bd25</t>
  </si>
  <si>
    <t>Hapoel Haifa - Maccabi Tel Aviv</t>
  </si>
  <si>
    <t>AH2(-0.5) 1H</t>
  </si>
  <si>
    <t>93416cc79abdd5e70c5890a407702cb1</t>
  </si>
  <si>
    <t>Binghamton Devils - Lehigh Valley Phantoms</t>
  </si>
  <si>
    <t>70ea7fdef38aeb3bfc40d9e490de8796</t>
  </si>
  <si>
    <t>Chicago Bears - New York Jets</t>
  </si>
  <si>
    <t>U(43.5)</t>
  </si>
  <si>
    <t>c2eac19266e67f16c922c2e79991baa7</t>
  </si>
  <si>
    <t>Shanghai SIPG - Shandong Luneng</t>
  </si>
  <si>
    <t>4875ca313e533e7c1f4ab9cba9882aa4</t>
  </si>
  <si>
    <t>181028</t>
  </si>
  <si>
    <t>1fc54f9f5fad385cd60cd1345504f91f</t>
  </si>
  <si>
    <t>Napoli - AS Roma</t>
  </si>
  <si>
    <t>60680fcd7021af192b7d34d2211fc74d</t>
  </si>
  <si>
    <t>Vancouver Whitecaps - Portland Timbers</t>
  </si>
  <si>
    <t>9912a7b3a06e97fc12af55e798334ce8</t>
  </si>
  <si>
    <t>1a30ce8c3602261367ae3151f0894c4d</t>
  </si>
  <si>
    <t>bbb5d97be371e0c3ca68fd5fcb279449</t>
  </si>
  <si>
    <t>Oakland Raiders - Indianapolis Colts</t>
  </si>
  <si>
    <t>21:05</t>
  </si>
  <si>
    <t>8d4ed37fffabb98515b59026563f2906</t>
  </si>
  <si>
    <t>Los Angeles Rams - Green Bay Packers</t>
  </si>
  <si>
    <t>AH2(8.5)</t>
  </si>
  <si>
    <t>21:25</t>
  </si>
  <si>
    <t>8dc142357222fa8e0bafd4867f1d625c</t>
  </si>
  <si>
    <t>Brooklyn Nets - Golden State Warriors</t>
  </si>
  <si>
    <t>22:05</t>
  </si>
  <si>
    <t>702ffa9784497056653d4ed667ff5ce9</t>
  </si>
  <si>
    <t>Burnley - Chelsea</t>
  </si>
  <si>
    <t>9536556e0abf798ee4fb174533716595</t>
  </si>
  <si>
    <t>5c59c344ee8682db974f0259b9b8a8d6</t>
  </si>
  <si>
    <t>08:00</t>
  </si>
  <si>
    <t>7fa5674035b5d7bfd81867a609772143</t>
  </si>
  <si>
    <t>e8fc2a0b35e3f5f4076dace33305afe7</t>
  </si>
  <si>
    <t>U(225.5)</t>
  </si>
  <si>
    <t>191204a2528a5af24567094a521e18ff</t>
  </si>
  <si>
    <t>Arizona Cardinals - San Francisco 49ers</t>
  </si>
  <si>
    <t>U(41)</t>
  </si>
  <si>
    <t>73907313a1e9ac24782f0a402b720487</t>
  </si>
  <si>
    <t>Los Angeles Clippers - Washington Wizards</t>
  </si>
  <si>
    <t>02:35</t>
  </si>
  <si>
    <t>a759f5acdef214eab864c6768e786183</t>
  </si>
  <si>
    <t>12:35</t>
  </si>
  <si>
    <t>d123e7797c0b629b0bda3391eed269b6</t>
  </si>
  <si>
    <t>3503d5454381f110469e8bb7eb970e8f</t>
  </si>
  <si>
    <t>Manchester United - Everton</t>
  </si>
  <si>
    <t>1ba204547ba7f911af8e11b458fc1841</t>
  </si>
  <si>
    <t>Arouca - Mafra</t>
  </si>
  <si>
    <t>a91b454415b7fb86fa081f7ec847f734</t>
  </si>
  <si>
    <t>Korona Kielce - Cracovia Krakow</t>
  </si>
  <si>
    <t>11a827f0ced820c5640b83ca30ab1cc8</t>
  </si>
  <si>
    <t>7292af67969951cebf6e6d7e9d64ada1</t>
  </si>
  <si>
    <t>Alianza Lima - Academia Cantolao</t>
  </si>
  <si>
    <t>d78877e939b5a11a977a678ebdd01bc7</t>
  </si>
  <si>
    <t>12:45</t>
  </si>
  <si>
    <t>1364bd006948f73f0c47481272c27548</t>
  </si>
  <si>
    <t>Barys Astana - Sibir Novosibirsk</t>
  </si>
  <si>
    <t>e2b065b9fdd23605cf527af06542f430</t>
  </si>
  <si>
    <t>AC Milan - Sampdoria</t>
  </si>
  <si>
    <t>64b848e67b55dd4e795438d52ac2cb89</t>
  </si>
  <si>
    <t>80cc3223a8d1606d8ffe718e04ce5d5d</t>
  </si>
  <si>
    <t>Werder Bremen - Bayer Leverkusen</t>
  </si>
  <si>
    <t>9235c878962ab42ce383ff94bbe107e2</t>
  </si>
  <si>
    <t>0c69fa58d4cd850e9316c92cd6a3e4df</t>
  </si>
  <si>
    <t>Ajax - Feyenoord</t>
  </si>
  <si>
    <t>AH1(-0.5) 1H</t>
  </si>
  <si>
    <t>dc9c1380753e8957a71fd0b6cb1acd2d</t>
  </si>
  <si>
    <t>5f2013628da8677e8c00749b061716a4</t>
  </si>
  <si>
    <t>Eupen - Anderlecht</t>
  </si>
  <si>
    <t>028eea1a2e680c53569f72a47c000d3d</t>
  </si>
  <si>
    <t>Puszcza Niepolomice - Wigry Suwalki</t>
  </si>
  <si>
    <t>8e9abfb121c8ac51f66b178ba93394b9</t>
  </si>
  <si>
    <t>d656d6984d9253370a7b4ea11100290d</t>
  </si>
  <si>
    <t>624df3a87ad2f7ea15d35b0fdf687b35</t>
  </si>
  <si>
    <t>Carolina Hurricanes - New York Islanders</t>
  </si>
  <si>
    <t>855622132b1d751261cfc255d03220a7</t>
  </si>
  <si>
    <t>Renate - Triestina</t>
  </si>
  <si>
    <t>1bad6ab47e0427571e7f69af5c68d3dc</t>
  </si>
  <si>
    <t>O(51.5)</t>
  </si>
  <si>
    <t>f8e02686b2db4b1dfab58cbcee508f1b</t>
  </si>
  <si>
    <t>Tondela - Vitoria Setubal</t>
  </si>
  <si>
    <t>39ed4139e9e55c1d26049b806ba3fd72</t>
  </si>
  <si>
    <t>Giana Erminio - Albinoleffe</t>
  </si>
  <si>
    <t>896f1b062ccc25628b8059a499116909</t>
  </si>
  <si>
    <t>Neuchatel Xamax - Luzern</t>
  </si>
  <si>
    <t>86002862946b3edde6ca8ad6f5e11ac3</t>
  </si>
  <si>
    <t>bc6708c1c2743c4c023f539c000016d0</t>
  </si>
  <si>
    <t>6a0e70235aa9f171077b7b74aaf93f33</t>
  </si>
  <si>
    <t>Sirius - Brommapojkarna</t>
  </si>
  <si>
    <t>2d682fb21734dbff349293fe60e4915b</t>
  </si>
  <si>
    <t>Los Angeles Kings - New York Rangers</t>
  </si>
  <si>
    <t>cadc24df8434a2862931d64d605c1e81</t>
  </si>
  <si>
    <t>Deportivo Lara - Metropolitanos FC</t>
  </si>
  <si>
    <t>e51c9bf05514dad420a3c72ac81684a9</t>
  </si>
  <si>
    <t>Bordeaux - Nice</t>
  </si>
  <si>
    <t>ec7dc91ed96f1fa258ab20b0792590f4</t>
  </si>
  <si>
    <t>ac9ba140b96e7ea41b1d432953ee7342</t>
  </si>
  <si>
    <t>New York Giants - Washington Redskins</t>
  </si>
  <si>
    <t>U(44.5)</t>
  </si>
  <si>
    <t>a512ab9b6f572d2c026b3efdd00e2a42</t>
  </si>
  <si>
    <t>AH1(-0.25) 1H</t>
  </si>
  <si>
    <t>4d458e99487f5002cfbdd529668f9efd</t>
  </si>
  <si>
    <t>ebc7ffde1e7657b891537e79d932f4f6</t>
  </si>
  <si>
    <t>Chicago Blackhawks - Edmonton Oilers</t>
  </si>
  <si>
    <t>23:05</t>
  </si>
  <si>
    <t>57ce44ab611dae62320bafdd2b87e965</t>
  </si>
  <si>
    <t>Xanthi - Giannina</t>
  </si>
  <si>
    <t>8f6ebceadc7189fefe12425a9bc121a6</t>
  </si>
  <si>
    <t>123e3ad4520fe0dc35a9a90bdf7653f8</t>
  </si>
  <si>
    <t>320ee4b4f656e075354865b54547b36b</t>
  </si>
  <si>
    <t>569940c735f2931c4306dbd0bcf35b1a</t>
  </si>
  <si>
    <t>Hershey Bears - Lehigh Valley Phantoms</t>
  </si>
  <si>
    <t>f84b27a843a70ec39079b7d6f1fd539c</t>
  </si>
  <si>
    <t>Carmelita - Herediano</t>
  </si>
  <si>
    <t>540f45f708c714f864b304b5507d06b8</t>
  </si>
  <si>
    <t>AH2(-2)</t>
  </si>
  <si>
    <t>22:25</t>
  </si>
  <si>
    <t>3d6a1e264cdbc6ee747975f9d5ad6df8</t>
  </si>
  <si>
    <t>U(5)</t>
  </si>
  <si>
    <t>c3fb5b34130727829dce58f90c52dfe5</t>
  </si>
  <si>
    <t>Malaga - Numancia</t>
  </si>
  <si>
    <t>b64ad14399a754e653c8c32684a0620a</t>
  </si>
  <si>
    <t>181029</t>
  </si>
  <si>
    <t>Rubin Kazan - Spartak Moscow</t>
  </si>
  <si>
    <t>4e708278cac8ac819258e0610bc4270e</t>
  </si>
  <si>
    <t>Lokomotiv Yaroslavl - HC Sochi</t>
  </si>
  <si>
    <t>O(4.5)</t>
  </si>
  <si>
    <t>60b189210e7f9d3b5895776322204cb7</t>
  </si>
  <si>
    <t>Metallurg Novokuznetsk - Toros Neftekamsk</t>
  </si>
  <si>
    <t>O(5)</t>
  </si>
  <si>
    <t>e9f36a33985107e8b657d48bdd63f0eb</t>
  </si>
  <si>
    <t>Melbourne United - Illawarra Hawks</t>
  </si>
  <si>
    <t>O(172.5)</t>
  </si>
  <si>
    <t>09:50</t>
  </si>
  <si>
    <t>008e7d338e76b2f51688bef73a8c0828</t>
  </si>
  <si>
    <t>b0ac08a338386ebbfb554b9cf68401ea</t>
  </si>
  <si>
    <t>Newells Old Boys - Argentinos Juniors</t>
  </si>
  <si>
    <t>59655af85090d70e163f942cf64c9b4b</t>
  </si>
  <si>
    <t>Deportes Quindio - Union Magdalena</t>
  </si>
  <si>
    <t>694f194b5958552e36be4b512b30e7ff</t>
  </si>
  <si>
    <t>Tobias Kamke - Dominik Koepfer</t>
  </si>
  <si>
    <t>21:45</t>
  </si>
  <si>
    <t>da043ee1afb2529ef4055930e042c162</t>
  </si>
  <si>
    <t>Aryna Sabalenka - Ashleigh Barty</t>
  </si>
  <si>
    <t>b69cb7163ceb9aa3dbf583df1e7d5ae5</t>
  </si>
  <si>
    <t>Xanthi FC - PAS Giannina</t>
  </si>
  <si>
    <t>bf8df78f568070a78dd6d8bb7c326f88</t>
  </si>
  <si>
    <t>Finn Harps - Limerick 37</t>
  </si>
  <si>
    <t>81c35ebcf7e8154a128c0eb1b4809fed</t>
  </si>
  <si>
    <t>Yannick Maden - Antoine Hoang</t>
  </si>
  <si>
    <t>addc7352e3a4400f0f3f928cc07f0a6b</t>
  </si>
  <si>
    <t>f8272e6c810e22a0579f8a10cc08911c</t>
  </si>
  <si>
    <t>Casertana FC - US Vibonese Calcio</t>
  </si>
  <si>
    <t>b18241bb54d3fa06d640d77194694574</t>
  </si>
  <si>
    <t>Naomi Broady - Manon Arcangioli</t>
  </si>
  <si>
    <t>3e31ca0dd87ad200a6c6b9aacbb8f140</t>
  </si>
  <si>
    <t>Yue Yuan - Carol Zhao</t>
  </si>
  <si>
    <t>06:00</t>
  </si>
  <si>
    <t>2c97c5add49c7fae01f3aa4c2998ce8e</t>
  </si>
  <si>
    <t>Doxa Katokopias - Apollon Limassol</t>
  </si>
  <si>
    <t>AH1(1.5)</t>
  </si>
  <si>
    <t>e311b10234818e4e9f736e88e62b3536</t>
  </si>
  <si>
    <t>Besiktas - Caykur Rizespor</t>
  </si>
  <si>
    <t>536139a6320f65009f4230d8727c03dc</t>
  </si>
  <si>
    <t>Lazio - Inter Milan</t>
  </si>
  <si>
    <t>fd61d5eead1de539010d880becd6d006</t>
  </si>
  <si>
    <t>Al Muharraq - Budaiya FC</t>
  </si>
  <si>
    <t>e33c7cb5ba0bc98593005da471aeea37</t>
  </si>
  <si>
    <t>Anorthosis Famagusta - AEK Larnaca</t>
  </si>
  <si>
    <t>fd697686e5aa40b5fa229032133b68a6</t>
  </si>
  <si>
    <t>Emina Bektas - Kimberley Zimmermann</t>
  </si>
  <si>
    <t>8e9886f9891c7545f596897bf16d20cf</t>
  </si>
  <si>
    <t>b299152df4b75b2461b053fd2af0c9dd</t>
  </si>
  <si>
    <t>Miami Heat - Sacramento Kings</t>
  </si>
  <si>
    <t>O(227)</t>
  </si>
  <si>
    <t>00:30</t>
  </si>
  <si>
    <t>120a12b016d25cbab49ca2751c606c17</t>
  </si>
  <si>
    <t>Panathinaikos BC - Rethymno Cretan Kings BC</t>
  </si>
  <si>
    <t>O(157)</t>
  </si>
  <si>
    <t>2eefaed9c0be0eb51fc45cc41b162bd6</t>
  </si>
  <si>
    <t>Villa San Carlos - Deportivo Laferrere</t>
  </si>
  <si>
    <t>02c198c67093deee533af73364135a6d</t>
  </si>
  <si>
    <t>Petrolul Ploiesti - Farul Constanta</t>
  </si>
  <si>
    <t>AH2(1.75)</t>
  </si>
  <si>
    <t>588d80460a5a8ff5bd35df9d85a6d833</t>
  </si>
  <si>
    <t>El Porvenir - AD Berazategui</t>
  </si>
  <si>
    <t>1ad6783c21b76a0283be9e9dbda81261</t>
  </si>
  <si>
    <t>Ismaily - Raja Casablanca</t>
  </si>
  <si>
    <t>a816b87a6cd6386f31c2ff087500e675</t>
  </si>
  <si>
    <t>Buffalo Bills - New England Patriots</t>
  </si>
  <si>
    <t>AH1(13.5)</t>
  </si>
  <si>
    <t>01:15</t>
  </si>
  <si>
    <t>980a16b7aa8e84f444c3052847118a8c</t>
  </si>
  <si>
    <t>Minnesota Timberwolves - Los Angeles Lakers</t>
  </si>
  <si>
    <t>f52f7ab8edc03efad51de4c54b77d85e</t>
  </si>
  <si>
    <t>Daniel Masur - Andrea Arnaboldi</t>
  </si>
  <si>
    <t>45864945bfd36cfc2b79a834a3e30850</t>
  </si>
  <si>
    <t>Toronto Maple Leafs - Calgary Flames</t>
  </si>
  <si>
    <t>O(7)</t>
  </si>
  <si>
    <t>00:05</t>
  </si>
  <si>
    <t>946acd034709d2a135eab7708c9fe67d</t>
  </si>
  <si>
    <t>Basford United FC - Matlock Town</t>
  </si>
  <si>
    <t>ed76b00a9ceb9c5a7157929eff5feb25</t>
  </si>
  <si>
    <t>Kevin Krawietz - Matthias Bachinger</t>
  </si>
  <si>
    <t>58e2f3415ad8b711a592525bcde77d17</t>
  </si>
  <si>
    <t>Guarani Asuncion - Libertad</t>
  </si>
  <si>
    <t>00:00</t>
  </si>
  <si>
    <t>da0e50a0dee24ab4e89edf8782393134</t>
  </si>
  <si>
    <t>Shiga Lakestars - Seahorses Mikawa</t>
  </si>
  <si>
    <t>AH2(-8)</t>
  </si>
  <si>
    <t>11:05</t>
  </si>
  <si>
    <t>aa586bd69ead78e949cb93d6db4cf474</t>
  </si>
  <si>
    <t>KK Cibona Zagreb - KK Zadar</t>
  </si>
  <si>
    <t>U(170.5)</t>
  </si>
  <si>
    <t>f6c69d344b85152e29b6094a14686688</t>
  </si>
  <si>
    <t>O(49.5)</t>
  </si>
  <si>
    <t>eef1f399a8f099884fda48d3da902d32</t>
  </si>
  <si>
    <t>Alexandra Bozovic - Seone Mendez</t>
  </si>
  <si>
    <t>c732c3cf5b9ec9d6561673de9d47a6ae</t>
  </si>
  <si>
    <t>Gefle - Norrby IF</t>
  </si>
  <si>
    <t>ed99f2c76d3b8584880d1b487933ee6a</t>
  </si>
  <si>
    <t>Denver Nuggets - New Orleans Pelicans</t>
  </si>
  <si>
    <t>02:05</t>
  </si>
  <si>
    <t>21f4a933454a03be689b5a3f78d1d52a</t>
  </si>
  <si>
    <t>Basford United - Matlock Town</t>
  </si>
  <si>
    <t>fd4cb142a6c7e0104ed521b5d0d4d899</t>
  </si>
  <si>
    <t>Bakken Bears - KB Sigal Prishtina</t>
  </si>
  <si>
    <t>AH1(-11)</t>
  </si>
  <si>
    <t>e88f1f4da1b41294868976d5e5838f71</t>
  </si>
  <si>
    <t>Herlev Eagles - SonderjyskE Ishockey</t>
  </si>
  <si>
    <t>667a37f037860fd6a603200384e75b3a</t>
  </si>
  <si>
    <t>Kimmer Coppejans - Miomir Kecmanovic</t>
  </si>
  <si>
    <t>4fdfc88da847d142d437573719fd1d70</t>
  </si>
  <si>
    <t>SKA-1946 St Petersburg - MHC Dynamo Moscow</t>
  </si>
  <si>
    <t>cf23554c7cb8a92b9269b478a0952cf1</t>
  </si>
  <si>
    <t>Blake Ellis - Yasutaka Uchiyama</t>
  </si>
  <si>
    <t>fba5a7c73218caacdf93ad4f38d4f539</t>
  </si>
  <si>
    <t>Queen Of The South - Greenock Morton</t>
  </si>
  <si>
    <t>8063e8263cff7d69304d52a18009f61a</t>
  </si>
  <si>
    <t>Nuova Cosenza - Pescara</t>
  </si>
  <si>
    <t>c92bde9066d8b816d707c936b60ac73f</t>
  </si>
  <si>
    <t>Perugia - Padova</t>
  </si>
  <si>
    <t>6a870a0d36ca344416f00e8b4408c3f2</t>
  </si>
  <si>
    <t>U(46)</t>
  </si>
  <si>
    <t>c740e51f7bfc5cbb74ff5d222ec36d21</t>
  </si>
  <si>
    <t>11:00</t>
  </si>
  <si>
    <t>8d8bb78e7177e8de6536729aae62cb2e</t>
  </si>
  <si>
    <t>Sporting Braga - Nacional da Madeira</t>
  </si>
  <si>
    <t>21:15</t>
  </si>
  <si>
    <t>bcd8d80e76c97a29e55fded6ed67bd91</t>
  </si>
  <si>
    <t>6cbd9bcdb6c28056b1e266ce26e5ab78</t>
  </si>
  <si>
    <t>Tung Lin Wu - Maverick Banes</t>
  </si>
  <si>
    <t>13ce208119b2139ccfeff2b04aaeb1b0</t>
  </si>
  <si>
    <t>Goncalo Oliveira - Aleksandr Nedovyesov</t>
  </si>
  <si>
    <t>05:45</t>
  </si>
  <si>
    <t>398b0aecf29736e7a3373ec71242740c</t>
  </si>
  <si>
    <t>Virtus Segafredo Bologna - Bayreuth</t>
  </si>
  <si>
    <t>c6554c50d98dfbcc405287aa01d61ade</t>
  </si>
  <si>
    <t>Fribourg Olympic - Bonn</t>
  </si>
  <si>
    <t>AH2(-4.5)</t>
  </si>
  <si>
    <t>9a81306925edc033b24f7c56bda5ada9</t>
  </si>
  <si>
    <t>Indiana Pacers - Portland Trail Blazers</t>
  </si>
  <si>
    <t>AH1(-3.5)</t>
  </si>
  <si>
    <t>d846488a3074101ec90f8dc5012201ea</t>
  </si>
  <si>
    <t>Barys Astana - Vladivostok</t>
  </si>
  <si>
    <t>0c742613fbfb80ba40760fe046aa69ec</t>
  </si>
  <si>
    <t>Joinville EC SC - Metropolitano SC</t>
  </si>
  <si>
    <t>ec41ebfa1448158dfd0ce1ec8839446a</t>
  </si>
  <si>
    <t>Crewe - Mansfield</t>
  </si>
  <si>
    <t>1b2fedc49c34500d4dcc9ca1ad28f944</t>
  </si>
  <si>
    <t>Sutton Utd - Chesterfield</t>
  </si>
  <si>
    <t>626badcf215e9e2608a9e9dcf1aeda56</t>
  </si>
  <si>
    <t>Havant and W - Maidenhead Utd</t>
  </si>
  <si>
    <t>2278bfea2737e6692dc8b4277bca4b84</t>
  </si>
  <si>
    <t>Solihull Moors - Halifax</t>
  </si>
  <si>
    <t>57f1ab1ee9d57b8b8d2a33f4727082b0</t>
  </si>
  <si>
    <t>181030</t>
  </si>
  <si>
    <t>Nassjo - Boras</t>
  </si>
  <si>
    <t>U(178.5)</t>
  </si>
  <si>
    <t>19:04</t>
  </si>
  <si>
    <t>6ae61333977912b1b8d731bafff89226</t>
  </si>
  <si>
    <t>Umea - Wetterbygden Stars</t>
  </si>
  <si>
    <t>AH2(11)</t>
  </si>
  <si>
    <t>18:04</t>
  </si>
  <si>
    <t>b64653c6332360464aa523cb6014ad2a</t>
  </si>
  <si>
    <t>BC Balkan - Mons Hainaut</t>
  </si>
  <si>
    <t>AH1(-4)</t>
  </si>
  <si>
    <t>f0c75a05916e104f41cac09f9b60163c</t>
  </si>
  <si>
    <t>San Martin San Juan - Defensa y Justicia</t>
  </si>
  <si>
    <t>fd79ff7e680c0f5127fab482657b1631</t>
  </si>
  <si>
    <t>Leganes - Rayo Vallecano</t>
  </si>
  <si>
    <t>bb8af98feee48c426599d80d9a08a77d</t>
  </si>
  <si>
    <t>Hermannstadt - Voluntari</t>
  </si>
  <si>
    <t>98d0dc45e99f79de58f4fcd32c46f5c0</t>
  </si>
  <si>
    <t>dc11827854bf1b7a20be0da1392c991d</t>
  </si>
  <si>
    <t>UE Sant Andreu - Atletico de Madrid</t>
  </si>
  <si>
    <t>AH1(2.25)</t>
  </si>
  <si>
    <t>94fc142eb02e4499b05325489f8f7512</t>
  </si>
  <si>
    <t>Qingdao - Shanxi Zhongyu</t>
  </si>
  <si>
    <t>39d8bf07b9ab7d783489ba87730812df</t>
  </si>
  <si>
    <t>Cosenza - Pescara</t>
  </si>
  <si>
    <t>da046b9590bd8ea119da207eeee49dcb</t>
  </si>
  <si>
    <t>Glentoran FC - Coleraine</t>
  </si>
  <si>
    <t>44bc3b2d20295cec55445054f6fb9893</t>
  </si>
  <si>
    <t>Marcos Giron - Collin Altamirano</t>
  </si>
  <si>
    <t>18d704dfb9889f9c86d56b3c4473c92b</t>
  </si>
  <si>
    <t>BSG Chemie Leipzig - SC Paderborn 07</t>
  </si>
  <si>
    <t>a7e8615b20d191e82a2c641f143b7ad3</t>
  </si>
  <si>
    <t>Falkirk - Ross County</t>
  </si>
  <si>
    <t>AH1(1.25)</t>
  </si>
  <si>
    <t>e0c0b67f0827272faf968f5de20468ed</t>
  </si>
  <si>
    <t>TSV Hartberg - Wacker Innsbruck</t>
  </si>
  <si>
    <t>3c9015fca56c8d62a3978eec91fe0155</t>
  </si>
  <si>
    <t>U(146.5)</t>
  </si>
  <si>
    <t>98ec09c87d5d5c159b70f04ec23126a8</t>
  </si>
  <si>
    <t>Adelaide United - Sydney FC</t>
  </si>
  <si>
    <t>9e1444e1e87a28523dfcb00d5734a87d</t>
  </si>
  <si>
    <t>6ad96a56b17a18282f8b55f2ec5ac90a</t>
  </si>
  <si>
    <t>Botafogo RJ Basquete - Paulistano Basquete</t>
  </si>
  <si>
    <t>U(153)</t>
  </si>
  <si>
    <t>8a8d5718884eec0a69cd8c841c3f8430</t>
  </si>
  <si>
    <t>Elfsborg - Dalkurd FF</t>
  </si>
  <si>
    <t>e56f050b1ac465ca73db6005efb2353c</t>
  </si>
  <si>
    <t>SV Darmstadt 98 - Hertha Berlin</t>
  </si>
  <si>
    <t>c7942d726b50ff61c5509ddb57a7b67f</t>
  </si>
  <si>
    <t>Alexey Vatutin - Gleb Sakharov</t>
  </si>
  <si>
    <t>491d3593b48ca8cc38c2e7af09f4558f</t>
  </si>
  <si>
    <t>NEXEN Heroes - SK Wyverns</t>
  </si>
  <si>
    <t>3f846308040dd8319fb7362d99717c0c</t>
  </si>
  <si>
    <t>Solihull Moors - Halifax Town</t>
  </si>
  <si>
    <t>a677c7ce94b55c543d848cacabd1aad0</t>
  </si>
  <si>
    <t>AH2(10.5)</t>
  </si>
  <si>
    <t>7fdf2008f0d6c701644457e708d7ab7b</t>
  </si>
  <si>
    <t>Skelleftea AIK - Malmo Redhawks</t>
  </si>
  <si>
    <t>b28f9967a28d7e8f45fd86e8e70c6e57</t>
  </si>
  <si>
    <t>Bahia Basket - CA Quilmes Basquet</t>
  </si>
  <si>
    <t>U(155.5)</t>
  </si>
  <si>
    <t>23:30</t>
  </si>
  <si>
    <t>83b587a2e9b624991e50f7c80c46d6a1</t>
  </si>
  <si>
    <t>Kolner Haie - Krefeld Pinguine</t>
  </si>
  <si>
    <t>U(5.5)</t>
  </si>
  <si>
    <t>34039ff3fa162b82c9dfd7238ee69735</t>
  </si>
  <si>
    <t>AH1(-10.5)</t>
  </si>
  <si>
    <t>ca6116d31607104890bf42c201ae6499</t>
  </si>
  <si>
    <t>Tommy Paul - Noah Rubin</t>
  </si>
  <si>
    <t>10c4087b37bfe3ed31c1eb469d08f65e</t>
  </si>
  <si>
    <t>Facundo Arguello - Guilherme Clezar</t>
  </si>
  <si>
    <t>2637a8744f2d433b9f92f62267533c97</t>
  </si>
  <si>
    <t>Christian Garin - Facundo Bagnis</t>
  </si>
  <si>
    <t>f691ee120b6022607442b3bdf84f3fd1</t>
  </si>
  <si>
    <t>FC Strumska Slava - Chernomorets Balchik</t>
  </si>
  <si>
    <t>e42a7f5c772f724a7e1c437748d27e51</t>
  </si>
  <si>
    <t>Hapoel Kaukab - Maccabi Ahi Nazareth</t>
  </si>
  <si>
    <t>ed57d732d799aaec098416ecb1e4ce31</t>
  </si>
  <si>
    <t>Sutton United - Chesterfield</t>
  </si>
  <si>
    <t>535d3b6b19c60fa5282c42d0f750a858</t>
  </si>
  <si>
    <t>Cleveland Cavaliers - Atlanta Hawks</t>
  </si>
  <si>
    <t>AH1(-5)</t>
  </si>
  <si>
    <t>d5f6cd68775f7459446cd9e6907e4a07</t>
  </si>
  <si>
    <t>Shiga Lakestars - SeaHorses Mikawa</t>
  </si>
  <si>
    <t>AH2(-9.5)</t>
  </si>
  <si>
    <t>eab974a438b927a4e438930a8d8e8cd8</t>
  </si>
  <si>
    <t>a99791363f2fa283f0a958b490223c18</t>
  </si>
  <si>
    <t>d5c97b434ad13612a9e80d9b93c4588b</t>
  </si>
  <si>
    <t>Panteras de Aguascalientes - Aguacateros de Michoacan Basquetbol</t>
  </si>
  <si>
    <t>03:30</t>
  </si>
  <si>
    <t>8e62052104fa0401622f1b458ea46fc4</t>
  </si>
  <si>
    <t>Zhejiang Golden Bulls - Jilin Northeast Tigers</t>
  </si>
  <si>
    <t>AH1(-7.5)</t>
  </si>
  <si>
    <t>0f07b92b87135dad0839e0db30057c2a</t>
  </si>
  <si>
    <t>Shenzhen Leopards - Sichuan Blue Whales</t>
  </si>
  <si>
    <t>U(217.5)</t>
  </si>
  <si>
    <t>598f5f4dd0c527eac6c7898e6908d30b</t>
  </si>
  <si>
    <t>Ayacucho FC - Sport Boys Association</t>
  </si>
  <si>
    <t>a3ce727bf1e1ba0dd35e691c5deca773</t>
  </si>
  <si>
    <t>OFI - Niki Volou</t>
  </si>
  <si>
    <t>AH1(-2)</t>
  </si>
  <si>
    <t>29bc7198c2803f4de1b8f945e9bd7a75</t>
  </si>
  <si>
    <t>44a31b619564ca2b391f9acbdb3dd1b4</t>
  </si>
  <si>
    <t>Uppsala Basket - Jamtland Basket</t>
  </si>
  <si>
    <t>O(176)</t>
  </si>
  <si>
    <t>7764626f3e94401eec266f5a3e49cb2f</t>
  </si>
  <si>
    <t>Delhi Dynamos FC - NorthEast United FC</t>
  </si>
  <si>
    <t>cf48adf38e3a879ddfc8e6b3b98dd9d3</t>
  </si>
  <si>
    <t>Universitario Deportes - Sporting Cristal</t>
  </si>
  <si>
    <t>c210c83dfc9bef9f9780d92b4af530ef</t>
  </si>
  <si>
    <t>Hapoel Holon BC - BK Opava</t>
  </si>
  <si>
    <t>AH2(19)</t>
  </si>
  <si>
    <t>8669ac79391ca2019918df9366658d43</t>
  </si>
  <si>
    <t>UE Sant Andreu - Atletico Madrid</t>
  </si>
  <si>
    <t>4d0d8776442d62cd954ae7b567739546</t>
  </si>
  <si>
    <t>Columbus Blue Jackets - Detroit Red Wings</t>
  </si>
  <si>
    <t>d2dbfee0efc433d12301268e526eeea6</t>
  </si>
  <si>
    <t>PSV Eindhoven - RKC Waalwijk</t>
  </si>
  <si>
    <t>AH2(2.5)</t>
  </si>
  <si>
    <t>ee7661129e50b31ce6794d70d39f297f</t>
  </si>
  <si>
    <t>23b6d4c221478371c8f411553898f42f</t>
  </si>
  <si>
    <t>Estoril Praia U23 - Vitoria Guimaraes U23</t>
  </si>
  <si>
    <t>a4e1efffe6d5373158af58d4c7ae366a</t>
  </si>
  <si>
    <t>De Graafschap - PEC Zwolle</t>
  </si>
  <si>
    <t>80020ea987e93639ab8fe24584201da9</t>
  </si>
  <si>
    <t>AE Larissa - PASA Irodotos</t>
  </si>
  <si>
    <t>c831a51a7ade1104eef94c8895ec2b20</t>
  </si>
  <si>
    <t>Levadiakos - Aris Avato FC</t>
  </si>
  <si>
    <t>29015d26064fcd3f5cc6f2e22379a169</t>
  </si>
  <si>
    <t>cbb53f18405d88576d8658e32cc489da</t>
  </si>
  <si>
    <t>Buyuksehir Belediye Erzurumspor - Keciorengucu</t>
  </si>
  <si>
    <t>21d4b674ca6b4d711e6cc6584b97aabe</t>
  </si>
  <si>
    <t>9ca63d97728339014f6324308340be81</t>
  </si>
  <si>
    <t>Olympique de Medea - USM Alger</t>
  </si>
  <si>
    <t>035ad4d648df1c187eb5d528b9f2cd76</t>
  </si>
  <si>
    <t>Montreal Canadiens - Dallas Stars</t>
  </si>
  <si>
    <t>5110eedc16a23cc57f98ecfa820f5855</t>
  </si>
  <si>
    <t>NK Zadar - NK Lokomotiva Zagreb</t>
  </si>
  <si>
    <t>e3f7ff03b9ffb9b414b3e666472980cf</t>
  </si>
  <si>
    <t>Juan Pablo Varillas - Roberto Quiroz</t>
  </si>
  <si>
    <t>dd1f971d62bff9d2ad4b6ebfd7916083</t>
  </si>
  <si>
    <t>ece3c7a92a40a92e6373a034ebb272fe</t>
  </si>
  <si>
    <t>Pogon Siedlce - MZKS Chrobry Glogow</t>
  </si>
  <si>
    <t>AH2(-0.25)</t>
  </si>
  <si>
    <t>a331e2e412be29510aee5ef36dae7470</t>
  </si>
  <si>
    <t>Szolnoki Olaj KK - Leicester Riders</t>
  </si>
  <si>
    <t>AH2(14)</t>
  </si>
  <si>
    <t>f65208acb7727e6e3a2334ad84e13ccb</t>
  </si>
  <si>
    <t>Jeonnam Dragons - Daegu FC</t>
  </si>
  <si>
    <t>9f834964a324fd053017ac6049368489</t>
  </si>
  <si>
    <t>Bowling Green Falcons - Kent State Golden Flashes</t>
  </si>
  <si>
    <t>O(65)</t>
  </si>
  <si>
    <t>5b8c75124239fe84ee642f54e250bd75</t>
  </si>
  <si>
    <t>5aa2d79d2c3cb2c8f96439495afd46b6</t>
  </si>
  <si>
    <t>205ba23ea72d3900d6101a4bd96c12f2</t>
  </si>
  <si>
    <t>AH2(-11.5)</t>
  </si>
  <si>
    <t>d34b47a954e916d0a342507f0947373e</t>
  </si>
  <si>
    <t>Koln - Schalke 04</t>
  </si>
  <si>
    <t>4beb8a9f41a457d674a6e2dbb554fed3</t>
  </si>
  <si>
    <t>Spirou Charleroi - Donar Groningen</t>
  </si>
  <si>
    <t>U(148.5)</t>
  </si>
  <si>
    <t>73ea06373403670c86ebef6c508de734</t>
  </si>
  <si>
    <t>Hapoel Rishon LeZion - Hapoel Afula</t>
  </si>
  <si>
    <t>57009c67a8c1d58067fbdd19f5090170</t>
  </si>
  <si>
    <t>Wuppertaler SV - Fortuna Dusseldorf Am</t>
  </si>
  <si>
    <t>db73c4f2df452b4177b07f2d00fbc9b0</t>
  </si>
  <si>
    <t>Rio Ave U23 - Cova da Piedade U23</t>
  </si>
  <si>
    <t>34fd7af97a538a1d60472bf06568cada</t>
  </si>
  <si>
    <t>Neroca FC - Gokulam Kerala FC</t>
  </si>
  <si>
    <t>8dbf7690d7509d8214a76bc0f5e8fe3c</t>
  </si>
  <si>
    <t>Southport - Curzon Ashton</t>
  </si>
  <si>
    <t>53b6bfb36c88dbe30d64db0c5911fbe7</t>
  </si>
  <si>
    <t>Chester FC - Ashton United</t>
  </si>
  <si>
    <t>73c34079b87b68a2cf959baed48ab1f0</t>
  </si>
  <si>
    <t>FC Heidenheim - SV Sandhausen</t>
  </si>
  <si>
    <t>82c61887ce9e257a1cc18c48862e3103</t>
  </si>
  <si>
    <t>HC Lugano - SC Bern HC</t>
  </si>
  <si>
    <t>19:45</t>
  </si>
  <si>
    <t>eb21632afcde6121b7d15db353640f1f</t>
  </si>
  <si>
    <t>Bournemouth AFC - Norwich City</t>
  </si>
  <si>
    <t>abc28afa32e0c9152278be7e20b420de</t>
  </si>
  <si>
    <t>Spennymoor Town FC - York City</t>
  </si>
  <si>
    <t>1b23348b37779ef2f269af2fbe5907af</t>
  </si>
  <si>
    <t>Concord Rangers - Chelmsford City</t>
  </si>
  <si>
    <t>bc9725bce57427882e33dfb563eb009a</t>
  </si>
  <si>
    <t>Piast Gliwice - Legia Warszawa</t>
  </si>
  <si>
    <t>8617bada65a33418f2ed76b2e8295426</t>
  </si>
  <si>
    <t>AH1(0.25)</t>
  </si>
  <si>
    <t>725d4c3299e514e8dc4c05065cb61191</t>
  </si>
  <si>
    <t>Guiseley AFC - Blyth Spartans</t>
  </si>
  <si>
    <t>958ac3e828941d6ba67a0967a5509f15</t>
  </si>
  <si>
    <t>f71a48594c9c4d0f037065dbb2a16bae</t>
  </si>
  <si>
    <t>KV Kortrijk - Waasland Beveren</t>
  </si>
  <si>
    <t>7c748384ea052c4cb7fbad1f4632e8be</t>
  </si>
  <si>
    <t>Lugano - Neuchatel Xamax</t>
  </si>
  <si>
    <t>e734f561e1bb7179c2c74e07bc69521f</t>
  </si>
  <si>
    <t>Soles de Mexicali - Capitanes Ciudad de Mexico</t>
  </si>
  <si>
    <t>U(163)</t>
  </si>
  <si>
    <t>03:15</t>
  </si>
  <si>
    <t>ba8d6ac63682e4b5301b684ba7c4d8f3</t>
  </si>
  <si>
    <t>Thiago Seyboth Wild - Hugo Dellien</t>
  </si>
  <si>
    <t>00:20</t>
  </si>
  <si>
    <t>9d57aac6375acd36e7d9779542d67c6b</t>
  </si>
  <si>
    <t>Dinamo Sassari - Falco KC Szombathely</t>
  </si>
  <si>
    <t>U(172.5)</t>
  </si>
  <si>
    <t>70315ac8926beef64869dcad27c5f274</t>
  </si>
  <si>
    <t>Middlesbrough - Crystal Palace</t>
  </si>
  <si>
    <t>e78d86ad02b7e3b7c690ba7e0638584d</t>
  </si>
  <si>
    <t>VEF Riga - BC Kalev/Cramo</t>
  </si>
  <si>
    <t>9405595b43a28427bca5dcbd04a5c7c0</t>
  </si>
  <si>
    <t>Gaz Metan Medias - CFR Cluj</t>
  </si>
  <si>
    <t>fab930ba346e8a86a24b817433ab43a7</t>
  </si>
  <si>
    <t>Aberdeen - Hamilton Academical</t>
  </si>
  <si>
    <t>3775c55bccbc42d727c39572ec3d30fd</t>
  </si>
  <si>
    <t>181031</t>
  </si>
  <si>
    <t>UD Melilla - Real Madrid</t>
  </si>
  <si>
    <t>AH1(2.5)</t>
  </si>
  <si>
    <t>b71c7264394f80f1fdc95d467be1ad6a</t>
  </si>
  <si>
    <t>Guingamp - Angers</t>
  </si>
  <si>
    <t>d9acf7edd6927a2c9bf00e3e4447bdb1</t>
  </si>
  <si>
    <t>Borussia Monchengladbach - Bayer Leverkusen</t>
  </si>
  <si>
    <t>88dfeba20b654c2c059818a2bf3bcfa8</t>
  </si>
  <si>
    <t>Lecce - Crotone</t>
  </si>
  <si>
    <t>23648eab7a06181d3584f6d40c9dd441</t>
  </si>
  <si>
    <t>Tim Smyczek - Blaz Rola</t>
  </si>
  <si>
    <t>893541eb3d31f4a6978645aefc49581a</t>
  </si>
  <si>
    <t>Tampa Bay Lightning - New Jersey Devils</t>
  </si>
  <si>
    <t>00:35</t>
  </si>
  <si>
    <t>f0d814facdb8dc9d495549e0612e1c2b</t>
  </si>
  <si>
    <t>JHC Spartak Moscow - HK Riga</t>
  </si>
  <si>
    <t>28475d10e37fbd3ecc2e0931058494d0</t>
  </si>
  <si>
    <t>Shanghai - Jiangsu Dragons</t>
  </si>
  <si>
    <t>1a95f42e56ac17882e1309838c47590f</t>
  </si>
  <si>
    <t>Tofas - Cedevita</t>
  </si>
  <si>
    <t>5fc286f47087c949eb48652b059b6192</t>
  </si>
  <si>
    <t>Kashima Antlers - Cerezo Osaka</t>
  </si>
  <si>
    <t>196577bc5d3aae5c76b24119372c5dfd</t>
  </si>
  <si>
    <t>Houston Rockets - Portland Trail Blazers</t>
  </si>
  <si>
    <t>O(222.5)</t>
  </si>
  <si>
    <t>c5ea9f4769c7d55eb659661c0c184b72</t>
  </si>
  <si>
    <t>Buffalo Bulls - Miami (OH) Redhawks</t>
  </si>
  <si>
    <t>AH1(-7)</t>
  </si>
  <si>
    <t>8bd1da86a95a79500052003bf616489f</t>
  </si>
  <si>
    <t>Sadio Doumbia - Jacob Grills</t>
  </si>
  <si>
    <t>4829bd2ffb4ae450d99053dcdb143667</t>
  </si>
  <si>
    <t>Oklahoma City Thunder - Los Angeles Clippers</t>
  </si>
  <si>
    <t>U(228.5)</t>
  </si>
  <si>
    <t>e84cd940e4b3a06a9215d4cd9b380a5f</t>
  </si>
  <si>
    <t>Sile Yildizspor - Boluspor</t>
  </si>
  <si>
    <t>82dcca3197ee6b7ccf6fc3f62898430d</t>
  </si>
  <si>
    <t>fd479204c125c51dcd4f217107ea1603</t>
  </si>
  <si>
    <t>Guangzhou - Xinjiang</t>
  </si>
  <si>
    <t>fc4b6adbd0c35368308c9d84713a1bb2</t>
  </si>
  <si>
    <t>Beijing - Zhejiang Guangsha</t>
  </si>
  <si>
    <t>AH1(5.5)</t>
  </si>
  <si>
    <t>8270026d6f0c6d817ad28b568146561f</t>
  </si>
  <si>
    <t>Tyumenskiy Legion - Mamonty Yugry Khanty Mansiysk</t>
  </si>
  <si>
    <t>9b50badaed1166a40ea646cd29f1b2ac</t>
  </si>
  <si>
    <t>Naomi Broady - Dasha Lopatetskaya</t>
  </si>
  <si>
    <t>4979f2738f69402cd94a93dd9bda0f45</t>
  </si>
  <si>
    <t>New Heroes Den Bosch - BC Avtodor Saratov</t>
  </si>
  <si>
    <t>e3307e2907089a5816a67622b2ff217e</t>
  </si>
  <si>
    <t>dd4b33ec6a64266f7ad9577a71b061e8</t>
  </si>
  <si>
    <t>Beijing Shougang - Zhejiang Guangsha</t>
  </si>
  <si>
    <t>O(197.5)</t>
  </si>
  <si>
    <t>b50c0a598affc065529cf94c60f5e0e1</t>
  </si>
  <si>
    <t>Ural Sverdlovsk Oblast - Nizhny Novgorod</t>
  </si>
  <si>
    <t>a80b641dad476fdce65a01f01b4bd3d4</t>
  </si>
  <si>
    <t>Wil 1900 - Thun</t>
  </si>
  <si>
    <t>b180bd62771c76f3b8bb10bb3ac74a84</t>
  </si>
  <si>
    <t>Cordoba CF - Getafe CF</t>
  </si>
  <si>
    <t>feaa3cdcb09f8bb5eba3ecf7f5b00a3c</t>
  </si>
  <si>
    <t>Palmeiras - Boca Juniors</t>
  </si>
  <si>
    <t>01:45</t>
  </si>
  <si>
    <t>2648e369c9c94f7d50bf04f8b744b1ac</t>
  </si>
  <si>
    <t>NEROCA FC - Gokulam Kerala</t>
  </si>
  <si>
    <t>8a359747e6ba2a46dd008afed09b48b3</t>
  </si>
  <si>
    <t>Fukuoka SoftBank Hawks - Hiroshima Carp</t>
  </si>
  <si>
    <t>O(8.5)</t>
  </si>
  <si>
    <t>0284f0e88ab7671b43ef5342f497be34</t>
  </si>
  <si>
    <t>KSV Roeselare - KVC Westerlo</t>
  </si>
  <si>
    <t>f12524b9b44cccf75303ca21af5c33ac</t>
  </si>
  <si>
    <t>Lokomotiv Moscow - Yenisey Krasnoyarsk</t>
  </si>
  <si>
    <t>fdd14dec439eba1e3d767026d4f3b7da</t>
  </si>
  <si>
    <t>Nexen Heroes - SK Wyverns</t>
  </si>
  <si>
    <t>3c1d53be8e5d4844119f67e121966dbd</t>
  </si>
  <si>
    <t>Apollon Larissa FC - AEK Athens</t>
  </si>
  <si>
    <t>AH2(-2.75)</t>
  </si>
  <si>
    <t>26e72893b44a17a73e3eb6de8e2153bc</t>
  </si>
  <si>
    <t>Hansa Rostock - Nurnberg</t>
  </si>
  <si>
    <t>4ffd6795cfad531551f80559673e78ae</t>
  </si>
  <si>
    <t>Mallorca - Valladolid</t>
  </si>
  <si>
    <t>d1745833948fc7cd92fce39ed29bba7f</t>
  </si>
  <si>
    <t>Livingston - St Johnstone</t>
  </si>
  <si>
    <t>37ba7272001a1a5a21aed5deaaad9a63</t>
  </si>
  <si>
    <t>FC Kyzylzhar - Kairat Almaty</t>
  </si>
  <si>
    <t>00b0801bc43ec7251a9e87a4f8635153</t>
  </si>
  <si>
    <t>862d3a1bb44ea632cf3f49f0d50b28c9</t>
  </si>
  <si>
    <t>Melilla UD - Real Madrid</t>
  </si>
  <si>
    <t>O(3.5)</t>
  </si>
  <si>
    <t>2de216967767739697d65a2987f6c88b</t>
  </si>
  <si>
    <t>Aalborg - AC Horsens</t>
  </si>
  <si>
    <t>c4f2e9622c7d0243db5e1b04011ebb3e</t>
  </si>
  <si>
    <t>BC Zielona Gora - MKS Start Lublin</t>
  </si>
  <si>
    <t>U(168.5)</t>
  </si>
  <si>
    <t>b623d03d401646df5e5e1b6906d0ec2f</t>
  </si>
  <si>
    <t>LA Lakers - Dallas Mavericks</t>
  </si>
  <si>
    <t>AH2(6.5)</t>
  </si>
  <si>
    <t>f308df4ab1b8e2f9ef8bacf8b99c23d5</t>
  </si>
  <si>
    <t>Evgeny Donskoy - Igor Sijsling</t>
  </si>
  <si>
    <t>4e24b4c3411ecfe5b6f07ce5701f923e</t>
  </si>
  <si>
    <t>AZ Alkmaar - VVV-Venlo</t>
  </si>
  <si>
    <t>8a3d1cc7b026ba273bdd46d48ef700fc</t>
  </si>
  <si>
    <t>Hatayspor - Fethiyespor</t>
  </si>
  <si>
    <t>c3793f6533701d8dfde3d1cb8cf642f5</t>
  </si>
  <si>
    <t>Iraklis - Atromitos</t>
  </si>
  <si>
    <t>b643ddcf1447bca3c4887302c029007d</t>
  </si>
  <si>
    <t>San Lorenzo (n) - CA Temperley</t>
  </si>
  <si>
    <t>4c38f77c0a251bd0a5294f9e84e1e503</t>
  </si>
  <si>
    <t>Ironi Nes Ziona BC - BK Pardubice</t>
  </si>
  <si>
    <t>O(170.5)</t>
  </si>
  <si>
    <t>b7cfcee746dcfa56b1eb6c0870b580f4</t>
  </si>
  <si>
    <t>AH1(-14.5)</t>
  </si>
  <si>
    <t>1ca4a0c747e45a3c871f9f18ee733c8d</t>
  </si>
  <si>
    <t>Dennis Novak - Matthias Bachinger</t>
  </si>
  <si>
    <t>d4717770407ead1a96fca2e366feb4d4</t>
  </si>
  <si>
    <t>O(3.75)</t>
  </si>
  <si>
    <t>0fd14d884bf02bb570fe299e5f9ef6f3</t>
  </si>
  <si>
    <t>Fyllingen Basket - Froya Basket</t>
  </si>
  <si>
    <t>fd18adf07b5272252a1abe4d89fca5f8</t>
  </si>
  <si>
    <t>65c80c12f0684bc476e5db44bd61eff0</t>
  </si>
  <si>
    <t>Austria Lustenau - Red Bull Salzburg</t>
  </si>
  <si>
    <t>919612a39ef89c1315cb95f60d2381c4</t>
  </si>
  <si>
    <t>Tampereen Pyrinto - Helsinki Seagulls</t>
  </si>
  <si>
    <t>f41c2c0f8ad1539d98da890c7f67a684</t>
  </si>
  <si>
    <t>Viktoria Plzen - Banik Ostrava</t>
  </si>
  <si>
    <t>b7952d945af6c76a9dd8bde4114f2215</t>
  </si>
  <si>
    <t>MFK Karvina - FK Jablonec</t>
  </si>
  <si>
    <t>7a8d2d90733adba0d903a7e8bff0d96b</t>
  </si>
  <si>
    <t>Incheon Electroland Elephants - Ulsan Hyundai Mobis Phoebus</t>
  </si>
  <si>
    <t>AH1(9)</t>
  </si>
  <si>
    <t>043e0a5185debc552b89d3178317771b</t>
  </si>
  <si>
    <t>Kataja Basket - BC Dnipro</t>
  </si>
  <si>
    <t>O(164.5)</t>
  </si>
  <si>
    <t>cd6e1fdc979b05bc435331022d8256ea</t>
  </si>
  <si>
    <t>Karpat Oulu - Tampereen Ilves</t>
  </si>
  <si>
    <t>f8a75bd0f16610d21f3b163360a8e352</t>
  </si>
  <si>
    <t>Sporting Gijon - Eibar</t>
  </si>
  <si>
    <t>ab2e1c763025bbc467d7ec87bfe6f1c4</t>
  </si>
  <si>
    <t>America RJ U20 - Flamengo U20</t>
  </si>
  <si>
    <t>e7b012ad3affbb173a3cab8a922098cf</t>
  </si>
  <si>
    <t>Academia Cantolao - Deportivo Municipal</t>
  </si>
  <si>
    <t>23:45</t>
  </si>
  <si>
    <t>ab39dc84ed4881b395e0bc9280ceab44</t>
  </si>
  <si>
    <t>Winterthur - Basel</t>
  </si>
  <si>
    <t>ed14368dfc9be56c8eef4d964643ab1f</t>
  </si>
  <si>
    <t>NK Domzale - NK Maribor</t>
  </si>
  <si>
    <t>77105c845c8e69c9afef4b0d66196667</t>
  </si>
  <si>
    <t>2d85b190d95a2426e0d95db38e3e6f1c</t>
  </si>
  <si>
    <t>Bayern Munchen (W) - FC Zurich (W)</t>
  </si>
  <si>
    <t>AH1(-3.75)</t>
  </si>
  <si>
    <t>1e1c43f0764ff4347f1f151708a8cbcd</t>
  </si>
  <si>
    <t>Stade Nyonnais - Young Boys</t>
  </si>
  <si>
    <t>U(3.75)</t>
  </si>
  <si>
    <t>ddbae61ef6c7bd58616dce9fb69f7705</t>
  </si>
  <si>
    <t>Juan Ignacio Londero - Roberto Quiroz</t>
  </si>
  <si>
    <t>57db921331c61ad7072f2a725e86d112</t>
  </si>
  <si>
    <t>AH2(4.5)</t>
  </si>
  <si>
    <t>cab58b9068f0a1d7631bc4d731104e9d</t>
  </si>
  <si>
    <t>Willem II - SV Spakenburg</t>
  </si>
  <si>
    <t>U(3.5)</t>
  </si>
  <si>
    <t>314df25b4b00ab57e893e72215b8eb5c</t>
  </si>
  <si>
    <t>UTC Cajamarca (N) - Real Garcilaso</t>
  </si>
  <si>
    <t>ad965935dfd4faa4179fd5ef8c49ec8a</t>
  </si>
  <si>
    <t>CB Santos San Luis - Fuerza Regia Monterrey</t>
  </si>
  <si>
    <t>AH2(3.5)</t>
  </si>
  <si>
    <t>4b16b25c3000b89444e27bd1cb02349e</t>
  </si>
  <si>
    <t>Filip Peliwo - Sasi Kumar Mukund</t>
  </si>
  <si>
    <t>05:00</t>
  </si>
  <si>
    <t>04cb0aea51539708da4b471fd695f491</t>
  </si>
  <si>
    <t>Villanovense - Sevilla</t>
  </si>
  <si>
    <t>c6c93097edbc5a7f0b684b947d550b75</t>
  </si>
  <si>
    <t>USK Praha - BK NH Ostrava</t>
  </si>
  <si>
    <t>AH2(9.5)</t>
  </si>
  <si>
    <t>7b3fb9ff0afefcc4a20d81e8e8248198</t>
  </si>
  <si>
    <t>Sparta Prague - Vitkovice</t>
  </si>
  <si>
    <t>42ea90519e828c1c20b780f656011c22</t>
  </si>
  <si>
    <t>Golden State Warriors - New Orleans Pelicans</t>
  </si>
  <si>
    <t>03:35</t>
  </si>
  <si>
    <t>83df856de1ee7a7fb320051abbd4b665</t>
  </si>
  <si>
    <t>GKS Katowice - Jagiellonia Bialystok</t>
  </si>
  <si>
    <t>93693ff534a5b555cbb168174388fff2</t>
  </si>
  <si>
    <t>Kahramanmarasspor - Konyaspor</t>
  </si>
  <si>
    <t>e10af1b4e001b72bb47eda0f35700b73</t>
  </si>
  <si>
    <t>Ajax - Go Ahead Eagles</t>
  </si>
  <si>
    <t>O(4)</t>
  </si>
  <si>
    <t>dda430878af3d5e54c12bc9ebf1558a8</t>
  </si>
  <si>
    <t>AH1(-15.5)</t>
  </si>
  <si>
    <t>c31f1ee4bbe0da561b6318d429e1992a</t>
  </si>
  <si>
    <t>BK Latvijas Universitate - BK Jekabpils</t>
  </si>
  <si>
    <t>U(149.5)</t>
  </si>
  <si>
    <t>755d7b9ab67d2d9ca1f67166f9884811</t>
  </si>
  <si>
    <t>Olimpia Grudziadz - Wisla Plock</t>
  </si>
  <si>
    <t>f79854021ed2840cff59ad4bc9826078</t>
  </si>
  <si>
    <t>972b6af54fa88fead53b8f3fde789fa4</t>
  </si>
  <si>
    <t>New York City FC - Philadelphia Union</t>
  </si>
  <si>
    <t>6aa61bd0a94ff7360c19da33e825d005</t>
  </si>
  <si>
    <t>Zulia FC - Aragua FC</t>
  </si>
  <si>
    <t>ae78d044dcb330a14f5ae5fe4d758590</t>
  </si>
  <si>
    <t>Saarbrucken - TSG Hoffenheim Am</t>
  </si>
  <si>
    <t>8386a32b7d49059bf7f09775b97a1be5</t>
  </si>
  <si>
    <t>EHC Freiburg - Ravensburg Towerstars</t>
  </si>
  <si>
    <t>U(6.5)</t>
  </si>
  <si>
    <t>debf3ca64bb7bbe652ddd36198b2c6ea</t>
  </si>
  <si>
    <t>Monaco - MoraBanc Andorra</t>
  </si>
  <si>
    <t>AH1(-5.5)</t>
  </si>
  <si>
    <t>2e4b37cd06932fedfb32b3a8c1248b58</t>
  </si>
  <si>
    <t>Paolo Lorenzi - Pedja Krstin</t>
  </si>
  <si>
    <t>5784b9d4b469ffb6b0c50a9ea4cbc2f2</t>
  </si>
  <si>
    <t>Kamil Majchrzak - Tommy Paul</t>
  </si>
  <si>
    <t>b5784adba28aaa8c954c9ffaccdeb53b</t>
  </si>
  <si>
    <t>Nice - Auxerre</t>
  </si>
  <si>
    <t>93d65b021b23cdb7bdaae472b5d4812b</t>
  </si>
  <si>
    <t>ecd68ce3f2d80f4c62f40a5e05951b76</t>
  </si>
  <si>
    <t>CSM CSU Oradea - Sakarya Buyuksehir Basketbol</t>
  </si>
  <si>
    <t>AH2(-5.5)</t>
  </si>
  <si>
    <t>373de49b8292f8128a39bf7b12f53f01</t>
  </si>
  <si>
    <t>Ironi Ness Ziona - BK JIP Pardubice</t>
  </si>
  <si>
    <t>U(173)</t>
  </si>
  <si>
    <t>18:35</t>
  </si>
  <si>
    <t>4c119065d5c0a4b93b08ef965eec458f</t>
  </si>
  <si>
    <t>Rheindorf Altach - LASK Linz</t>
  </si>
  <si>
    <t>1069ab55366a12d552d0e08d05d6acf5</t>
  </si>
  <si>
    <t>Trikala - Asteras Tripolis</t>
  </si>
  <si>
    <t>AH1(0.75)</t>
  </si>
  <si>
    <t>59ea7e9f17f276844a9cbd5e6d2f2b18</t>
  </si>
  <si>
    <t>Thomaz Bellucci - Guido Andreozzi</t>
  </si>
  <si>
    <t>7dd35a7ae7f0dd9ba9a6b01d066405c3</t>
  </si>
  <si>
    <t>Melilla - Real Madrid</t>
  </si>
  <si>
    <t>f4a4fd5f18d8a742a5bb1c6057ab19b6</t>
  </si>
  <si>
    <t>Los Angeles Lakers - Dallas Mavericks</t>
  </si>
  <si>
    <t>O(234.5)</t>
  </si>
  <si>
    <t>d7a1089896460c92bd18d3c2da9aa3f3</t>
  </si>
  <si>
    <t>BC Lulea - Norrkoping Dolphins</t>
  </si>
  <si>
    <t>U(161.5)</t>
  </si>
  <si>
    <t>9285c31723e476470c6dc6b360a8a2e3</t>
  </si>
  <si>
    <t>49353ee9416b5d3e9d0b665ae19b40fe</t>
  </si>
  <si>
    <t>Venados de Mazatlan - Tomateros de Culiacan</t>
  </si>
  <si>
    <t>U(8.5)</t>
  </si>
  <si>
    <t>16dc4f16823863e1ffab58f0e57a6405</t>
  </si>
  <si>
    <t>Malmo - Orebro</t>
  </si>
  <si>
    <t>7904e5f1a2e35abd5c94be6425d5f654</t>
  </si>
  <si>
    <t>AH1(-2.75)</t>
  </si>
  <si>
    <t>a939d19086137a37273a3b371cd34576</t>
  </si>
  <si>
    <t>Miyu Kato (JPN)/Makoto Ninomiya (JPN) - Lyudmyla Kichenok (UKR)/Nadiia Kichenok (UKR)</t>
  </si>
  <si>
    <t>06:30</t>
  </si>
  <si>
    <t>d8bc826a62049c01fd39fcfabeb0580b</t>
  </si>
  <si>
    <t>30f576fc2a7a160479dc6dc0d12a9ba0</t>
  </si>
  <si>
    <t>Mineros de Zacatecas Basquetbol - Correcaminos UAT Basquetbol</t>
  </si>
  <si>
    <t>f1c52b111f4dcef14bab6683c0c7aa93</t>
  </si>
  <si>
    <t>Feralpi Salo - FC Sudtirol</t>
  </si>
  <si>
    <t>7a3d5d5bb1aebf3febad5c0ce6c8c935</t>
  </si>
  <si>
    <t>Horsens IC - Randers Cimbria</t>
  </si>
  <si>
    <t>c10a3f635585dbc80c4f465914999997</t>
  </si>
  <si>
    <t>St. Gallen - FC Sion</t>
  </si>
  <si>
    <t>20:15</t>
  </si>
  <si>
    <t>82eb7ba5134ca59579abb964450a48f6</t>
  </si>
  <si>
    <t>Midtjylland - FC Copenhagen</t>
  </si>
  <si>
    <t>1025c898412384f38daaca42af74ddd9</t>
  </si>
  <si>
    <t>Famila Schio (w) - USK Praha (w)</t>
  </si>
  <si>
    <t>O(137.5)</t>
  </si>
  <si>
    <t>b4fa52ce89879c6c0164a825f6da9246</t>
  </si>
  <si>
    <t>Ammerud Basket - Kongsberg Miners</t>
  </si>
  <si>
    <t>AH1(28.5)</t>
  </si>
  <si>
    <t>d61a31b56c38a63bb0fb36336d3f2292</t>
  </si>
  <si>
    <t>AH2(16)</t>
  </si>
  <si>
    <t>e60e4d59b2e9bcc7906e7f221af98383</t>
  </si>
  <si>
    <t>Alexander Bublik - Albano Olivetti</t>
  </si>
  <si>
    <t>14:15</t>
  </si>
  <si>
    <t>fcc18c04e05c678cc4fdc372f1cdb7ba</t>
  </si>
  <si>
    <t>Antoine Hoang - Sergiy Stakhovsky</t>
  </si>
  <si>
    <t>cd241b9d65cae9eaaf0ca74277e87d6a</t>
  </si>
  <si>
    <t>f2568b63963c5994867d0c691517470f</t>
  </si>
  <si>
    <t>Zhejiang Golden Bulls - Liaoning Flying Leopards</t>
  </si>
  <si>
    <t>8950be1cfbcc5b33e6d56789a69004c0</t>
  </si>
  <si>
    <t>Zhejiang Chouzhou - Liaoning</t>
  </si>
  <si>
    <t>O(207)</t>
  </si>
  <si>
    <t>360f9ada970c3039dab304b6b033cd2f</t>
  </si>
  <si>
    <t>181101</t>
  </si>
  <si>
    <t>Tampa Bay Lightning - Nashville Predators</t>
  </si>
  <si>
    <t>49fe8a06b7a134149ed153283fa950bd</t>
  </si>
  <si>
    <t>San Francisco 49ers - Oakland Raiders</t>
  </si>
  <si>
    <t>U(46.5)</t>
  </si>
  <si>
    <t>01:20</t>
  </si>
  <si>
    <t>80a7252dd8d46072e1bd3bed214dbc53</t>
  </si>
  <si>
    <t>Charlotte Hornets - Oklahoma City Thunder</t>
  </si>
  <si>
    <t>U(227)</t>
  </si>
  <si>
    <t>26f914243e7319adf6548c7297a429b1</t>
  </si>
  <si>
    <t>Central Florida - Temple</t>
  </si>
  <si>
    <t>AH1(-13)</t>
  </si>
  <si>
    <t>4d757992906aff1b29ce00fbf5787bd8</t>
  </si>
  <si>
    <t>DC United - Columbus Crew</t>
  </si>
  <si>
    <t>e450585e50ad96dd38572a07ea5ef845</t>
  </si>
  <si>
    <t>Juventude - Brasil De Pelotas RS</t>
  </si>
  <si>
    <t>64b284d84d0912279567d89e86c819dd</t>
  </si>
  <si>
    <t>NEC Nijmegen - Fortuna Sittard</t>
  </si>
  <si>
    <t>c9b3441bf2ae231d40e20e3e57c0930b</t>
  </si>
  <si>
    <t>Gimnastica Segoviana - UD Santa Marta</t>
  </si>
  <si>
    <t>AH1(-1.25)</t>
  </si>
  <si>
    <t>e7373d9d08d4f17aa3c03fce71e7e83e</t>
  </si>
  <si>
    <t>FC St. Gallen - FC Sion</t>
  </si>
  <si>
    <t>f0bca2c3e0cc332a1f884856e590e29d</t>
  </si>
  <si>
    <t>AsianOdds</t>
  </si>
  <si>
    <t>Csikszereda Miercurea Ciuc - Dinamo Bucuresti</t>
  </si>
  <si>
    <t>1db89a34522d7212f603a36666ba33b0</t>
  </si>
  <si>
    <t>Wadi Degla SC - Zamalek</t>
  </si>
  <si>
    <t>AH2(-1)</t>
  </si>
  <si>
    <t>e72d437f8f7a29184dbac7ad54185721</t>
  </si>
  <si>
    <t>Malmo FF - Orebro SK</t>
  </si>
  <si>
    <t>a7e2dcff1b6582639d7eb29836261cf9</t>
  </si>
  <si>
    <t>Chiasso - Luzern</t>
  </si>
  <si>
    <t>5f373011980be84b64849355c57b6b11</t>
  </si>
  <si>
    <t>Glasgow City (W) - Barcelona (W)</t>
  </si>
  <si>
    <t>AH2(-2.5)</t>
  </si>
  <si>
    <t>8a76fd54ac3e5df610f7bb8db87bda53</t>
  </si>
  <si>
    <t>Spartak Moscow - Anzhi Makhachkala</t>
  </si>
  <si>
    <t>b4213d0afda75ede53a3dfe3d2a34599</t>
  </si>
  <si>
    <t>Martos CD - CD Alhaurino</t>
  </si>
  <si>
    <t>30db26ccc2480e3f17a4d120a1b6baa8</t>
  </si>
  <si>
    <t>Flamengo Basquete - EC Pinheiros Basquete</t>
  </si>
  <si>
    <t>U(163.5)</t>
  </si>
  <si>
    <t>00:45</t>
  </si>
  <si>
    <t>3a76dbcd58ef94dfeb6a25f5eb666436</t>
  </si>
  <si>
    <t>Dunarea Calarasi - Steaua Bucuresti</t>
  </si>
  <si>
    <t>716edc3187e06dc0728fa028fa9d7d47</t>
  </si>
  <si>
    <t>4277fddd1bece73e861bab498abe593f</t>
  </si>
  <si>
    <t>Feyenoord - ADO Den Haag</t>
  </si>
  <si>
    <t>1d2b291987ad1bcb92abcf10e79d8a08</t>
  </si>
  <si>
    <t>Glasgow City (w) - Barcelona (w)</t>
  </si>
  <si>
    <t>863c3a9eefbb022afb7d1a4ae830a7af</t>
  </si>
  <si>
    <t>Al-Ittihad Jeddah - Al-Raed Buraidah</t>
  </si>
  <si>
    <t>17:50</t>
  </si>
  <si>
    <t>b5aae3ff4d5b19c0218491f162050a62</t>
  </si>
  <si>
    <t>Newells Old Boys (N) - Rosario Central</t>
  </si>
  <si>
    <t>d4abc6966ec875ed2097e793116b95e0</t>
  </si>
  <si>
    <t>Motagua - CS Herediano</t>
  </si>
  <si>
    <t>3f00bc2aa3a69c35ca4e6ad11bd01f45</t>
  </si>
  <si>
    <t>Jiangsu Dragons - Guangdong</t>
  </si>
  <si>
    <t>AH1(10)</t>
  </si>
  <si>
    <t>5c17d30a73292cf369c8592f3ff448c0</t>
  </si>
  <si>
    <t>Shenzhen - Xinjiang</t>
  </si>
  <si>
    <t>O(214.5)</t>
  </si>
  <si>
    <t>f2e72380fd237f851b40f6a8ec310c58</t>
  </si>
  <si>
    <t>Shanxi Zhongyu - Zhejiang Guangsha</t>
  </si>
  <si>
    <t>U(215)</t>
  </si>
  <si>
    <t>8687abf713d96c3f15fbd65a3701d8d3</t>
  </si>
  <si>
    <t>5c1a3f86dcd65c9a33d2bccc9efb8768</t>
  </si>
  <si>
    <t>Western Michigan - Ohio</t>
  </si>
  <si>
    <t>O(64.5)</t>
  </si>
  <si>
    <t>eab143975807c2e55cc579164f66f314</t>
  </si>
  <si>
    <t>Criciúma EC - Goiás EC</t>
  </si>
  <si>
    <t>23:15</t>
  </si>
  <si>
    <t>9b1600f50b9b711e58dd3ccad085a7a8</t>
  </si>
  <si>
    <t>Shanghai Shenhua - Henan Jianye</t>
  </si>
  <si>
    <t>b96ead26e35be7dfa4d61fa3240d0c7d</t>
  </si>
  <si>
    <t>Blau Weiss Linz - SK Vorwarts Steyr</t>
  </si>
  <si>
    <t>19:10</t>
  </si>
  <si>
    <t>eedac4c24679d11c1eb96d518ae2e6e2</t>
  </si>
  <si>
    <t>Lyon Duchere - US Avranches</t>
  </si>
  <si>
    <t>8c8211247170a27e76c06362b5256d58</t>
  </si>
  <si>
    <t>75d9c4c0695edfe0867c0b8d1853cad0</t>
  </si>
  <si>
    <t>Tianjin Quanjian - Beijing Guoan</t>
  </si>
  <si>
    <t>74cde011d86a2e8670e746a2cc1b0605</t>
  </si>
  <si>
    <t>Akron Zips - Northern Illinois Huskies</t>
  </si>
  <si>
    <t>O(36.5)</t>
  </si>
  <si>
    <t>212f75ecd4bf16c7a158805700a05b81</t>
  </si>
  <si>
    <t>Verona - Cremonese</t>
  </si>
  <si>
    <t>cc78600e580f0b645a4c8df8b7ad675e</t>
  </si>
  <si>
    <t>Portland Trail Blazers - New Orleans Pelicans</t>
  </si>
  <si>
    <t>5793caa977385225ea42597469655856</t>
  </si>
  <si>
    <t>Sport Huancayo - Sport Rosario</t>
  </si>
  <si>
    <t>3a6608260bd7fec270a8251046c61c86</t>
  </si>
  <si>
    <t>Atlético Nacional - Once Caldas</t>
  </si>
  <si>
    <t>9e7c18185e6fb6dbee526d84ec3df113</t>
  </si>
  <si>
    <t>Stade Brestois 29 - Red Star FC 93</t>
  </si>
  <si>
    <t>82d74d84e117a7f6acbe12965f3d81e0</t>
  </si>
  <si>
    <t>Atletico Nacional - Once Caldas</t>
  </si>
  <si>
    <t>a38e06bd79aa729b41b9a82569b6e92f</t>
  </si>
  <si>
    <t>181102</t>
  </si>
  <si>
    <t>UCF Knights - Temple Owls</t>
  </si>
  <si>
    <t>O(59.5)</t>
  </si>
  <si>
    <t>bf269aecd941007a9aff4d9ae4540409</t>
  </si>
  <si>
    <t>Oeste SP - Figueirense SC</t>
  </si>
  <si>
    <t>d21b01b93ea3074718fac46d8c5c66bc</t>
  </si>
  <si>
    <t>Dordrecht - Volendam</t>
  </si>
  <si>
    <t>b72f054d760f25200c1c23ff53c85bb0</t>
  </si>
  <si>
    <t>CR Vasco da Gama Basquete - Paulistano Basquete</t>
  </si>
  <si>
    <t>AH1(8.5)</t>
  </si>
  <si>
    <t>01:10</t>
  </si>
  <si>
    <t>0ffbf38e86da33fc45ef4968c473d558</t>
  </si>
  <si>
    <t>Flamengo - Pinheiros</t>
  </si>
  <si>
    <t>O(161.5)</t>
  </si>
  <si>
    <t>ff1e2e17177dc9363cd9bf36f22b4f78</t>
  </si>
  <si>
    <t>AH2(-8.5)</t>
  </si>
  <si>
    <t>7dc6b51bef88a7b5327479f306bf31bf</t>
  </si>
  <si>
    <t>Sesil Karatantcheva - Beatriz Haddad Maia</t>
  </si>
  <si>
    <t>1135fdb76e1102993e496f96f4452783</t>
  </si>
  <si>
    <t>Ahva Arraba - Beitar Nahariya</t>
  </si>
  <si>
    <t>5c5da07157dbcdb9f38066e16b24c468</t>
  </si>
  <si>
    <t>Entente SSG - Marignane Gignac</t>
  </si>
  <si>
    <t>42bea4a6b6f04f2f76608620b8845302</t>
  </si>
  <si>
    <t>Slovan Bratislava U19 - FK Senica U19</t>
  </si>
  <si>
    <t>67f7c1e35353e5f6957d244faa6b2eda</t>
  </si>
  <si>
    <t>Guizhou Hengfeng - Guangzhou RF</t>
  </si>
  <si>
    <t>2f6956ef9c504ab2268aee76a9223fb9</t>
  </si>
  <si>
    <t>Matthias Bachinger - Gleb Sakharov</t>
  </si>
  <si>
    <t>5f1bf381cd2e46fab5a06511d8a6dc4a</t>
  </si>
  <si>
    <t>SK Wyverns - NEXEN Heroes</t>
  </si>
  <si>
    <t>78694a56c0533200a04f1be4e1e56b6d</t>
  </si>
  <si>
    <t>Villa Dalmine - Brown Adrogue</t>
  </si>
  <si>
    <t>4a96ddc4b826658c9237b7079e12c43c</t>
  </si>
  <si>
    <t>Tolpar Ufa - Irbis Kazan</t>
  </si>
  <si>
    <t>868d8bd06c7844aef312857fceb6a5f7</t>
  </si>
  <si>
    <t>Molot-Prikamie Perm - HC Yugra</t>
  </si>
  <si>
    <t>6c34a1821e656e4cec6757189c0f61e8</t>
  </si>
  <si>
    <t>Yekaterinburg - Sochi</t>
  </si>
  <si>
    <t>25c8edc0eba72ccdd71b949ecdf8616d</t>
  </si>
  <si>
    <t>Imatran Ketter - K-Vantaa</t>
  </si>
  <si>
    <t>7f8df5e56843cbe366b73c93dbb1935b</t>
  </si>
  <si>
    <t>Shonan Bellmare - Shimizu S-Pulse</t>
  </si>
  <si>
    <t>0f31276b6cc7ff4d80007464cfba3d95</t>
  </si>
  <si>
    <t>OB Odense - Hobro IK</t>
  </si>
  <si>
    <t>25846d3b8b1436eda72d1d1ae2f23845</t>
  </si>
  <si>
    <t>Melilla Baloncesto - Amics Castello</t>
  </si>
  <si>
    <t>c8db7c70ebd3f47d71e4c2b7fd853862</t>
  </si>
  <si>
    <t>Hapoel Katamon Jerusalem F.C. - Maccabi Ahi Nazareth</t>
  </si>
  <si>
    <t>d04ad10dcb7d3fd53842b895f80db57c</t>
  </si>
  <si>
    <t>Grizzlys Wolfsburg - Kolner Haie</t>
  </si>
  <si>
    <t>ddb25a5a913d2e712f8c33c173288f59</t>
  </si>
  <si>
    <t>Dasha Lopatetskaya - Quirine Lemoine</t>
  </si>
  <si>
    <t>16:59</t>
  </si>
  <si>
    <t>a21043f144c4993b33f7cd0df3f7b279</t>
  </si>
  <si>
    <t>666b5e2f196435121fdb86dce4621397</t>
  </si>
  <si>
    <t>FK Qarabag II - MOIK Baku</t>
  </si>
  <si>
    <t>740d662bddd225d9acbbb10c3f10079d</t>
  </si>
  <si>
    <t>El Dakhleya - Talaea El Gaish</t>
  </si>
  <si>
    <t>13:45</t>
  </si>
  <si>
    <t>0137f14edcf0a4b416c6951d8d1b94c9</t>
  </si>
  <si>
    <t>Urawa Red Diamonds - Gamba Osaka</t>
  </si>
  <si>
    <t>497ad8220ff3c67b05efe54d367e0839</t>
  </si>
  <si>
    <t>9f83d9f0454920e2f817d8fbc8fbba94</t>
  </si>
  <si>
    <t>Paykan Tehran - Tractor Sazi</t>
  </si>
  <si>
    <t>1aa78949c7ebdab4e2ea81f25be26a53</t>
  </si>
  <si>
    <t>Norrby IF - Falkenbergs FF</t>
  </si>
  <si>
    <t>87654a082c8b7884543a3128b60d6179</t>
  </si>
  <si>
    <t>Padideh Khorasan - Nassaji Mazandaran</t>
  </si>
  <si>
    <t>a879e1b4eada52303cba792d902bc3d9</t>
  </si>
  <si>
    <t>Pyramids FC - El-Ittihad</t>
  </si>
  <si>
    <t>d40ffd8063fd86ca2e4594ae0f528884</t>
  </si>
  <si>
    <t>El-Entag El-Harby - Smouha SC</t>
  </si>
  <si>
    <t>c738a75cb8b60ed414b46ad4999623be</t>
  </si>
  <si>
    <t>Al Ahli Amman - Shabab Al-Ordon</t>
  </si>
  <si>
    <t>4a30300d89ee42a00022206ad9bafe59</t>
  </si>
  <si>
    <t>Uppsala Basket - Boras Basket</t>
  </si>
  <si>
    <t>4b53204ab1be40612a2e301e9d4d4f0b</t>
  </si>
  <si>
    <t>Galatasaray SK - Fenerbahçe SK</t>
  </si>
  <si>
    <t>4470acb1aa0d574ecff43c204d3435cb</t>
  </si>
  <si>
    <t>Ourense Baloncesto - Forca Lleida</t>
  </si>
  <si>
    <t>bfffcd05fa60ed8cd52fca18b5aae927</t>
  </si>
  <si>
    <t>Beijing Ducks - Shanghai Sharks</t>
  </si>
  <si>
    <t>AH2(7.5)</t>
  </si>
  <si>
    <t>0ae62343cafc606021d44eedd8cdab97</t>
  </si>
  <si>
    <t>Metalurgistul Cugir - CS Ocna Mures</t>
  </si>
  <si>
    <t>6a2d8e3cbe0266471bd15e25d96d4798</t>
  </si>
  <si>
    <t>Kaiserslautern - Energie Cottbus</t>
  </si>
  <si>
    <t>547648469191a58c474c31626187d0e0</t>
  </si>
  <si>
    <t>Paris FC - Sochaux-Montbéliard</t>
  </si>
  <si>
    <t>969525c4e28301b92cb896b1fb7a9bd3</t>
  </si>
  <si>
    <t>Ohud Medina - Al Taawon Buraidah</t>
  </si>
  <si>
    <t>6a08b9e2f79f67f4ea8273578abba681</t>
  </si>
  <si>
    <t>Anwil Wloclawek - Spojnia Stargard</t>
  </si>
  <si>
    <t>U(165)</t>
  </si>
  <si>
    <t>03a35e183190e4558e802b3c10189790</t>
  </si>
  <si>
    <t>O´Higgins - Universidad de Concepción</t>
  </si>
  <si>
    <t>ddfb8830828a805aae5e8b9a362e27bc</t>
  </si>
  <si>
    <t>Pyramids FC - Al Ittihad Alexandria</t>
  </si>
  <si>
    <t>addde62b2e2f9a354f6044d8d45cfaea</t>
  </si>
  <si>
    <t>871167d367a1457dc41e8d891cabe23a</t>
  </si>
  <si>
    <t>Pune City - Kerala Blasters</t>
  </si>
  <si>
    <t>8940ed45b188bded661edde9bd951c9f</t>
  </si>
  <si>
    <t>El Daklyeh - Tala.ea El Giesh</t>
  </si>
  <si>
    <t>24b4a35255dd7e902a0818281e482752</t>
  </si>
  <si>
    <t>Al Ahly Amman - Shabab Al Ordon</t>
  </si>
  <si>
    <t>4838067101f2e5b170fb11dd785c0f35</t>
  </si>
  <si>
    <t>Lokomotiv Moscow - Arsenal Tula</t>
  </si>
  <si>
    <t>7ae7c8661f64a0fc69a0ce3a4d449e5a</t>
  </si>
  <si>
    <t>Esteghlal Melli Sanati - Naft Masjed Soleyman</t>
  </si>
  <si>
    <t>7a6cc21d1d656ce2a695d9249abc4294</t>
  </si>
  <si>
    <t>JA Vichy Clermont Metropole - Poitiers Basket 86</t>
  </si>
  <si>
    <t>U(156.5)</t>
  </si>
  <si>
    <t>0d1a85d0f3541e33e0712c16d709e293</t>
  </si>
  <si>
    <t>Polpharma Starogard Gdanski - AZS Koszalin</t>
  </si>
  <si>
    <t>0432e0ffbe8ee6dd2ff10f88fbfef687</t>
  </si>
  <si>
    <t>Beitar Tel Aviv Ramla - Sektzia Nes Tziona</t>
  </si>
  <si>
    <t>ddf8b13a6f92d3b7a2b4fa5fe6b04176</t>
  </si>
  <si>
    <t>Tottenham Hotspur U23 - Swansea City U23</t>
  </si>
  <si>
    <t>1915b27f2fa3b55c214775cb0d66fb75</t>
  </si>
  <si>
    <t>Jiangsu Suning FC - Hebei China Fortune</t>
  </si>
  <si>
    <t>562b6b3afecd93f6f69061448add5a23</t>
  </si>
  <si>
    <t>Al-Gharafa SC - Al Shahaniya</t>
  </si>
  <si>
    <t>15:15</t>
  </si>
  <si>
    <t>7ed319e1a81fc8d9ddc4f72d9acf2c46</t>
  </si>
  <si>
    <t>El Daklyeh - Talaea El Giesh</t>
  </si>
  <si>
    <t>3f2f842030412621eb976d08ed1c8748</t>
  </si>
  <si>
    <t>FC Minsk - FC Gorodeya</t>
  </si>
  <si>
    <t>f6a8a0e76d4df59a4d2a986e48d9e35c</t>
  </si>
  <si>
    <t>e89c1bc6c709205aafde9ab06570a250</t>
  </si>
  <si>
    <t>Ceske Budejovice U19 - Vysocina Jihlava U19</t>
  </si>
  <si>
    <t>6b2eefde156a44418d019d0ebe927343</t>
  </si>
  <si>
    <t>Duisburg - SC Paderborn 07</t>
  </si>
  <si>
    <t>846d55db9f0417d2efecd257b8302ea1</t>
  </si>
  <si>
    <t>San Jose Oruro - Guabira Montero</t>
  </si>
  <si>
    <t>AH1(-1.75)</t>
  </si>
  <si>
    <t>f78197c0a9ff7eaebb947967a124ee33</t>
  </si>
  <si>
    <t>Al-Jazeera Amman - Al-Wehdat</t>
  </si>
  <si>
    <t>0803d05ad9205a1068abfc34b8c27b7e</t>
  </si>
  <si>
    <t>f4f659373d577d4724ad97799403bc74</t>
  </si>
  <si>
    <t>SG Sonnenhof Grossaspach - Eintracht Braunschweig</t>
  </si>
  <si>
    <t>3806ba393c68b10166514e87dc29617c</t>
  </si>
  <si>
    <t>SV Rödinghausen - 1. FC Köln II</t>
  </si>
  <si>
    <t>694dfd4108707a9ae45cfa038be8f914</t>
  </si>
  <si>
    <t>Padova - Cittadella</t>
  </si>
  <si>
    <t>27c82c023c66cef05926156d39a3f3bb</t>
  </si>
  <si>
    <t>Southampton U23 - West Brom U23</t>
  </si>
  <si>
    <t>d1c4849803f9c76b741e587f1277649c</t>
  </si>
  <si>
    <t>Danielle Lao - Lauren Davis</t>
  </si>
  <si>
    <t>e5f64d1fefc016eea2c419a20a20bdc3</t>
  </si>
  <si>
    <t>Albacete Balompié - Gimnastic de Tarragona</t>
  </si>
  <si>
    <t>bc1f73630fd10ed49777c1ad684c880b</t>
  </si>
  <si>
    <t>Worcester Wolves - Sheffield Sharks</t>
  </si>
  <si>
    <t>db81f9bf94d3e420fb974eb644f1c0fe</t>
  </si>
  <si>
    <t>Dinamo Batumi - FC Shukura Kobuleti</t>
  </si>
  <si>
    <t>56306589bf3b8b5fecba7d833b41a47e</t>
  </si>
  <si>
    <t>GKK Sibenik - KK Alkar Sinj</t>
  </si>
  <si>
    <t>AH1(-13.5)</t>
  </si>
  <si>
    <t>3bc4803b244928ab4e57428e97596d38</t>
  </si>
  <si>
    <t>Southampton U23 - West Bromwich Albion U23</t>
  </si>
  <si>
    <t>4f974949468fb5636f0adbf0badc6f68</t>
  </si>
  <si>
    <t>Kashima Antlers - Persepolis FC</t>
  </si>
  <si>
    <t>964dc92253b41c8a53a28e666cd48c25</t>
  </si>
  <si>
    <t>33954bd0b539cca24c38715267dc6479</t>
  </si>
  <si>
    <t>Wurzburger Kickers Am - TSV Grossbardorf</t>
  </si>
  <si>
    <t>b8699bd1f2a657f530f53abd5d002455</t>
  </si>
  <si>
    <t>Troyes AC - Valenciennes FC</t>
  </si>
  <si>
    <t>1e90ea458b60b5590e6e91aa3592f1ce</t>
  </si>
  <si>
    <t>AS Beziers - FC Lorient</t>
  </si>
  <si>
    <t>edf0c038d2e875d72faaf7e848b5fc37</t>
  </si>
  <si>
    <t>Lens - Chateauroux</t>
  </si>
  <si>
    <t>bd834e2aa30932e9e0924cbb1d3854f6</t>
  </si>
  <si>
    <t>Airdrieonians - Forfar Athletic</t>
  </si>
  <si>
    <t>37e64c0cbbf2dad5bb6981a60c6824df</t>
  </si>
  <si>
    <t>FC Bayern München II - VfB Eichstätt</t>
  </si>
  <si>
    <t>e417a92b4af3202593bbd6476aeec9c4</t>
  </si>
  <si>
    <t>Hellas Verona - Cremonese</t>
  </si>
  <si>
    <t>12ca0a848c67e9d48059e2fef8dac52a</t>
  </si>
  <si>
    <t>Vitkovice - Mlada Boleslav</t>
  </si>
  <si>
    <t>4af4f2800d8a83524c4c3e8e5b16463f</t>
  </si>
  <si>
    <t>Liberec - Chomutov</t>
  </si>
  <si>
    <t>b958dabb8011e064302fdda288589f2c</t>
  </si>
  <si>
    <t>Trinec - Karlovy Vary</t>
  </si>
  <si>
    <t>b91a7108f7397f0ed67f131d0aa6c841</t>
  </si>
  <si>
    <t>FK Pohronie - Inter Bratislava</t>
  </si>
  <si>
    <t>5a5d819fbdbd770cb46c6adbf48c293c</t>
  </si>
  <si>
    <t>AC Milan U19 - Chievo U19</t>
  </si>
  <si>
    <t>09d1ed81db6f532fef968c4417fbef5b</t>
  </si>
  <si>
    <t>3c083eaf9d80cc3982872deac63ac6b8</t>
  </si>
  <si>
    <t>38aac7ed3867a2d0d203ff529154649c</t>
  </si>
  <si>
    <t>Deportivo Flandria - San Telmo</t>
  </si>
  <si>
    <t>91027a45a0775aef0724a7a4ae9817fb</t>
  </si>
  <si>
    <t>Wigry Suwalki - Rakow Czestochowa</t>
  </si>
  <si>
    <t>a873de9c4605ce2562ad37a7af93f8b1</t>
  </si>
  <si>
    <t>eb94832b1096a7fdb4567b688072d78f</t>
  </si>
  <si>
    <t>St. Kitts &amp; Nevis U20 - Martinique U20</t>
  </si>
  <si>
    <t>17:45</t>
  </si>
  <si>
    <t>e3d31e316af01d8f152ceaa8f435183c</t>
  </si>
  <si>
    <t>El Entag El Harby - Smouha SC</t>
  </si>
  <si>
    <t>3fce9da3176ae960e188408d782809a9</t>
  </si>
  <si>
    <t>CF Reus - CD Lugo</t>
  </si>
  <si>
    <t>4937475390b1b85311a3a67d02f1857a</t>
  </si>
  <si>
    <t>EN THOI Lakatamia - MEAP Nisou</t>
  </si>
  <si>
    <t>a6a49e2a831d206aa9a67fb8e0090a26</t>
  </si>
  <si>
    <t>Atlética Ponte Preta - EC São Bento</t>
  </si>
  <si>
    <t>f0e270d0e1f4247ce50f99d4038f81ea</t>
  </si>
  <si>
    <t>Mohun Bagan AC - Aizawl FC</t>
  </si>
  <si>
    <t>d06e6038a4dd7a622426a622bdae639b</t>
  </si>
  <si>
    <t>Polpharma Starogard - Koszalin</t>
  </si>
  <si>
    <t>O(171)</t>
  </si>
  <si>
    <t>57e2ffff8666cf1f9a212beb72ad208a</t>
  </si>
  <si>
    <t>Daniel Masur - Ruben Bemelmans</t>
  </si>
  <si>
    <t>dac15ce5284f18dfadf1652d7d7b201c</t>
  </si>
  <si>
    <t>Bahia U20 - CRB Maceio U20</t>
  </si>
  <si>
    <t>f3ac03728dbca50562d6cd18a5d6ce20</t>
  </si>
  <si>
    <t>ENTHOI Lakatamia - MEAP Nisou</t>
  </si>
  <si>
    <t>a010df4d3a50592b33dac9ff83d6773c</t>
  </si>
  <si>
    <t>Manchester United U23 - Newcastle United U23</t>
  </si>
  <si>
    <t>d270c161b29387d43a19f70584e22a88</t>
  </si>
  <si>
    <t>KK Buducnost Voli - Panathinaikos</t>
  </si>
  <si>
    <t>87673df8904ba54b417b2fae71d7d6cd</t>
  </si>
  <si>
    <t>GKK Sibenik - KK Alkar</t>
  </si>
  <si>
    <t>21dceff5a7503d06b7bba0f0e2e3c7ed</t>
  </si>
  <si>
    <t>El Salvador U20 - Curacao U20</t>
  </si>
  <si>
    <t>292b9ea8cb8ad7f0d93db0d42cbdb754</t>
  </si>
  <si>
    <t>BC Nokia - Kouvot</t>
  </si>
  <si>
    <t>fa2d135aed4ddb8ac907262e6c02cbee</t>
  </si>
  <si>
    <t>O(169.5)</t>
  </si>
  <si>
    <t>a30d6175e9c43fcc225961e8a12c6a5c</t>
  </si>
  <si>
    <t>Arka Gdynia - Pogon Szczecin</t>
  </si>
  <si>
    <t>f1195643aa173e5627227505f0acc75f</t>
  </si>
  <si>
    <t>Stade Lavallois - USL Dunkerque</t>
  </si>
  <si>
    <t>5e3e106e2aa1aaf4a1b6ac5dc265ad00</t>
  </si>
  <si>
    <t>CSM Politehnica Iasi - CS U Craiova</t>
  </si>
  <si>
    <t>e7753b00925d6a45cc69746399f3c940</t>
  </si>
  <si>
    <t>Argentino de Junin - Obras Basket</t>
  </si>
  <si>
    <t>U(162.5)</t>
  </si>
  <si>
    <t>ee734734d76e3b4ee93e8050bdc9e754</t>
  </si>
  <si>
    <t>440e385306f5e8820ef7ad10562c660b</t>
  </si>
  <si>
    <t>Deportes Iquique - Huachipato</t>
  </si>
  <si>
    <t>c9a5f21ff5997ccf6823408e772ab087</t>
  </si>
  <si>
    <t>Sepsi OSK Sfantu Gheorghe - AFC Hermannstadt</t>
  </si>
  <si>
    <t>41ea409260140e1c81921220838bf1bb</t>
  </si>
  <si>
    <t>Racing Genk - Club Brugge</t>
  </si>
  <si>
    <t>7678e3ff3e85c078c8ab25779ebb4263</t>
  </si>
  <si>
    <t>Antibes Sharks - Champagne Chalons Reims</t>
  </si>
  <si>
    <t>AH2(-3)</t>
  </si>
  <si>
    <t>57f8fe04948bf86d1b39aaff694cb04a</t>
  </si>
  <si>
    <t>Club San José - Guabira</t>
  </si>
  <si>
    <t>9e12dbb7ecf211342a2390fcd78fd1b1</t>
  </si>
  <si>
    <t>Ballymena United - Glenavon</t>
  </si>
  <si>
    <t>e8609fa7bad1ee961179f29a8bb94571</t>
  </si>
  <si>
    <t>Caceres Ciudad Del Baloncesto - CB Coruna</t>
  </si>
  <si>
    <t>575a443e5e49abc0542ba84072b1503a</t>
  </si>
  <si>
    <t>Louisiana Monroe Warhawks - Georgia Southern Eagles</t>
  </si>
  <si>
    <t>AH1(7.5)</t>
  </si>
  <si>
    <t>62bea0fb89d94f1cad16d3ddbf4dbf7d</t>
  </si>
  <si>
    <t>Argentino Junin - Obras Basket</t>
  </si>
  <si>
    <t>6f1145f340c501aac4c36e0961e0a0f5</t>
  </si>
  <si>
    <t>BC Zielona Gora - BC Nizhny Novgorod</t>
  </si>
  <si>
    <t>AH1(-6)</t>
  </si>
  <si>
    <t>8b3449a54eee5ece9dcdf40ff34c2006</t>
  </si>
  <si>
    <t>BC Zenit St. Petersburg - BC Enisey Krasnoyarsk</t>
  </si>
  <si>
    <t>O(173.5)</t>
  </si>
  <si>
    <t>a17e79da868df522bc771ea1276283cf</t>
  </si>
  <si>
    <t>Atletico Goianiense - Fortaleza</t>
  </si>
  <si>
    <t>dca7306859d6e831fe22bf92e868feee</t>
  </si>
  <si>
    <t>Jubilo Iwata - Sanfrecce Hiroshima</t>
  </si>
  <si>
    <t>fe70574a70b9a5b54645d0683add433f</t>
  </si>
  <si>
    <t>Oeste SP - Figueirense</t>
  </si>
  <si>
    <t>509d6e02a35d450e716b32e81bcb1967</t>
  </si>
  <si>
    <t>Middle Tennessee State - Western Kentucky</t>
  </si>
  <si>
    <t>AH1(-16)</t>
  </si>
  <si>
    <t>3fe182689100669fa102a49d90e2d0bc</t>
  </si>
  <si>
    <t>Wake Forest - Syracuse</t>
  </si>
  <si>
    <t>U(77.5)</t>
  </si>
  <si>
    <t>bcaa299b320b03deb20ae020286fc5c1</t>
  </si>
  <si>
    <t>JYP - Jukurit</t>
  </si>
  <si>
    <t>6ed06e29e56016227b83608e56307207</t>
  </si>
  <si>
    <t>UAEM Potros - Correcaminos</t>
  </si>
  <si>
    <t>2ae94585fa595625fa516acab586d6c0</t>
  </si>
  <si>
    <t>Aguilas de Mexicali - Venados de Mazatlan</t>
  </si>
  <si>
    <t>86d9ebd170775cf5d873f3e906a90c67</t>
  </si>
  <si>
    <t>Le Mans - Strasbourg</t>
  </si>
  <si>
    <t>O(159.5)</t>
  </si>
  <si>
    <t>17546b090a59a5ab458f0c434f7c66a5</t>
  </si>
  <si>
    <t>Aleksandr Nedovyesov - Miomir Kecmanovic</t>
  </si>
  <si>
    <t>02d74d2d520a5e5b2553142ed7c44630</t>
  </si>
  <si>
    <t>KK Helios Suns Domzale - KK Sentjur</t>
  </si>
  <si>
    <t>O(147.5)</t>
  </si>
  <si>
    <t>e46cbc94ccb5b9210a0d9f843ea7b9d3</t>
  </si>
  <si>
    <t>U(158.5)</t>
  </si>
  <si>
    <t>367cc65794b84d38cdeb9b992c56190e</t>
  </si>
  <si>
    <t>Alvark Tokyo - Ryukyu Golden Kings</t>
  </si>
  <si>
    <t>U(143.5)</t>
  </si>
  <si>
    <t>07:05</t>
  </si>
  <si>
    <t>6dd2a32c5e28df11b580f81fe87db996</t>
  </si>
  <si>
    <t>CS Emelec - CD Universidad Catolica Quito</t>
  </si>
  <si>
    <t>2cd5dd2a27fc73af0ccba1ac84d4fd1b</t>
  </si>
  <si>
    <t>Osaka Evessa - Kawasaki Brave Thunders</t>
  </si>
  <si>
    <t>U(141.5)</t>
  </si>
  <si>
    <t>10:05</t>
  </si>
  <si>
    <t>0fa5349f00fbc5b1f0c0949d2d11f192</t>
  </si>
  <si>
    <t>Queens Park - Annan Athletic</t>
  </si>
  <si>
    <t>f8c1f07096ade53dccc0969c2a691694</t>
  </si>
  <si>
    <t>181103</t>
  </si>
  <si>
    <t>Instituto de Córdoba - Club Atlético Mitre</t>
  </si>
  <si>
    <t>a48448648d1e65064b904b6cd11e6000</t>
  </si>
  <si>
    <t>Raith - Brechin</t>
  </si>
  <si>
    <t>c2d733f32f09035d7458a57b344dc814</t>
  </si>
  <si>
    <t>Unión de Santa Fe - Patronato</t>
  </si>
  <si>
    <t>fc3c7bbbcb1b95f682bec496e126c732</t>
  </si>
  <si>
    <t>Villa Dalmine - Brown de Adrogue</t>
  </si>
  <si>
    <t>dc3a30dd0e5cd451c287d9dcf7712da5</t>
  </si>
  <si>
    <t>Deportivo Pereira - Deportes Quindio</t>
  </si>
  <si>
    <t>427e8e63c450b1cd4e3ee0bd33760d19</t>
  </si>
  <si>
    <t>Grasshopper - Young Boys</t>
  </si>
  <si>
    <t>2ea8eba35f762f0b6c970f05742f6c2d</t>
  </si>
  <si>
    <t>Tomateros de Culiacan - Charros de Jalisco</t>
  </si>
  <si>
    <t>8628451990e8cab300ddf96b16fa1f90</t>
  </si>
  <si>
    <t>Dalian Yifang - Beijing Renhe</t>
  </si>
  <si>
    <t>08:30</t>
  </si>
  <si>
    <t>9125a3e613c1da5a50e3f27f4a403be2</t>
  </si>
  <si>
    <t>KK Mega - KK Partizan Beograd</t>
  </si>
  <si>
    <t>f513c28b7ac953e45d72069e7120f3cf</t>
  </si>
  <si>
    <t>Lunds BK - Ljungskile SK</t>
  </si>
  <si>
    <t>db5e400dd6ebb219d4717fa1b4832b2e</t>
  </si>
  <si>
    <t>Ponferradina - Real Madrid Castilla</t>
  </si>
  <si>
    <t>01b306b0ba1a1d0d367a2833ab6f35f6</t>
  </si>
  <si>
    <t>Defensores de Belgrano - Independiente Rivadavia</t>
  </si>
  <si>
    <t>19e20cf23d220c9a065c59f35a0e5db1</t>
  </si>
  <si>
    <t>FK Ryazan - Torpedo Moscow</t>
  </si>
  <si>
    <t>42a494d1c57ed9f88412c89dc869a80a</t>
  </si>
  <si>
    <t>Cliftonville - Glentoran</t>
  </si>
  <si>
    <t>6365856885d0ef9150d2bf53ace7e7b1</t>
  </si>
  <si>
    <t>Kateryna Kozlova - Jessika Ponchet</t>
  </si>
  <si>
    <t>8f9e12709275b69a12e71bcdf4a482f6</t>
  </si>
  <si>
    <t>Estudiantes La Plata - CA River Plate</t>
  </si>
  <si>
    <t>4e0ca9485c3ef31b280895e6644cba52</t>
  </si>
  <si>
    <t>Degerfors - Gefle</t>
  </si>
  <si>
    <t>9b43f12f5d83f7bccfed916b9c9ffb5d</t>
  </si>
  <si>
    <t>Fluminense RJ - Vasco da Gama RJ</t>
  </si>
  <si>
    <t>bbc492f1359031a9e2f999104c45f8b7</t>
  </si>
  <si>
    <t>Envigado FC - Boyaca Chico</t>
  </si>
  <si>
    <t>bc68edf563c69b4a9010cd4c31d85ad2</t>
  </si>
  <si>
    <t>Fortuna Düsseldorf II - TV Herkenrath</t>
  </si>
  <si>
    <t>2a5f0e7b65a4d0562238e88cd2f9ebe7</t>
  </si>
  <si>
    <t>Bayer Leverkusen (w) - TSG Hoffenheim (w)</t>
  </si>
  <si>
    <t>b34440abc0b18e5a5cf143b81a24e744</t>
  </si>
  <si>
    <t>VfL Wolfsburg II - BSV Schwarz-Weiss Rehden</t>
  </si>
  <si>
    <t>64ce30671d87c13d8c5e7beb726c84d9</t>
  </si>
  <si>
    <t>Vitoria Guimaraes U23 - Belenenses U23</t>
  </si>
  <si>
    <t>057111c3e482e5c4d81ff82c6caa5be1</t>
  </si>
  <si>
    <t>West Ham United U23 - Derby County U23</t>
  </si>
  <si>
    <t>4a2099654ef90a2a8f076f305883db9b</t>
  </si>
  <si>
    <t>Sioni Bolnisi - FC Dila Gori</t>
  </si>
  <si>
    <t>a81d30319af037077dcc67a00597aa3a</t>
  </si>
  <si>
    <t>Wycombe Wanderers - Peterborough United</t>
  </si>
  <si>
    <t>d13d471802e3562e04a46a0df701c7ad</t>
  </si>
  <si>
    <t>FK Trakai - FK Kauno Žalgiris</t>
  </si>
  <si>
    <t>ee51df3649b0090b97ae4b620320ee0d</t>
  </si>
  <si>
    <t>Consadole Sapporo - Vegalta Sendai</t>
  </si>
  <si>
    <t>6cae5494e7afe62068a7b4252bb56268</t>
  </si>
  <si>
    <t>Athletic Bilbao B - CD Izarra</t>
  </si>
  <si>
    <t>35c44f460faeb3369ddefafd5eb90458</t>
  </si>
  <si>
    <t>Blackpool - Bristol Rovers</t>
  </si>
  <si>
    <t>e4eaad1a04db61ec3602da06edb6b16f</t>
  </si>
  <si>
    <t>SD Ejea - Valencia CF Mestalla</t>
  </si>
  <si>
    <t>2f59e652d7ec1796020aa64997581f96</t>
  </si>
  <si>
    <t>Chongqing Lifan - Tianjin Teda</t>
  </si>
  <si>
    <t>b520297e3b4b3df0f9f9d4b3fbb2f2c5</t>
  </si>
  <si>
    <t>Yambol - Cherno More</t>
  </si>
  <si>
    <t>AH2(13)</t>
  </si>
  <si>
    <t>0ab78d2bc95a6651c36109a90d197eb0</t>
  </si>
  <si>
    <t>Servette - Ambri-Piotta</t>
  </si>
  <si>
    <t>d9c710fb61ebe0745df2db4caf81c179</t>
  </si>
  <si>
    <t>Fujian Sturgeons - Zhejiang Golden Bulls</t>
  </si>
  <si>
    <t>O(220.5)</t>
  </si>
  <si>
    <t>84379e8f02562663a1c5192ca79306a9</t>
  </si>
  <si>
    <t>Swans Gmunden - Klosterneuburg Dukes</t>
  </si>
  <si>
    <t>20:05</t>
  </si>
  <si>
    <t>d071817e8c8b4ccbde93e150f3fafea6</t>
  </si>
  <si>
    <t>BK Forward - Sollentuna FK</t>
  </si>
  <si>
    <t>2bd1d520b94314920cea833b1d54c679</t>
  </si>
  <si>
    <t>Juventus U19 - Palermo U19</t>
  </si>
  <si>
    <t>f917bcc371b3bec100690465ab8ad87e</t>
  </si>
  <si>
    <t>Sutton United - Dagenham &amp; Redbridge</t>
  </si>
  <si>
    <t>4acc8415f2fa06413d802308ff3de6b2</t>
  </si>
  <si>
    <t>Eastleigh - Salford City</t>
  </si>
  <si>
    <t>5d11988273597e19b8480f7ae1bb220a</t>
  </si>
  <si>
    <t>9a340dcf5818680ad8a3005a34112336</t>
  </si>
  <si>
    <t>Trefl Sopot - Legia Warszawa BC</t>
  </si>
  <si>
    <t>22ab55259f86356b5d78ff37fc9cf667</t>
  </si>
  <si>
    <t>Trapani - Matera Calcio</t>
  </si>
  <si>
    <t>e9814a64609f554dff7010a5403c6524</t>
  </si>
  <si>
    <t>AH2(0.25)</t>
  </si>
  <si>
    <t>e7d2d1a0d4be971b5d4839bb29d30c22</t>
  </si>
  <si>
    <t>Apollon Limassol - Anorthosis Famagusta</t>
  </si>
  <si>
    <t>80ef09c28bb35cb55013956ed2f517eb</t>
  </si>
  <si>
    <t>Bath City - Hemel Hempstead Town</t>
  </si>
  <si>
    <t>f1dc431d69c958b812dde514d06e72d8</t>
  </si>
  <si>
    <t>East Thurrock United - Truro City</t>
  </si>
  <si>
    <t>55a58b108e9964c0c3b7335add0cbf60</t>
  </si>
  <si>
    <t>CB Canarias Tenerife - Basket Zaragoza</t>
  </si>
  <si>
    <t>O(157.5)</t>
  </si>
  <si>
    <t>dc2aa3aead969498f45f15cc51f32e21</t>
  </si>
  <si>
    <t>NK Lokomotiva Zagreb - NK Istra 1961</t>
  </si>
  <si>
    <t>91715f3ad5cdf64bde7b6f820f20d84a</t>
  </si>
  <si>
    <t>52134b8045217b25d19258b6e9c3e2e0</t>
  </si>
  <si>
    <t>TSV Steinbach - FSV Mainz 05 AM</t>
  </si>
  <si>
    <t>a065e6cae5942862bdc223a80bf293c9</t>
  </si>
  <si>
    <t>Lincoln City - Forest Green Rovers</t>
  </si>
  <si>
    <t>1c39b0aa232f4ec9961bcf49728e9e30</t>
  </si>
  <si>
    <t>Leixoes - Porto B</t>
  </si>
  <si>
    <t>12:15</t>
  </si>
  <si>
    <t>3581fc8514db0e868cf9963c648ec9b9</t>
  </si>
  <si>
    <t>c0963703359fd0430ba21e230de2f26b</t>
  </si>
  <si>
    <t>Twarde Pierniki Torun - Rosa Radom</t>
  </si>
  <si>
    <t>AH2(13.5)</t>
  </si>
  <si>
    <t>2c4ae4171a6e4b7a63c0db0a007d4c8c</t>
  </si>
  <si>
    <t>Science City Jena - Eisbaren Bremerhaven</t>
  </si>
  <si>
    <t>U(161)</t>
  </si>
  <si>
    <t>41bd75381f2f1d5cb04c89896760c8c1</t>
  </si>
  <si>
    <t>Kidderminster Harriers - Southport</t>
  </si>
  <si>
    <t>146bef0872e12dc993acb2a52b85dd0e</t>
  </si>
  <si>
    <t>US Vibonese Calcio - Virtus Francavilla Calcio</t>
  </si>
  <si>
    <t>b76aa87b93c52a1b623ff008588eef34</t>
  </si>
  <si>
    <t>37cd7c1d564cb5c25f470a5071060aee</t>
  </si>
  <si>
    <t>Catanzaro - A.S. Bisceglie Calcio 1913</t>
  </si>
  <si>
    <t>49c5d917f456b03ebb720fb0ade9fcae</t>
  </si>
  <si>
    <t>Dinamo Brest - Isloch Minsk Raion</t>
  </si>
  <si>
    <t>a35cb41b4206a80ab44173d70ad852d0</t>
  </si>
  <si>
    <t>UD Las Zocas - Villa Santa Brigida</t>
  </si>
  <si>
    <t>880d88f4926ac9a1feb2845afa116871</t>
  </si>
  <si>
    <t>Blyth Spartans - FC United of Manchester</t>
  </si>
  <si>
    <t>0d0e6a0201fcdcd2724bf963a9923936</t>
  </si>
  <si>
    <t>Lenadores de Durango - CB Santos San Luis</t>
  </si>
  <si>
    <t>9fd3c63d4ff7f98251b4599e052c03fa</t>
  </si>
  <si>
    <t>Real Garcilaso - Academia Cantolao</t>
  </si>
  <si>
    <t>eaff9146b156f40e259ac7c86d5dacb3</t>
  </si>
  <si>
    <t>FK Qarabag - Sumgayit</t>
  </si>
  <si>
    <t>82cfb057995cd5f676d74337f168a6ea</t>
  </si>
  <si>
    <t>FC Fredericia - FC Roskilde</t>
  </si>
  <si>
    <t>6fcf2eb2f9ffd2c1e4ca099757638862</t>
  </si>
  <si>
    <t>Qatar SC - Al-Rayyan</t>
  </si>
  <si>
    <t>9e3d2c7b3035ad494119e85811dae2cb</t>
  </si>
  <si>
    <t>FK Dukla Praha - FK Jablonec</t>
  </si>
  <si>
    <t>134a06a3fd033fce471c4c76c3b80950</t>
  </si>
  <si>
    <t>Stal Mielec - OKS Stomil Olsztyn</t>
  </si>
  <si>
    <t>ad05fd7b9507d732ec13e643906ea365</t>
  </si>
  <si>
    <t>Queen´s Park - Annan Athletic</t>
  </si>
  <si>
    <t>5edae97cc0974785a463e5309285548c</t>
  </si>
  <si>
    <t>SD Eibar - Deportivo Alaves</t>
  </si>
  <si>
    <t>80c61a426e349634890e72b5dcfd2704</t>
  </si>
  <si>
    <t>Puskas Akademia - Diosgyori VTK</t>
  </si>
  <si>
    <t>6d6a33f4a8a4f320ebd2de1319cc5353</t>
  </si>
  <si>
    <t>Peterhead - Albion Rovers</t>
  </si>
  <si>
    <t>cd3634d14855c962ec8f2e933ca00866</t>
  </si>
  <si>
    <t>Kongsberg Miners - Froeya Ambassadors</t>
  </si>
  <si>
    <t>fb4e21ab18e6a787932cb7a6b43cd6f6</t>
  </si>
  <si>
    <t>BK Ravenna P. Manetti - Pallacanestro Forli</t>
  </si>
  <si>
    <t>U(159.5)</t>
  </si>
  <si>
    <t>36e1aadd176d05210acf0e85b5b0df8c</t>
  </si>
  <si>
    <t>Enosis Neon Paralimni - Alki Oroklinis</t>
  </si>
  <si>
    <t>8540d3fbd64509b33105f1ef70eec3dc</t>
  </si>
  <si>
    <t>Al Faisaly SC - Al Hussein SC</t>
  </si>
  <si>
    <t>abb518bd72ea0ad503116a58916f827c</t>
  </si>
  <si>
    <t>FUS de Rabat - Moghreb Athletic Tétouan</t>
  </si>
  <si>
    <t>4eb2d797c97c3cb89c13f494aa8ef592</t>
  </si>
  <si>
    <t>Deportivo Español - Sacachispas FC</t>
  </si>
  <si>
    <t>9b85e18a6baf0cc9af2d5ca46c7b38e2</t>
  </si>
  <si>
    <t>Coastal Carolina Chanticleers - Appalachian State Mountaineers</t>
  </si>
  <si>
    <t>AH1(14.5)</t>
  </si>
  <si>
    <t>e06813a4b8966ef9d417117fe45bd55c</t>
  </si>
  <si>
    <t>Correcaminos UAT Basquetbol - Huracanes de Tampico</t>
  </si>
  <si>
    <t>U(176.5)</t>
  </si>
  <si>
    <t>fef9901d39f23a45cc739a5288598568</t>
  </si>
  <si>
    <t>Trefl Sopot - SK Legia Warszawa</t>
  </si>
  <si>
    <t>AH1(-6.5)</t>
  </si>
  <si>
    <t>4226cd312361de62a5ea9e0f07d9408e</t>
  </si>
  <si>
    <t>Ferencvarosi - MTK Budapest</t>
  </si>
  <si>
    <t>b012921dd4f2f2bf87d7e55fea0c0618</t>
  </si>
  <si>
    <t>Atletico Goianiense - Fortaleza CE</t>
  </si>
  <si>
    <t>7e9c7c3a7f7b3ff162c06478c9ca3b1c</t>
  </si>
  <si>
    <t>Nordsjaelland - Aalborg BK</t>
  </si>
  <si>
    <t>909740c8b48c622ace0e8090a502491a</t>
  </si>
  <si>
    <t>5ccc5a39599f107d17834cec0bb7a35e</t>
  </si>
  <si>
    <t>Vitoria BA U20 - Confianca SE U20</t>
  </si>
  <si>
    <t>cded58cdc72a7fc22a4a76e627120c01</t>
  </si>
  <si>
    <t>HNK Gorica - Hajduk Split</t>
  </si>
  <si>
    <t>fe638ca9c31061a91e4bb691b81d605b</t>
  </si>
  <si>
    <t>Tecnico Universitario - Macara</t>
  </si>
  <si>
    <t>7938a0c02c4ec8d9acf32a8e759febe1</t>
  </si>
  <si>
    <t>The Strongest - Real Potosi</t>
  </si>
  <si>
    <t>AH1(-2.25)</t>
  </si>
  <si>
    <t>71ced54312b35708517c0817263aa409</t>
  </si>
  <si>
    <t>EC Taubate SP - CA Votuporanguense SP</t>
  </si>
  <si>
    <t>b6b141c57403f5e61c3a3c2a05ab5e4b</t>
  </si>
  <si>
    <t>IFK Värnamo - Helsingborgs IF</t>
  </si>
  <si>
    <t>f2da0be12c9eaef18df013956b1fe29a</t>
  </si>
  <si>
    <t>Real Sociedad - Sevilla</t>
  </si>
  <si>
    <t>a166468ad8275f040046e9756a27977f</t>
  </si>
  <si>
    <t>Tromsdalen UIL - Sogndal</t>
  </si>
  <si>
    <t>75a27f76d7d55cebae6a1f4a9ba1774f</t>
  </si>
  <si>
    <t>Oregon State - USC</t>
  </si>
  <si>
    <t>AH1(12.5)</t>
  </si>
  <si>
    <t>d4f434f050dcdd53af8268269d67e292</t>
  </si>
  <si>
    <t>Denver Nuggets - Utah Jazz</t>
  </si>
  <si>
    <t>6da67cdeb1f0da221dacd771fe979da1</t>
  </si>
  <si>
    <t>Ujap Quimper 29 - BC Gries Oberhoffen</t>
  </si>
  <si>
    <t>O(177)</t>
  </si>
  <si>
    <t>adf76b3f7881b972c1767f52ba75708e</t>
  </si>
  <si>
    <t>LSU - Alabama</t>
  </si>
  <si>
    <t>444c25aff22dce29473688178ddb9a4d</t>
  </si>
  <si>
    <t>Ferroviaria SP - Gremio Novorizontino SP</t>
  </si>
  <si>
    <t>66a7773a7e9b41d08f7e4e2d6598a420</t>
  </si>
  <si>
    <t>CRB Maceio - Boa MG</t>
  </si>
  <si>
    <t>8f0945b84eee63ef7f63fbbfc5c35ce3</t>
  </si>
  <si>
    <t>Venezia - Salernitana</t>
  </si>
  <si>
    <t>82d48230db1885b42376a3cd686977d6</t>
  </si>
  <si>
    <t>PFC Sochi - Fakel Voronezh</t>
  </si>
  <si>
    <t>32e6b091718c84031b81f255d8fae497</t>
  </si>
  <si>
    <t>Glasgow Rocks - Plymouth Raiders</t>
  </si>
  <si>
    <t>O(171.5)</t>
  </si>
  <si>
    <t>65740a10ec77437b51568731592135bd</t>
  </si>
  <si>
    <t>Seahorses Mikawa - Toyama Grouses</t>
  </si>
  <si>
    <t>3be43e599edc9ce0ddd0ac98c3cc0443</t>
  </si>
  <si>
    <t>Fos Provence Basket - JL Bourg Basket</t>
  </si>
  <si>
    <t>AH2(-3.5)</t>
  </si>
  <si>
    <t>2113613d560214f9d3e997f0585182ab</t>
  </si>
  <si>
    <t>Atletico Parana - CA Douglas Haig</t>
  </si>
  <si>
    <t>806b884c3e7a743f417d0a6df729b826</t>
  </si>
  <si>
    <t>Real Zaragoza - Granada CF</t>
  </si>
  <si>
    <t>b6671c24ebc2b9f4cccc74e198ccb06a</t>
  </si>
  <si>
    <t>Northwestern Wildcats - Notre Dame Fighting Irish</t>
  </si>
  <si>
    <t>fc767b8997444d26d898999b83b1c9e0</t>
  </si>
  <si>
    <t>KK Cibona Zagreb - KK Mornar Bar</t>
  </si>
  <si>
    <t>U(165.5)</t>
  </si>
  <si>
    <t>5d7562bd9e8198a0337b42b29fad2bca</t>
  </si>
  <si>
    <t>Zamora FC - Deportivo La Guaira</t>
  </si>
  <si>
    <t>d52a9c34f3cee0eb7db4b5720399dc36</t>
  </si>
  <si>
    <t>Valerenga - Sarpsborg 08 FF</t>
  </si>
  <si>
    <t>dc97d816d02e4281e9cef6e4ff245b74</t>
  </si>
  <si>
    <t>Club Deportivo Técnico Universitario - Deportivo Macara</t>
  </si>
  <si>
    <t>44ea7740ee7c247309a4a83f5c8cc142</t>
  </si>
  <si>
    <t>Arizona State - Utah</t>
  </si>
  <si>
    <t>d2a4b060fe6bfb2ec14fcbf6aa44ae6e</t>
  </si>
  <si>
    <t>Goyang Orions - Wonju DB Promy</t>
  </si>
  <si>
    <t>06f7a0753ac436e0b283ef5e341cac46</t>
  </si>
  <si>
    <t>SKA-Khabarovsk - FK Krasnodar 2</t>
  </si>
  <si>
    <t>05:01</t>
  </si>
  <si>
    <t>239f6eeffd9d6fd8377124ce9f7039ff</t>
  </si>
  <si>
    <t>aad2301ba706af71ee741b0cd2986cb0</t>
  </si>
  <si>
    <t>Atletico Huila - Millonarios</t>
  </si>
  <si>
    <t>bd61fd272f4638097e0f1316c1ff996d</t>
  </si>
  <si>
    <t>29c4d22fa6d69d3b8635cd25e1abc830</t>
  </si>
  <si>
    <t>KVC Westerlo - KV Mechelen</t>
  </si>
  <si>
    <t>549005f6f4921adc085321b463c0e8b5</t>
  </si>
  <si>
    <t>Royale Union St Gilloise - Lommel SK</t>
  </si>
  <si>
    <t>607a0beeb3ea0625b32d0798dee2e773</t>
  </si>
  <si>
    <t>Tulsa Golden Hurricane - Connecticut Huskies</t>
  </si>
  <si>
    <t>O(58.5)</t>
  </si>
  <si>
    <t>16ae6d9890a03eb675e45b727be2bb4b</t>
  </si>
  <si>
    <t>Nacional Potosi - Royal Pari FC</t>
  </si>
  <si>
    <t>e539bfb0cbbebeab5463959290350a9d</t>
  </si>
  <si>
    <t>ZFC Meuselwitz - Chemnitzer</t>
  </si>
  <si>
    <t>692939b770750f68153d08f5e360e5b8</t>
  </si>
  <si>
    <t>Auckland City - Hawkes Bay United</t>
  </si>
  <si>
    <t>835f3e831762b9e9df9c04f16d7395e6</t>
  </si>
  <si>
    <t>MKS Start Lublin - GTK Gliwice</t>
  </si>
  <si>
    <t>O(161)</t>
  </si>
  <si>
    <t>a553954a34bbc37402ad7c92a43cfc98</t>
  </si>
  <si>
    <t>Basel - Lugano</t>
  </si>
  <si>
    <t>7a136d83aaa1f85db6a1e04f86852df9</t>
  </si>
  <si>
    <t>9ecbe983652682d02c021d0b91843072</t>
  </si>
  <si>
    <t>Kardemir Karabukspor - Boluspor</t>
  </si>
  <si>
    <t>39320d6b5ed851246f1cd669cfd63dae</t>
  </si>
  <si>
    <t>Tambov - Baltika Kaliningrad</t>
  </si>
  <si>
    <t>afa3cde8f98aed44a53f393ee88c0dec</t>
  </si>
  <si>
    <t>Santos de Guápiles - Asociacion Deportiva San Carlos</t>
  </si>
  <si>
    <t>35976e3cd110ac076257933d67f561d3</t>
  </si>
  <si>
    <t>Umea BSKT - Sodertalje Kings</t>
  </si>
  <si>
    <t>O(172)</t>
  </si>
  <si>
    <t>19:34</t>
  </si>
  <si>
    <t>e9d3e1cd4507b687156799f282540450</t>
  </si>
  <si>
    <t>067d554a4cec8e7009051928cd8dcabe</t>
  </si>
  <si>
    <t>181104</t>
  </si>
  <si>
    <t>San Martin Tucuman - San Martin San Juan</t>
  </si>
  <si>
    <t>c0fbc13bf046588a96197c432ba24f9f</t>
  </si>
  <si>
    <t>Celaya FC - Alebrijes de Oaxaca</t>
  </si>
  <si>
    <t>1deb6270597dffbeb9caf42eda713327</t>
  </si>
  <si>
    <t>Lenadores de Durango - Santos de San Luis</t>
  </si>
  <si>
    <t>AH2(7)</t>
  </si>
  <si>
    <t>1aaa81d5638dc4fa306413e0cc291dd6</t>
  </si>
  <si>
    <t>Minnesota Vikings - Detroit Lions</t>
  </si>
  <si>
    <t>c8532f5e83e16697ee21088115fc7bf0</t>
  </si>
  <si>
    <t>Tochigi Brex - Shiga</t>
  </si>
  <si>
    <t>ef05c1b747882f4c9d4f3edad31662c8</t>
  </si>
  <si>
    <t>Brindisi - Cantu</t>
  </si>
  <si>
    <t>6b002853c4c15f38bf3905f654bbc818</t>
  </si>
  <si>
    <t>Incheon Electroland Elephants - Busan KT SonicBoom</t>
  </si>
  <si>
    <t>7812b08775f85d9c82e36084210569dd</t>
  </si>
  <si>
    <t>U(179)</t>
  </si>
  <si>
    <t>40048bc68587252f9a961359fdd05b4b</t>
  </si>
  <si>
    <t>Los Angeles Kings - Columbus Blue Jackets</t>
  </si>
  <si>
    <t>04:35</t>
  </si>
  <si>
    <t>560ae32159c5985448598825ab00ba46</t>
  </si>
  <si>
    <t>Udinese - AC Milan</t>
  </si>
  <si>
    <t>e3dfd356dfcebe1a0c7df94ba5704dca</t>
  </si>
  <si>
    <t>Fortuna Sittard - PEC Zwolle</t>
  </si>
  <si>
    <t>35f4eb3afaed616a2b09a051a9c70bfd</t>
  </si>
  <si>
    <t>Beijing - Nanjing Tongxi</t>
  </si>
  <si>
    <t>1827af461833a7d20e0b32babb3b70f0</t>
  </si>
  <si>
    <t>Portland Trail Blazers - Los Angeles Lakers</t>
  </si>
  <si>
    <t>U(236.5)</t>
  </si>
  <si>
    <t>83aab406d442536fdf1b44588f0ccaac</t>
  </si>
  <si>
    <t>FK Teplice U21 - Dukla Praha U21</t>
  </si>
  <si>
    <t>f45edb7f7483a96ff4ec4e8caeb4b706</t>
  </si>
  <si>
    <t>Recreativo Huelva - Atletico Malagueno</t>
  </si>
  <si>
    <t>d379bb06c6bceabcd5717341873c0498</t>
  </si>
  <si>
    <t>Patriotas F.C. - FC Leones</t>
  </si>
  <si>
    <t>5d313278215421f227e2ece42a720caa</t>
  </si>
  <si>
    <t>Korea Republic U19 - Saudi Arabia U19</t>
  </si>
  <si>
    <t>f17a326d526966a44b5690d199e2a216</t>
  </si>
  <si>
    <t>Coria CF - CD Guadalcacin</t>
  </si>
  <si>
    <t>048259dbbba6aeae7111a574be5d47dc</t>
  </si>
  <si>
    <t>SC Weiche Flensburg 08 - VfB Oldenburg</t>
  </si>
  <si>
    <t>2e42594038082721cd8a274d98b258cb</t>
  </si>
  <si>
    <t>Jilin - Shenzhen</t>
  </si>
  <si>
    <t>3508bd1291aa9d118e46a917a3ebdc80</t>
  </si>
  <si>
    <t>Estudiantes - Joventut Badalona</t>
  </si>
  <si>
    <t>2d776064f618f615635212fbdacdc68a</t>
  </si>
  <si>
    <t>Omonia Nicosia - Ermis Aradippou</t>
  </si>
  <si>
    <t>392a1a5672d11bbb353219ad4308c0eb</t>
  </si>
  <si>
    <t>Instituto Atletico Central Cordoba - Comunicaciones</t>
  </si>
  <si>
    <t>4b29ebca5ece939498a72493594383e4</t>
  </si>
  <si>
    <t>O(225.5)</t>
  </si>
  <si>
    <t>1e57b2e3ca986862455140c379265794</t>
  </si>
  <si>
    <t>Bayreuth - Ratiopharm ULM</t>
  </si>
  <si>
    <t>44d9c84b511e17b7b4c8d70c5c7a9bd6</t>
  </si>
  <si>
    <t>Basket Scafati - Latina Basket</t>
  </si>
  <si>
    <t>48718ad23de916fa4a4d0c04e79adfb1</t>
  </si>
  <si>
    <t>Asker Aliens - Froya Basket</t>
  </si>
  <si>
    <t>AH1(17.5)</t>
  </si>
  <si>
    <t>9660b60be48981ae3e43d31eebdefc03</t>
  </si>
  <si>
    <t>America Mineiro - Cruzeiro MG</t>
  </si>
  <si>
    <t>64928acc61bda822c1cb114497d6bd2f</t>
  </si>
  <si>
    <t>Matteo Donati - Lorenzo Sonego</t>
  </si>
  <si>
    <t>6d95b444f1555b118ec6ff6cdf923439</t>
  </si>
  <si>
    <t>Darussafaka - Tofas</t>
  </si>
  <si>
    <t>U(157)</t>
  </si>
  <si>
    <t>b953b1a537e40a2a475956f93abcf2f2</t>
  </si>
  <si>
    <t>Recreativo de Huelva - Atlético Malagueño</t>
  </si>
  <si>
    <t>bff08e7052a4e9cf3f0af29ea3d9cc8c</t>
  </si>
  <si>
    <t>Lyn Fotball (W) - Sandviken (W)</t>
  </si>
  <si>
    <t>5addc458e0fab268d24c9c45daf14046</t>
  </si>
  <si>
    <t>Paris Basketball - SLUC Nancy</t>
  </si>
  <si>
    <t>AH2(-1.5)</t>
  </si>
  <si>
    <t>88ec765039a2296b6d842b71c195d714</t>
  </si>
  <si>
    <t>Sakarya BSB - Bahcesehir Koleji</t>
  </si>
  <si>
    <t>O(152.5)</t>
  </si>
  <si>
    <t>a84584b3f26df00337b2daf7f30e0ae5</t>
  </si>
  <si>
    <t>Nantes Reze Basket (w) - ESB Villeneuve d´Ascq (w)</t>
  </si>
  <si>
    <t>63c29a5f332dd12e627a3dbc6ed69a0c</t>
  </si>
  <si>
    <t>813dd16a9e4ed5974733f0b079d4d114</t>
  </si>
  <si>
    <t>Alcorcon - Rayo Majadahonda</t>
  </si>
  <si>
    <t>01bf1e090c4fb8f11bb3721071dee7b3</t>
  </si>
  <si>
    <t>Pro Patria - US Pontedera</t>
  </si>
  <si>
    <t>3728fd411ca6c47eec5886b9ff1ca0f0</t>
  </si>
  <si>
    <t>Cork City - Dundalk (n)</t>
  </si>
  <si>
    <t>f331eac2716ee31d70ef1506add6a5c7</t>
  </si>
  <si>
    <t>Barcelona B - CD Ebro</t>
  </si>
  <si>
    <t>342de2b55d9b454d02c053116104a502</t>
  </si>
  <si>
    <t>AH2(-17.5)</t>
  </si>
  <si>
    <t>e312178ea856a260f40aaa1910687e06</t>
  </si>
  <si>
    <t>Al Duhail SC - Al Arabi Doha</t>
  </si>
  <si>
    <t>6964cc4ddd9c51e9e6282b346e959452</t>
  </si>
  <si>
    <t>ERC Ingolstadt - EHC Munchen</t>
  </si>
  <si>
    <t>f87e2dca51993255ee3662c1fd8bfc3f</t>
  </si>
  <si>
    <t>SCR Pena Deportiva - RCD Mallorca B</t>
  </si>
  <si>
    <t>04ff54a1413354f4cac134983a13b8af</t>
  </si>
  <si>
    <t>Paphos FC - APOEL</t>
  </si>
  <si>
    <t>51dd5db575d26b73e12d11848ac44d83</t>
  </si>
  <si>
    <t>Fremad Amager - Naestved</t>
  </si>
  <si>
    <t>565266faef1f8e25e053c24c3d69f3c1</t>
  </si>
  <si>
    <t>Valletta FC - Floriana FC</t>
  </si>
  <si>
    <t>ec9b5251d06d8a6d4bbdac8bf69e6563</t>
  </si>
  <si>
    <t>Deportivo Saprissa - CS Cartagines</t>
  </si>
  <si>
    <t>70c0678787c202a97b615bd33a2d633a</t>
  </si>
  <si>
    <t>Sudtirol - Feralpisalo</t>
  </si>
  <si>
    <t>4b4e8e9919ba4922afaaa77f556c2ef1</t>
  </si>
  <si>
    <t>AO Chania Kissamikos - Ergotelis</t>
  </si>
  <si>
    <t>3f87ace8e0563e640e08a0867e9145eb</t>
  </si>
  <si>
    <t>CD Badajoz - Don Benito</t>
  </si>
  <si>
    <t>18fcae6b501ee8a1917385adafcdcaff</t>
  </si>
  <si>
    <t>Ontinyent CF - Villarreal B</t>
  </si>
  <si>
    <t>074ad1358d79aa6a1ac514f8824c0b64</t>
  </si>
  <si>
    <t>Fortuna Köln - SV Wehen Wiesbaden</t>
  </si>
  <si>
    <t>b60ee05b04fadcacd026802c60e6bbdd</t>
  </si>
  <si>
    <t>MSV Duisburg (w) - VfL Wolfsburg (w)</t>
  </si>
  <si>
    <t>5fc06e304c5c9a57492be20147db0fa3</t>
  </si>
  <si>
    <t>Legnano Basket Knights - Pallacanestro Biella</t>
  </si>
  <si>
    <t>O(146.5)</t>
  </si>
  <si>
    <t>52628d49bb61aac01e07d36db962cb8b</t>
  </si>
  <si>
    <t>Etar Veliko Tarnovo - Ludogorets Razgrad</t>
  </si>
  <si>
    <t>864782a6549b98ff685621874927c30b</t>
  </si>
  <si>
    <t>Nurnberg Ice Tigers - Iserlohn Roosters</t>
  </si>
  <si>
    <t>b27cd36fa427a757ba2c2d6fed287dc8</t>
  </si>
  <si>
    <t>Barcelona SC - Aucas</t>
  </si>
  <si>
    <t>6b89ba82f3450c6bca4c95e271e9ada7</t>
  </si>
  <si>
    <t>Daniel Gimeno-Traver - Gastao Elias</t>
  </si>
  <si>
    <t>dff26e62ce2aa1326b286c4d93b615a2</t>
  </si>
  <si>
    <t>Poprad - Nove Zamky</t>
  </si>
  <si>
    <t>ecd9267d18e1c2987abc2098d2b7ef85</t>
  </si>
  <si>
    <t>Pardubice - Sparta Prague</t>
  </si>
  <si>
    <t>b6ff02522af208703c3d6a2e9d3e3dfb</t>
  </si>
  <si>
    <t>Lowen Frankfurt - Dresdner Eislowen</t>
  </si>
  <si>
    <t>U(7)</t>
  </si>
  <si>
    <t>5195c63054d5dd645d25fdc2b5addd6c</t>
  </si>
  <si>
    <t>Federico Gaio - Pedja Krstin</t>
  </si>
  <si>
    <t>7918bbc7e54beea3adc7a4f13a2ff073</t>
  </si>
  <si>
    <t>CSKA Moscow - Saratov</t>
  </si>
  <si>
    <t>O(180)</t>
  </si>
  <si>
    <t>7b56b91bdb8c2b9984948d55f17067e3</t>
  </si>
  <si>
    <t>CD Badajoz - CD Don Benito</t>
  </si>
  <si>
    <t>4a1ad4494fa0c298c937e66e19d5b511</t>
  </si>
  <si>
    <t>Comerciantes Unidos - UTC Cajamarca</t>
  </si>
  <si>
    <t>19cf7810ca81907aa56696d012e6e883</t>
  </si>
  <si>
    <t>Pafos FC - APOEL Nicosia</t>
  </si>
  <si>
    <t>7afb4455ffd856d362db7986a8dcd7c0</t>
  </si>
  <si>
    <t>Hapoel Be´er Sheva - Hapoel Tel Aviv</t>
  </si>
  <si>
    <t>4b7ef74f4980ca96443938f1639456af</t>
  </si>
  <si>
    <t>Hammarby - BK Hacken</t>
  </si>
  <si>
    <t>70cdcd6534e8a88da687592c985829c6</t>
  </si>
  <si>
    <t>Cork City FC - Dundalk</t>
  </si>
  <si>
    <t>16:40</t>
  </si>
  <si>
    <t>c596462086767aeed4388905124acdc7</t>
  </si>
  <si>
    <t>Fuenlabrada - Unionistas de Salamanca CF</t>
  </si>
  <si>
    <t>ca61c6cb521cc40721f0019f90e7bf66</t>
  </si>
  <si>
    <t>Atletico Madrid (W) - Levante (W)</t>
  </si>
  <si>
    <t>8ff0148f806f22f554a9cf5a4467e859</t>
  </si>
  <si>
    <t>CF Peralada-Girona B - UE Cornella</t>
  </si>
  <si>
    <t>0d855d83b2e4d07014ed0917146bd676</t>
  </si>
  <si>
    <t>UE Olot - Hercules CF</t>
  </si>
  <si>
    <t>87b5f47f419a604f4b6d9c289608fd5d</t>
  </si>
  <si>
    <t>Pro Patria - Pontedera</t>
  </si>
  <si>
    <t>d59361d953b844c81894a74acb7e27d9</t>
  </si>
  <si>
    <t>Caracas FC - Monagas SC</t>
  </si>
  <si>
    <t>cab01889d63c8859bba6c15c2afc9c97</t>
  </si>
  <si>
    <t>Portland Timbers - Seattle Sounders</t>
  </si>
  <si>
    <t>bb5b9fcb3a8362efc76f8aca36f89417</t>
  </si>
  <si>
    <t>Chelsea - Crystal Palace</t>
  </si>
  <si>
    <t>90983c4dbd4f1517fe4a89ca477456f2</t>
  </si>
  <si>
    <t>Pro Piacenza - Lucchese</t>
  </si>
  <si>
    <t>a9ab0e4e29706c9e7c0c39b19c49ec7e</t>
  </si>
  <si>
    <t>e2c7d304860621f54c02b7ac21dbd501</t>
  </si>
  <si>
    <t>Oskarshamns AIK - Angelholms FF</t>
  </si>
  <si>
    <t>dd8927e2fd771dc4b124db7b84c2ffe6</t>
  </si>
  <si>
    <t>Cleveland Browns - Kansas City Chiefs</t>
  </si>
  <si>
    <t>U(50)</t>
  </si>
  <si>
    <t>e8d4973e83f4ad5337ff1ea11a8acf4a</t>
  </si>
  <si>
    <t>3993bfeecd79c400bafdd0dc02196e28</t>
  </si>
  <si>
    <t>Umea - Sodertalje</t>
  </si>
  <si>
    <t>U(171.5)</t>
  </si>
  <si>
    <t>10708fddc3bc69c05f27084aaad64587</t>
  </si>
  <si>
    <t>Heilbronner Falken - ESV Kaufbeuren</t>
  </si>
  <si>
    <t>6250e044be56fc59da0a06fd9d466b21</t>
  </si>
  <si>
    <t>EC Bad Nauheim - EHC Freiburg</t>
  </si>
  <si>
    <t>307ac22605f4b3ffadff4ee81a1f4b57</t>
  </si>
  <si>
    <t>New Orleans Saints - Los Angeles Rams</t>
  </si>
  <si>
    <t>afe0600e41f56a37cdfccd5941fe27f6</t>
  </si>
  <si>
    <t>Gençlerbirligi SK - Giresunspor</t>
  </si>
  <si>
    <t>35afdaa4a594b0d3b29c4f48f4d7a8ac</t>
  </si>
  <si>
    <t>Zadar - Osijek</t>
  </si>
  <si>
    <t>590c2c6797bf58d6cf2ff87912ddf16f</t>
  </si>
  <si>
    <t>Columbus Crew - New York RB</t>
  </si>
  <si>
    <t>7c7bd2fe327f255c34f62e0ed9e026a0</t>
  </si>
  <si>
    <t>Club Ciclista Olimpico - Club Estudiantes Concordia</t>
  </si>
  <si>
    <t>fe6df0aaf37d7a98da289cbbf6f54114</t>
  </si>
  <si>
    <t>Real Salt Lake - Sporting Kansas City</t>
  </si>
  <si>
    <t>a4edb345b5ffc7ccd2e08917ec5c7cec</t>
  </si>
  <si>
    <t>Varbergs BolS - IK Brage</t>
  </si>
  <si>
    <t>9893fe5fc59f0c167b422013074a871f</t>
  </si>
  <si>
    <t>BC Astana - BC Khimki</t>
  </si>
  <si>
    <t>U(164.5)</t>
  </si>
  <si>
    <t>edba194c792a4680418c7eafc87347a3</t>
  </si>
  <si>
    <t>Rampla Juniors - CA Cerro</t>
  </si>
  <si>
    <t>bf034c7dff4c278f42b2ef6beafae5b0</t>
  </si>
  <si>
    <t>Hershey Bears - Hartford Wolf Pack</t>
  </si>
  <si>
    <t>e3b3d479425018892ee5f887e54a6dcb</t>
  </si>
  <si>
    <t>Elfsborg - Brommapojkarna</t>
  </si>
  <si>
    <t>40edf8afcdc15053119c7680c282643c</t>
  </si>
  <si>
    <t>Naranjeros de Hermosillo - Caneros de Los Mochis</t>
  </si>
  <si>
    <t>U(9)</t>
  </si>
  <si>
    <t>89249eb670915a7ac248208b6beb2b5e</t>
  </si>
  <si>
    <t>Ferro Carril Oeste - Gimnasia Esgrima Comodoro Rivadavia</t>
  </si>
  <si>
    <t>U(151.5)</t>
  </si>
  <si>
    <t>42e3c87ca1a7362d14a577e729a57b2f</t>
  </si>
  <si>
    <t>Hispano Americano - Penarol</t>
  </si>
  <si>
    <t>f4a04d4206f6c81914ded9f1b2bc8293</t>
  </si>
  <si>
    <t>Club Ferro Carril Oeste - Gimnasia y Esgrima</t>
  </si>
  <si>
    <t>71ed29c059ff9f83044bc7c16668e5bc</t>
  </si>
  <si>
    <t>Jaguares de Cordoba - Rionegro Aguilas</t>
  </si>
  <si>
    <t>4652702f5f7e7b43283da866bfa1dcf6</t>
  </si>
  <si>
    <t>Weber Bahia - San Lorenzo</t>
  </si>
  <si>
    <t>0ff03abe400dcac537819864f3bc33b9</t>
  </si>
  <si>
    <t>Arsenal de Sarandi - Quilmes</t>
  </si>
  <si>
    <t>8cfbdcdc5f9f44497163ed64a1026c51</t>
  </si>
  <si>
    <t>Weber Bahia Basket - San Lorenzo de Almagro</t>
  </si>
  <si>
    <t>2f43dc9dea29f838e30929ab9465dd51</t>
  </si>
  <si>
    <t>Le Portel - Chalon/Saone</t>
  </si>
  <si>
    <t>a3ee00d33c118b8807bd3e465d9292c3</t>
  </si>
  <si>
    <t>181105</t>
  </si>
  <si>
    <t>Filip Horansky - Marcos Baghdatis</t>
  </si>
  <si>
    <t>47feb113c5984543c20a4fb7cf6bf0a5</t>
  </si>
  <si>
    <t>Juventus U23 - Piacenza</t>
  </si>
  <si>
    <t>71b05747bb41615410b77682ac6269c1</t>
  </si>
  <si>
    <t>Beroe Stara Zagora - Slavia Sofia</t>
  </si>
  <si>
    <t>2b526aced1768f4b0df0c59417ad5c8e</t>
  </si>
  <si>
    <t>Chelmsford City - Chippenham Town</t>
  </si>
  <si>
    <t>a058a91d14cd16c99d2512226d353ce9</t>
  </si>
  <si>
    <t>Rende - Reggina</t>
  </si>
  <si>
    <t>068b9192f133540cff68596590a85dfe</t>
  </si>
  <si>
    <t>Cortulua Tulua - Llaneros FC</t>
  </si>
  <si>
    <t>e1961dbe875679c7c6e19ff60ee6ce90</t>
  </si>
  <si>
    <t>Rijeka - NK Rudes</t>
  </si>
  <si>
    <t>1b874034226c75106678d9e806c515aa</t>
  </si>
  <si>
    <t>Corentin Moutet - Constant Lestienne</t>
  </si>
  <si>
    <t>a40582fb1dbfe88756c94ba275233588</t>
  </si>
  <si>
    <t>Hapoel Ashkelon - Hapoel Bnei Lod</t>
  </si>
  <si>
    <t>e37eeda0e8d5b8d62df42f831ae9a9bb</t>
  </si>
  <si>
    <t>a0b2c0ebc26db2e375305d2fea159ba7</t>
  </si>
  <si>
    <t>Fotbal Trinec U21 - MFK Karvina U21</t>
  </si>
  <si>
    <t>ddf48cf938d714f90297487f36b8464e</t>
  </si>
  <si>
    <t>Doosan Bears - SK Wyverns</t>
  </si>
  <si>
    <t>U(10.5)</t>
  </si>
  <si>
    <t>64c1ec0527eb03e399b1f317a66a2570</t>
  </si>
  <si>
    <t>Guillermo Garcia Lopez - Daniel Brands</t>
  </si>
  <si>
    <t>1c5970d59d4db2f9e62d42b74ee4b010</t>
  </si>
  <si>
    <t>Elias Ymer - Enzo Couacaud</t>
  </si>
  <si>
    <t>6d4578c5e1c92c3defab5b050fce7fac</t>
  </si>
  <si>
    <t>Triestina - AS Giana Erminio</t>
  </si>
  <si>
    <t>c74ed12489e5a03e78b6a76383dd3951</t>
  </si>
  <si>
    <t>Atletico Nacional Medellin - La Equidad</t>
  </si>
  <si>
    <t>bb007f27b847c7df07a60b0730ea736a</t>
  </si>
  <si>
    <t>Pescara - Lecce</t>
  </si>
  <si>
    <t>83bcf783c14ce5b2bc5d878e811a824d</t>
  </si>
  <si>
    <t>FC Voluntari - Dinamo Bucuresti</t>
  </si>
  <si>
    <t>c55594e61bf0b14e99077695e4c213ff</t>
  </si>
  <si>
    <t>Inter Zapresic - Slaven Belupo</t>
  </si>
  <si>
    <t>79e5c9a9c9e6a738f0c1985c49a11fbe</t>
  </si>
  <si>
    <t>Udinese U19 - Torino U19</t>
  </si>
  <si>
    <t>7daa7ed24489c42b93a76634842947aa</t>
  </si>
  <si>
    <t>Hapoel Petah Tikva - Hapoel Acre FC</t>
  </si>
  <si>
    <t>85b1a397bf3ce6bc7422d819f457a18e</t>
  </si>
  <si>
    <t>FBC Melgar - Union Comercio</t>
  </si>
  <si>
    <t>002132176954610ac6e5b62eee0a2464</t>
  </si>
  <si>
    <t>KK Buducnost Podgorica - KK Olimpija Ljubljana</t>
  </si>
  <si>
    <t>51c995d91a3bfa85afd811c50df351c7</t>
  </si>
  <si>
    <t>Machine Sazi Tabriz - Esteghlal Tehran</t>
  </si>
  <si>
    <t>53fcb1a0d995666d191d336bd5d5b036</t>
  </si>
  <si>
    <t>Godoy Cruz Antonio Tomba (R) - Atletico Tucuman (R)</t>
  </si>
  <si>
    <t>ddee4aaa121360c3d57d3e8f1727844d</t>
  </si>
  <si>
    <t>Calvin Hemery - Mats Moraing</t>
  </si>
  <si>
    <t>5aa79c65fe605dfd8bcbe2bb0daabd27</t>
  </si>
  <si>
    <t>Nea Salamis - Doxa Katokopias</t>
  </si>
  <si>
    <t>1cdae76cf6841d18094b6b60893a8cae</t>
  </si>
  <si>
    <t>Lillestroem SK - Bodoe/Glimt</t>
  </si>
  <si>
    <t>446cc08ffe39fa26844af3e4b3325430</t>
  </si>
  <si>
    <t>Indiana Pacers - Houston Rockets</t>
  </si>
  <si>
    <t>O(212.5)</t>
  </si>
  <si>
    <t>589e9bdb12c1c0c34827d70f8705ffaf</t>
  </si>
  <si>
    <t>NK Inter Zapresic - NK Slaven Belupo</t>
  </si>
  <si>
    <t>5b55cd134d6a1b5609dabb14280df3ae</t>
  </si>
  <si>
    <t>fe7de4a42f39d16d6f9888c58346ff4f</t>
  </si>
  <si>
    <t>c1d9376e615e4c55553c139adac29808</t>
  </si>
  <si>
    <t>Fiona Ferro - Pauline Parmentier</t>
  </si>
  <si>
    <t>92d237f5c2c98a912038072c6304f917</t>
  </si>
  <si>
    <t>f0f66b4b4edcf27d25eedf234d976c04</t>
  </si>
  <si>
    <t>Ajman Club - Dibba Al Fujairah</t>
  </si>
  <si>
    <t>3c018f3a386d95f3004cab5144c6941d</t>
  </si>
  <si>
    <t>El Zamalek (N) - Haras El Hedoud</t>
  </si>
  <si>
    <t>2ff2d6ba978b605873aa2f2a6b5a0012</t>
  </si>
  <si>
    <t>NK Osijek II - NK Zadar</t>
  </si>
  <si>
    <t>a0f099379177dcf92d46d66fb08fdd81</t>
  </si>
  <si>
    <t>b0f3de88249b863ca44fc6290b4a4c8f</t>
  </si>
  <si>
    <t>Maccabi Haifa - Beitar Jerusalem</t>
  </si>
  <si>
    <t>dea6a6ad80e0bdca54d1c6ba917e4813</t>
  </si>
  <si>
    <t>5952d2110f4e67230de0d891039a4abf</t>
  </si>
  <si>
    <t>Galil Gilboa - Maccabi Tel-Aviv</t>
  </si>
  <si>
    <t>AH1(6.5)</t>
  </si>
  <si>
    <t>ef8c47c8bf2567cb73bb1d02c83c1f42</t>
  </si>
  <si>
    <t>0fadad1f07f6ff1812180926622f1982</t>
  </si>
  <si>
    <t>Alianza Petrolera - Junior</t>
  </si>
  <si>
    <t>5b12127e519368391b9e0e29c5628ef8</t>
  </si>
  <si>
    <t>Brondby IF (R) - Nordsjaelland (R)</t>
  </si>
  <si>
    <t>5d67439dba06bfd830f9f4cabde87009</t>
  </si>
  <si>
    <t>Pittsburgh Penguins - New Jersey Devils</t>
  </si>
  <si>
    <t>a76229c17f697170c7a75f7cae4b2226</t>
  </si>
  <si>
    <t>acf49a86108915dd175c4c699ed271b1</t>
  </si>
  <si>
    <t>PFC Ludogorets Razgrad II - Strumska Slava Radomir</t>
  </si>
  <si>
    <t>017ce28e9661ad364dbc028bf857932d</t>
  </si>
  <si>
    <t>Club Almagro - Guillermo Brown</t>
  </si>
  <si>
    <t>9fcacc5740cfbec27bdf28ebfa251b7f</t>
  </si>
  <si>
    <t>Bunyodkor - Lokomotiv Tashkent</t>
  </si>
  <si>
    <t>26d600cc7a671bc8a8bf06534f843822</t>
  </si>
  <si>
    <t>Fenerbahce Basketbol - Anadolu Efes SK</t>
  </si>
  <si>
    <t>09b90447088bda386dec1ca5fddddf9c</t>
  </si>
  <si>
    <t>Regatas - Atenas</t>
  </si>
  <si>
    <t>O(147)</t>
  </si>
  <si>
    <t>a08fe1d65ad5f39ea2b9a9ce0a1f50b2</t>
  </si>
  <si>
    <t>636e479e4e9020b1a7380a95bb80eb77</t>
  </si>
  <si>
    <t>Zbrojovka Brno U21 - SK Sigma Olomouc U21</t>
  </si>
  <si>
    <t>2a809ac468c3e6be542f0ed808b6a945</t>
  </si>
  <si>
    <t>ff0cb1c949de714eff1371cb7ed2b897</t>
  </si>
  <si>
    <t>422ad8734c7ec01799cd9702f32ea857</t>
  </si>
  <si>
    <t>681436a6c5705f6482612eaa676deafb</t>
  </si>
  <si>
    <t>40beda9975a7f238a28820d12ba5acc7</t>
  </si>
  <si>
    <t>Fenerbahce - Anadolu Efes</t>
  </si>
  <si>
    <t>e3b95f0bf90c6f8d205668edf4562aff</t>
  </si>
  <si>
    <t>Hapoel Nir Ramat Hasharon - Hapoel Ramat Gan Givatayim</t>
  </si>
  <si>
    <t>6a870fb243e61619251e5cb7a9bbf787</t>
  </si>
  <si>
    <t>O(155.5)</t>
  </si>
  <si>
    <t>f86f1713e52793863a6fc7cfb7dcb783</t>
  </si>
  <si>
    <t>Real Cartagena - Cucuta Deportivo</t>
  </si>
  <si>
    <t>a2023c5e46c2ff2381a8ad16def007cd</t>
  </si>
  <si>
    <t>HNK Rijeka - Rudeš</t>
  </si>
  <si>
    <t>AH2(2.25)</t>
  </si>
  <si>
    <t>b891c0f271d611db3a9eb42d62c53814</t>
  </si>
  <si>
    <t>Regatas Corrientes - AD Atenas Cordoba</t>
  </si>
  <si>
    <t>b329114826710055ebea0e057b9dbce7</t>
  </si>
  <si>
    <t>Silkeborg (R) - Viborg FF (R)</t>
  </si>
  <si>
    <t>db21ab8b4a6159c499543cf98c69e91b</t>
  </si>
  <si>
    <t>NA Hussein Dey - Olympique de Medea</t>
  </si>
  <si>
    <t>2227347c2c8e20bd84f47bdb2ef8ec49</t>
  </si>
  <si>
    <t>IF Elfsborg - IF Brommapojkarna</t>
  </si>
  <si>
    <t>304b1612fdab25c93d1387b891833434</t>
  </si>
  <si>
    <t>Nea Salamis Famagusta - Doxa Katokopias</t>
  </si>
  <si>
    <t>48288c075c741adefaaa3dd4d58da55b</t>
  </si>
  <si>
    <t>Carlos Taberner - Martin Cuevas</t>
  </si>
  <si>
    <t>8ec5f25b5aedebe479d68e42c60aad6c</t>
  </si>
  <si>
    <t>FC Emmen (R) - NEC Nijmegen (R)</t>
  </si>
  <si>
    <t>331ec8556d83e5141dd17e154e49c66a</t>
  </si>
  <si>
    <t>Ajman - Dabba Al Fujairah</t>
  </si>
  <si>
    <t>87fba01f64f80afb74a8530b83ddf62e</t>
  </si>
  <si>
    <t>PEC Zwolle (R) - De Graafschap (R)</t>
  </si>
  <si>
    <t>80b0c93c462665a53080f10418349f62</t>
  </si>
  <si>
    <t>15f361cc34c5e5567025d2402a5376e4</t>
  </si>
  <si>
    <t>Maccabi Rishon Lezion BC - Hapoel Eilat BC</t>
  </si>
  <si>
    <t>ac57bdd8794ca11bf2bf2fd12990ce68</t>
  </si>
  <si>
    <t>5a9d4fe502c9e20d5bd286ff0f475a67</t>
  </si>
  <si>
    <t>Hobro - Odense BK</t>
  </si>
  <si>
    <t>4e037476b450725f9970742f7ae3dfff</t>
  </si>
  <si>
    <t>Wonju DB Promy - Changwon LG Sakers</t>
  </si>
  <si>
    <t>AH1(7)</t>
  </si>
  <si>
    <t>af40adab1ec5d6f842c63d189887f91f</t>
  </si>
  <si>
    <t>VfL Osnabrück - KFC Uerdingen 05</t>
  </si>
  <si>
    <t>8d09de6ddf51b2ee286693a2db1344a6</t>
  </si>
  <si>
    <t>a132859dbe53ec0fd0eefc72bc7e24bb</t>
  </si>
  <si>
    <t>SC Heerenveen (R) - Go Ahead Eagles (R)</t>
  </si>
  <si>
    <t>f829caebd8acd959ffcf420ffdad3705</t>
  </si>
  <si>
    <t>Willem II (R) - Excelsior SBV (R)</t>
  </si>
  <si>
    <t>55ace94a8c92860ad5dfb4185ad5b0a7</t>
  </si>
  <si>
    <t>Seoul Samsung Thunders - Anyang KGC</t>
  </si>
  <si>
    <t>AH1(4.5)</t>
  </si>
  <si>
    <t>7150f804b69f25c080e588317f02d46c</t>
  </si>
  <si>
    <t>cf493de6b2d963fe99208cde5e3e7985</t>
  </si>
  <si>
    <t>badaea09a29acd6228f438e420dc8bc4</t>
  </si>
  <si>
    <t>AH1(-8.5)</t>
  </si>
  <si>
    <t>a9ee300830fb781362d565dbd2adb571</t>
  </si>
  <si>
    <t>c83447a2c08220cec0ab15318c317782</t>
  </si>
  <si>
    <t>KTP Basket Kotka - Helsinki Seagulls</t>
  </si>
  <si>
    <t>89d0d31a09cc6bad7813510346abb291</t>
  </si>
  <si>
    <t>4ae016c8119d40b7a632e0031d4464b7</t>
  </si>
  <si>
    <t>Atletico Nacional - La Equidad</t>
  </si>
  <si>
    <t>37f1b5b245077ad1908e86a02af25a07</t>
  </si>
  <si>
    <t>CB Canarias Tenerife - Hapoel Holon BC</t>
  </si>
  <si>
    <t>U(157.5)</t>
  </si>
  <si>
    <t>9b2fd5828cbf6d66e3afaa51af4223ab</t>
  </si>
  <si>
    <t>Stal Ostrow Wielkopolski - BC Zielona Gora</t>
  </si>
  <si>
    <t>18:50</t>
  </si>
  <si>
    <t>8f2efba2a6b767045d04b2c1977b40f5</t>
  </si>
  <si>
    <t>Mohamed Safwat - Alexey Vatutin</t>
  </si>
  <si>
    <t>12:20</t>
  </si>
  <si>
    <t>5f8201b5aa63ff370c402ec093a717ae</t>
  </si>
  <si>
    <t>BK Ventspils - MHP Riesen Ludwigsburg</t>
  </si>
  <si>
    <t>6707a8c1441ef8aeb412ddda1469e580</t>
  </si>
  <si>
    <t>Sol de America - Guarani Asuncion</t>
  </si>
  <si>
    <t>98178d1e1f779b8fc27ac0d86c4714f6</t>
  </si>
  <si>
    <t>LDU Quito - Guayaquil City</t>
  </si>
  <si>
    <t>762260ecc3deb0dfa559e5da823b86a9</t>
  </si>
  <si>
    <t>Agropecuario Argentino - Sarmiento Junin</t>
  </si>
  <si>
    <t>786f5791187e7ecf9f3ef4ae8c6ef81e</t>
  </si>
  <si>
    <t>Washington Capitals - Edmonton Oilers</t>
  </si>
  <si>
    <t>b50b741dffe27cfe3f9c956e26fbf913</t>
  </si>
  <si>
    <t>Norrkoping - Nassjo</t>
  </si>
  <si>
    <t>O(159)</t>
  </si>
  <si>
    <t>e1c8d5f8b6fcc2a721ed21f4a550050f</t>
  </si>
  <si>
    <t>Arizona Coyotes - Philadelphia Flyers</t>
  </si>
  <si>
    <t>5496534edbc7c380d04c78e2c5900ccb</t>
  </si>
  <si>
    <t>Obras Basket - Argentino Junin</t>
  </si>
  <si>
    <t>a5148010cd334f10eb1d53768defc52a</t>
  </si>
  <si>
    <t>181106</t>
  </si>
  <si>
    <t>Elena Rybakina - Yuxuan Zhang</t>
  </si>
  <si>
    <t>8e0a1242ec2f6d1c2a95e3a31d281bbc</t>
  </si>
  <si>
    <t>Joris De Loore - Laslo Djere</t>
  </si>
  <si>
    <t>f54470a6f3d02054a474a8336c0b0e99</t>
  </si>
  <si>
    <t>Serbia (W) - Russia (W)</t>
  </si>
  <si>
    <t>9d65c69c63074fb14c2dbd558ab602b9</t>
  </si>
  <si>
    <t>Auburn - South Alabama</t>
  </si>
  <si>
    <t>AH1(-19)</t>
  </si>
  <si>
    <t>7dfad61ce2fdd0d3a662ce864181725a</t>
  </si>
  <si>
    <t>Boras Basket - Umea BSKT</t>
  </si>
  <si>
    <t>8fd81d4c38a65cc4a3c57d2b4459ae3a</t>
  </si>
  <si>
    <t>O(181.5)</t>
  </si>
  <si>
    <t>e57217e67db39c6fe887159daf5c60fc</t>
  </si>
  <si>
    <t>Providence - Siena</t>
  </si>
  <si>
    <t>AH2(19.5)</t>
  </si>
  <si>
    <t>03ee48dcb3bebaf379bc21aef12201ca</t>
  </si>
  <si>
    <t>Jilin - Sichuan</t>
  </si>
  <si>
    <t>O(217.5)</t>
  </si>
  <si>
    <t>15a7647ff25cf6eae0f97ccc4db0184c</t>
  </si>
  <si>
    <t>Boras - Umea</t>
  </si>
  <si>
    <t>AH2(8)</t>
  </si>
  <si>
    <t>5ae39190585c5df8aa6ac4b5e184447f</t>
  </si>
  <si>
    <t>Ironi Tiberias - Hapoel Jerusalem</t>
  </si>
  <si>
    <t>f2e5bb9acf20e88652025a4f0844dda4</t>
  </si>
  <si>
    <t>Oregon - Portland State</t>
  </si>
  <si>
    <t>2b9e5bb84cf57720ba246d9d60224cbd</t>
  </si>
  <si>
    <t>Barangay Ginebra San Miguel - NLEX Road Warriors</t>
  </si>
  <si>
    <t>e4da2e149fd44b4abdabc5627cbd3724</t>
  </si>
  <si>
    <t>Cerezo Osaka - Nagoya Grampus Eight</t>
  </si>
  <si>
    <t>41525108c0dc4afb9cf50515ccb5a402</t>
  </si>
  <si>
    <t>CSK VVS Samara - Sokol Krasnoyarsk</t>
  </si>
  <si>
    <t>c4c09322c101b0172d11a723a45c3074</t>
  </si>
  <si>
    <t>Guangdong - Fujian</t>
  </si>
  <si>
    <t>9790075e12b9eb8db9e75a5a119b9090</t>
  </si>
  <si>
    <t>c781d00fbb7dffbfb1a35f1a3c86287c</t>
  </si>
  <si>
    <t>Partizan - Trento</t>
  </si>
  <si>
    <t>2498177824628698d2a8963174e81e6b</t>
  </si>
  <si>
    <t>Stefano Travaglia - Zizou Bergs</t>
  </si>
  <si>
    <t>edec497fe9724ce1cf0d3453a1a8d42c</t>
  </si>
  <si>
    <t>Ventspils - Ludwigsburg</t>
  </si>
  <si>
    <t>a0d0e18a54d51eeb86a824c0253bc584</t>
  </si>
  <si>
    <t>1eef2a5de7ff6376c8aceb20067c4f3c</t>
  </si>
  <si>
    <t>Atletico Madrid - Borussia Dortmund</t>
  </si>
  <si>
    <t>e1039edc2bfba9f2cea427bc86051095</t>
  </si>
  <si>
    <t>5d7fda60f8f19b0970b3c17956453a48</t>
  </si>
  <si>
    <t>Nevada - BYU</t>
  </si>
  <si>
    <t>U(156)</t>
  </si>
  <si>
    <t>91521015fb697b9bb6ad39fcf68d44cb</t>
  </si>
  <si>
    <t>Talaea El Giesh - El Gouna</t>
  </si>
  <si>
    <t>a79c727581ad66bc1374dafba7bd7e5e</t>
  </si>
  <si>
    <t>Arab Contractors - El-Entag El-Harby</t>
  </si>
  <si>
    <t>dd8ce215d27c8c8fa879b7e47e640aaf</t>
  </si>
  <si>
    <t>Changchun Yatai - Tianjin Quanjin</t>
  </si>
  <si>
    <t>248c59b0c4969e5154eef42e72fc7f01</t>
  </si>
  <si>
    <t>AS Monaco U19 - Club Brugge U19</t>
  </si>
  <si>
    <t>89c58c6f3c46d0a76d64f9ef485b86df</t>
  </si>
  <si>
    <t>Tianjin Teda - Dalian Yifang</t>
  </si>
  <si>
    <t>67416ea231de8aba6168b4cad16d879c</t>
  </si>
  <si>
    <t>FC Porto U19 - Lokomotiv Moscow U19</t>
  </si>
  <si>
    <t>e6b09d7eec56744ac284deaa50706925</t>
  </si>
  <si>
    <t>Defensa y Justicia (R) - Velez Sarsfield (R)</t>
  </si>
  <si>
    <t>19b43b3f4c26038b25848f115e5363f0</t>
  </si>
  <si>
    <t>Jamtland Basket - Wetterbygden Stars</t>
  </si>
  <si>
    <t>O(175.5)</t>
  </si>
  <si>
    <t>0bbce1fc18b4a7bb0e0fadd08471a637</t>
  </si>
  <si>
    <t>Porto U19 - Lokomotiv Moscow U19</t>
  </si>
  <si>
    <t>2c6308c63bd719ba9e3683f41dfac028</t>
  </si>
  <si>
    <t>Virginia Cavaliers - Towson Tigers</t>
  </si>
  <si>
    <t>O(132.5)</t>
  </si>
  <si>
    <t>fa3ae4ff6f6c3f5aa44066a7375540e7</t>
  </si>
  <si>
    <t>ASM Oran - RC Kouba</t>
  </si>
  <si>
    <t>dfea020145ca534d7d891269c136430c</t>
  </si>
  <si>
    <t>Syracuse Orange - Eastern Washington Eagles</t>
  </si>
  <si>
    <t>U(133.5)</t>
  </si>
  <si>
    <t>d66e8891fd70df193c9a4b1153a0c06c</t>
  </si>
  <si>
    <t>Henan Jianye - Guizhou Hengfeng Zhicheng</t>
  </si>
  <si>
    <t>b5c27447765b0556e196970da88924b4</t>
  </si>
  <si>
    <t>RS Berkane - FAR Rabat</t>
  </si>
  <si>
    <t>5d987816525f8ddac5e409cf03833faf</t>
  </si>
  <si>
    <t>Shandong Luneng Taishan - Jiangsu Suning F.C.</t>
  </si>
  <si>
    <t>ca5eef27b2593a343eabcb9bcb8ef1e1</t>
  </si>
  <si>
    <t>MSK Zilina - SKF Sered</t>
  </si>
  <si>
    <t>436b3da19632a3ae70bb53289cfba390</t>
  </si>
  <si>
    <t>Chongqing Lifan - Guangzhou Evergrande Taobao</t>
  </si>
  <si>
    <t>7db44d86627bc187d0bf0df3463125d3</t>
  </si>
  <si>
    <t>AH2(5.5)</t>
  </si>
  <si>
    <t>bff868c8e3e4218ddcfc68b2886a5fbb</t>
  </si>
  <si>
    <t>UAI Urquiza - Barracas Central</t>
  </si>
  <si>
    <t>efff27d8b4352cf3ee693169d264f99b</t>
  </si>
  <si>
    <t>Uppsala Basket - Sodertalje Kings</t>
  </si>
  <si>
    <t>AH2(-18.5)</t>
  </si>
  <si>
    <t>dbf808cf4133d5771e31ec5bfd7ec813</t>
  </si>
  <si>
    <t>Norrkoping Dolphins - Nassjo Basket</t>
  </si>
  <si>
    <t>bac9f29baf6b53ac1c10d0f361f507e4</t>
  </si>
  <si>
    <t>Salon Vilpas - Kauhajoen Karhu</t>
  </si>
  <si>
    <t>AH1(-9.5)</t>
  </si>
  <si>
    <t>f5c5bd1b307f44e5840fe5df31d91937</t>
  </si>
  <si>
    <t>KTP-Basket - Helsinki Seagulls</t>
  </si>
  <si>
    <t>795f631e6eeb8de063c5ede554c5686d</t>
  </si>
  <si>
    <t>ASVEL Lyon-Villeurbanne - Valencia Basket</t>
  </si>
  <si>
    <t>161e7f543105345840100acb05ba8704</t>
  </si>
  <si>
    <t>1.FK Príbram - Bohemians 1905</t>
  </si>
  <si>
    <t>b4b92a53c0160bdf285c7df7e03225d7</t>
  </si>
  <si>
    <t>Polokwane City - Orlando Pirates</t>
  </si>
  <si>
    <t>e57aff10f3d0ae099175bdd7fb2faf65</t>
  </si>
  <si>
    <t>Montana State Bobcats - Utah State Aggies</t>
  </si>
  <si>
    <t>51d8086eb28ce7e6d176b25c53041f74</t>
  </si>
  <si>
    <t>Deportivo Riestra - Fénix</t>
  </si>
  <si>
    <t>f503a48088efc9a23803676487778ceb</t>
  </si>
  <si>
    <t>385b96d7ddd78155b0284c19db7f4198</t>
  </si>
  <si>
    <t>30bf0cc135706de486750f588547ba5b</t>
  </si>
  <si>
    <t>La Salle Explorers - Temple Owls</t>
  </si>
  <si>
    <t>44abb3611c53b907e7614deb70ef0014</t>
  </si>
  <si>
    <t>Texas Longhorns - Eastern Illinois Panthers</t>
  </si>
  <si>
    <t>AH2(25)</t>
  </si>
  <si>
    <t>9e5b8cb00c5c756bc7d1ed9e8101f44a</t>
  </si>
  <si>
    <t>Turk Telekom - BC Zenit Saint Petersburg</t>
  </si>
  <si>
    <t>6194fa0166c56a8d0ecefeaf7ec43438</t>
  </si>
  <si>
    <t>Orleans Loiret Basket - Boulazac Basket Dordogne</t>
  </si>
  <si>
    <t>1a4b7d171873b4b079243606151d483b</t>
  </si>
  <si>
    <t>a500e339b8e2042e8b16e2219925decd</t>
  </si>
  <si>
    <t>Chester - Nuneaton Borough</t>
  </si>
  <si>
    <t>5a67f94b80cef88d288e778cecd95eb6</t>
  </si>
  <si>
    <t>Walsall - Charlton Athletic</t>
  </si>
  <si>
    <t>88f133c62c9bfd7d9f399e0ce8ec2ea2</t>
  </si>
  <si>
    <t>Fiat Torino (ITA) - Fraport Skyliners (GER)</t>
  </si>
  <si>
    <t>72a1e6320f7534c99388fc8ca1b35f22</t>
  </si>
  <si>
    <t>Universitario Deportes - Centro Deportivo Municipal</t>
  </si>
  <si>
    <t>d30535948c99bed1e404901413dcf1d2</t>
  </si>
  <si>
    <t>UC Davis Aggies - San Francisco Dons</t>
  </si>
  <si>
    <t>9cf88703379caa05cc0fbc742d52908a</t>
  </si>
  <si>
    <t>Valencia - Young Boys</t>
  </si>
  <si>
    <t>575eb26a6dd4614e3303c0482131d675</t>
  </si>
  <si>
    <t>Hapoel Jerusalem BC - CEZ Nymburk</t>
  </si>
  <si>
    <t>14e7d62f98aa562ee82c580126550bab</t>
  </si>
  <si>
    <t>e980cc17acdbe37eed1022fbe1843693</t>
  </si>
  <si>
    <t>Dulwich Hamlet - Weston Super Mare</t>
  </si>
  <si>
    <t>da7e62e43fcc7e03f3aa6e79d9048f61</t>
  </si>
  <si>
    <t>Bromley FC - Faversham Town FC</t>
  </si>
  <si>
    <t>f9839ef645007330190d5e7ff8b7ec34</t>
  </si>
  <si>
    <t>Chester FC - Nuneaton Borough</t>
  </si>
  <si>
    <t>e96b2d4577d475e348c7ce54833d942d</t>
  </si>
  <si>
    <t>Salisbury - Paulton Rovers</t>
  </si>
  <si>
    <t>86e5c046445788254724de83ed795f82</t>
  </si>
  <si>
    <t>Salisbury FC - Paulton Rovers FC</t>
  </si>
  <si>
    <t>b24ae5d385efdae95f2a99edca120d91</t>
  </si>
  <si>
    <t>ASVEL Lyon Villeurbanne - Valencia Basket</t>
  </si>
  <si>
    <t>8205b283843e1440262a0e92543184f5</t>
  </si>
  <si>
    <t>Witton Albion - Stalybridge Celtic</t>
  </si>
  <si>
    <t>ecf328d2512d608b1f22e61b6561963b</t>
  </si>
  <si>
    <t>Kentucky Wildcats - Duke Blue Devils</t>
  </si>
  <si>
    <t>23a9bc93ddea35cf56188806965f22c7</t>
  </si>
  <si>
    <t>UCF Knights - Rider Broncs</t>
  </si>
  <si>
    <t>592b6fb7b2c187eb68846af455a0b646</t>
  </si>
  <si>
    <t>Minnesota Golden Gophers - Omaha Mavericks</t>
  </si>
  <si>
    <t>573cc5940022bf7fb258c2103525a843</t>
  </si>
  <si>
    <t>Arizona State Sun Devils - Cal State Fullerton Titans</t>
  </si>
  <si>
    <t>AH1(-11.5)</t>
  </si>
  <si>
    <t>375620a2af7bf8fbd5d27e4779bc372b</t>
  </si>
  <si>
    <t>Panama U20 - Canada U20</t>
  </si>
  <si>
    <t>127f79ee3772a21b915ea479e6de2233</t>
  </si>
  <si>
    <t>FC Viktoria Plzen - Real Madrid</t>
  </si>
  <si>
    <t>9c46e25a843c6165150835294f42fd5c</t>
  </si>
  <si>
    <t>Memphis Tigers - Tennessee Tech Golden Eagles</t>
  </si>
  <si>
    <t>30374be2af9be356c86677df1f029f4b</t>
  </si>
  <si>
    <t>Viktoria Plzen - Real Madrid</t>
  </si>
  <si>
    <t>eb3695f8e3267c1408317c1d5f927274</t>
  </si>
  <si>
    <t>Deportes Quindío - Deportivo Pereira</t>
  </si>
  <si>
    <t>d3fd7994b00fcc5f32838034b343fbe8</t>
  </si>
  <si>
    <t>Deportes Quindio - Deportivo Pereira</t>
  </si>
  <si>
    <t>1fece082b3dc10736d1ba141fc65a7ef</t>
  </si>
  <si>
    <t>Liaoning Flying Leopards - Qingdao Eagles</t>
  </si>
  <si>
    <t>AH1(-12.5)</t>
  </si>
  <si>
    <t>39ad512f0d5f8597e87c290f5d3c2427</t>
  </si>
  <si>
    <t>Acassuso San Isidro (n) - All Boys Floresta</t>
  </si>
  <si>
    <t>2915eeb5031c592c89d3f6a5415d481a</t>
  </si>
  <si>
    <t>181107</t>
  </si>
  <si>
    <t>Guangzhou R&amp;F - Hebei China Fortune FC</t>
  </si>
  <si>
    <t>f72a5fa14774735990a1370ed35dd50f</t>
  </si>
  <si>
    <t>George Mason Patriots - Penn Quakers</t>
  </si>
  <si>
    <t>56a3909b33d503b8a4fc69748e724cd2</t>
  </si>
  <si>
    <t>3f61236dd1dfc101919a018f8183ebe3</t>
  </si>
  <si>
    <t>El Salvador U20 - Guatemala U20</t>
  </si>
  <si>
    <t>3c5884338f04a05c025e34b419a6f45d</t>
  </si>
  <si>
    <t>Gimnasia Y Tiro - Juventud Antoniana</t>
  </si>
  <si>
    <t>36adcff85fe1f020a557d4dc00da4413</t>
  </si>
  <si>
    <t>O(207.5)</t>
  </si>
  <si>
    <t>f684d2ab855d08c5774c1e42542b54a9</t>
  </si>
  <si>
    <t>SK Wyverns - Doosan Bears</t>
  </si>
  <si>
    <t>U(10)</t>
  </si>
  <si>
    <t>63f5555f12f36da3a3db0162b8d6db0c</t>
  </si>
  <si>
    <t>EC Pinheiros Basquete - Paulistano Basquete</t>
  </si>
  <si>
    <t>d596f7717bd3df24bc875453145d457e</t>
  </si>
  <si>
    <t>Naomi Broady - Richel Hogenkamp</t>
  </si>
  <si>
    <t>a6b49e0756f00d8b8a5d1179f57895bf</t>
  </si>
  <si>
    <t>Jurgen Zopp - Evgeny Donskoy</t>
  </si>
  <si>
    <t>525ae11187bc1c130b5763f11a6e31d5</t>
  </si>
  <si>
    <t>Kentucky - Duke</t>
  </si>
  <si>
    <t>f617a4d876c1cabe681afd6360468326</t>
  </si>
  <si>
    <t>BK Pardubice - New Heroes Den Bosch</t>
  </si>
  <si>
    <t>b1e360ab79ad835b79e7345ca2a43d1a</t>
  </si>
  <si>
    <t>BC Dnipro - BC Levski Sofia</t>
  </si>
  <si>
    <t>AH2(3)</t>
  </si>
  <si>
    <t>673e1c3220f2258f61736c6961663351</t>
  </si>
  <si>
    <t>Wyoming Cowboys - UC Santa Barbara Gauchos</t>
  </si>
  <si>
    <t>219bd52945c931c2867cb2d72e3b99e1</t>
  </si>
  <si>
    <t>Aizawl FC - Neroca FC</t>
  </si>
  <si>
    <t>5d892dc17a9150a3c737fe15145dae5e</t>
  </si>
  <si>
    <t>Niigata Albirex BB - Seahorses Mikawa</t>
  </si>
  <si>
    <t>51bb8592e82b3ade79fce91b04235bfd</t>
  </si>
  <si>
    <t>Shandong Luneng - Jiangsu Suning</t>
  </si>
  <si>
    <t>81677fd57de4274c98a1057a8819b078</t>
  </si>
  <si>
    <t>Chongqing Dangdai Lifan - Guangzhou Evergrande</t>
  </si>
  <si>
    <t>cf134f2599d968f552575e2b9ec9406c</t>
  </si>
  <si>
    <t>7012777cdf1f3f8bdb1f3196df4cdd0f</t>
  </si>
  <si>
    <t>Antoine Hoang - Yannick Maden</t>
  </si>
  <si>
    <t>8ba35cc2130a03a62491aa6794b16b04</t>
  </si>
  <si>
    <t>Toyama Grouses - Kawasaki Brave Thunders</t>
  </si>
  <si>
    <t>a0b05d710930387cf394dbd5b055f9c0</t>
  </si>
  <si>
    <t>Kataja Basket - Aris Thessaloniki BC</t>
  </si>
  <si>
    <t>a68ffe181165a00364a399438d521837</t>
  </si>
  <si>
    <t>Miami (OH) Redhawks - Ohio Bobcats</t>
  </si>
  <si>
    <t>AH2(-4)</t>
  </si>
  <si>
    <t>323e047df9f953e9fb2b04fa685ccf35</t>
  </si>
  <si>
    <t>Academia Cantolao - Comerciantes Unidos</t>
  </si>
  <si>
    <t>f97bbb792a79387cd8d34fe377b7dc46</t>
  </si>
  <si>
    <t>Stefano Travaglia - Quentin Halys</t>
  </si>
  <si>
    <t>54acf594962379d470764f49d4a0a622</t>
  </si>
  <si>
    <t>Unicaja - Rytas</t>
  </si>
  <si>
    <t>26df793c30dac4b247ded4f5af807eab</t>
  </si>
  <si>
    <t>Stefanos Tsitsipas - Frances Tiafoe</t>
  </si>
  <si>
    <t>9c1694759c73146dc2f427e10bab0460</t>
  </si>
  <si>
    <t>c9eac2ecee56f8c611c432a1183d979d</t>
  </si>
  <si>
    <t>BK Valmiera - BK Jekabpils</t>
  </si>
  <si>
    <t>AH1(-8)</t>
  </si>
  <si>
    <t>5f179351a461f7b192a339e4dddd83a8</t>
  </si>
  <si>
    <t>Kataja Basket - Aris Thessaloniki</t>
  </si>
  <si>
    <t>20f94bad183c692b3508f11512eca998</t>
  </si>
  <si>
    <t>Mihaela Buzarnescu - Mandy Minella</t>
  </si>
  <si>
    <t>4f423221063a18fa87e2f175d37259a0</t>
  </si>
  <si>
    <t>Brondby IF U19 - AGF Aarhus U19</t>
  </si>
  <si>
    <t>fdfb68a17441f03bb7e9fb3c397de1e3</t>
  </si>
  <si>
    <t>Ayacucho FC - Alianza Lima</t>
  </si>
  <si>
    <t>ba98ebaea28855ebd6e6d982a89599f7</t>
  </si>
  <si>
    <t>Kaizer Chiefs - Black Leopards</t>
  </si>
  <si>
    <t>3df1014fede9d3bf48d879ca2720dcca</t>
  </si>
  <si>
    <t>San Lorenzo Almagro Basquet - Bahia Basket</t>
  </si>
  <si>
    <t>O(148.5)</t>
  </si>
  <si>
    <t>ceba76d3779b82fbe4f4440851178a62</t>
  </si>
  <si>
    <t>Elfsborg U19 - Chelsea U19</t>
  </si>
  <si>
    <t>f79f1f10c1f8c81fb555edb7484e58ba</t>
  </si>
  <si>
    <t>BC Tartu Ulikool - BC Kalev Cramo</t>
  </si>
  <si>
    <t>AH2(-12.5)</t>
  </si>
  <si>
    <t>63e2341e9ed1e6d092676ea4f3b59916</t>
  </si>
  <si>
    <t>PAOK U19 - FC Minsk U19</t>
  </si>
  <si>
    <t>479cba2935a573899bda41c5348f2e07</t>
  </si>
  <si>
    <t>Ferencvarosi U19 - Puskas Academy FC U19</t>
  </si>
  <si>
    <t>2cd098388ba44408560b85f97f61fd90</t>
  </si>
  <si>
    <t>Viktoria Plzen U19 - Real Madrid U19</t>
  </si>
  <si>
    <t>3ffbcdb0575158590ca74304884b9a46</t>
  </si>
  <si>
    <t>1ee7612ea2042f4b70612eb8a9ca1626</t>
  </si>
  <si>
    <t>Sergiy Stakhovsky - Norbert Gombos</t>
  </si>
  <si>
    <t>1334fd1ee24e71699789d1823d170d10</t>
  </si>
  <si>
    <t>Marshall Thundering Herd - Eastern Kentucky Colonels</t>
  </si>
  <si>
    <t>O(165.5)</t>
  </si>
  <si>
    <t>6d6306cde953f4116cd416fffb719d2c</t>
  </si>
  <si>
    <t>Atl Paranaense - Fluminense RJ</t>
  </si>
  <si>
    <t>286ba32feb0f1aa60f8408aa1dd0a8e8</t>
  </si>
  <si>
    <t>Bayern Munchen U19 - AEK Athens U19</t>
  </si>
  <si>
    <t>fbad273807ed40620d09ed86f257919b</t>
  </si>
  <si>
    <t>Genoa U19 - Cremonese U19</t>
  </si>
  <si>
    <t>4ffc24d17f98b4cb4243119a65d958ac</t>
  </si>
  <si>
    <t>Michael Redlicki - Marcelo Arevalo</t>
  </si>
  <si>
    <t>9488fdf8fd2a1d1f6cc7cf655aacc7d2</t>
  </si>
  <si>
    <t>Sigma Olomouc U19 - Maccabi Tel Aviv U19</t>
  </si>
  <si>
    <t>6537c2201d7afd4bd704cca5782d578e</t>
  </si>
  <si>
    <t>777e4be7d3d0eba8dd31c49e0cb361f4</t>
  </si>
  <si>
    <t>Suduva - FK Atlantas</t>
  </si>
  <si>
    <t>O(4.25)</t>
  </si>
  <si>
    <t>b394333e46aeb4d3c82450ee5dec5d46</t>
  </si>
  <si>
    <t>O(168.5)</t>
  </si>
  <si>
    <t>cb3630c225bd996fac44f7a31d473f86</t>
  </si>
  <si>
    <t>Ana Bogdan - Jamie Loeb</t>
  </si>
  <si>
    <t>4f3ef6d2a309e014ec6755f5cc5387ec</t>
  </si>
  <si>
    <t>AEK Athens BC - Baloncesto Fuenlabrada</t>
  </si>
  <si>
    <t>f46b6615d054d85ff1025d68807adff6</t>
  </si>
  <si>
    <t>Estudiantes Concordia - Ciclista Olimpico La Banda</t>
  </si>
  <si>
    <t>d277fda38ad8b532f5720a080b902e45</t>
  </si>
  <si>
    <t>Northern Illinois Huskies - Toledo Rockets</t>
  </si>
  <si>
    <t>19bcbb9ef4b434892d6e23c1b9e29832</t>
  </si>
  <si>
    <t>Wigry Suwalki - Stomil Olsztyn</t>
  </si>
  <si>
    <t>bfca96ff09532843217ee11d8020e6d1</t>
  </si>
  <si>
    <t>AH2(10)</t>
  </si>
  <si>
    <t>d31adef3bca7542aa536fc7d37ab0bb6</t>
  </si>
  <si>
    <t>Altinordu U19 - Montpellier U19</t>
  </si>
  <si>
    <t>8a25ec5c43d8a99491f2e2aab5f5cb78</t>
  </si>
  <si>
    <t>Pallacanestro Varese - BC Rilski Sportist Samokov</t>
  </si>
  <si>
    <t>U(160.5)</t>
  </si>
  <si>
    <t>2c96432f4210ebec59c9b45713abe09d</t>
  </si>
  <si>
    <t>Deportivo Binacional - Sport Boys Association</t>
  </si>
  <si>
    <t>e1590deccbe2069711dadda632f9ca0d</t>
  </si>
  <si>
    <t>VT</t>
  </si>
  <si>
    <t>Cincinnati Bearcats - Ohio State Buckeyes</t>
  </si>
  <si>
    <t>U(137.5)</t>
  </si>
  <si>
    <t>1c3d54a0468dda2296e21e512074fd49</t>
  </si>
  <si>
    <t>Tampereen Pyrinto - BC Nokia</t>
  </si>
  <si>
    <t>0a36e33ee6a7b9ca9a8326e8c85c7d4b</t>
  </si>
  <si>
    <t>U(175.5)</t>
  </si>
  <si>
    <t>d6a9c8b58566d344eb60f319c1d1eb75</t>
  </si>
  <si>
    <t>USK Praha (w) - Tango Bourges Basket (w)</t>
  </si>
  <si>
    <t>3c8b4e9c48c56067ad983101d3e1a51d</t>
  </si>
  <si>
    <t>TTT Riga (w) - Perfumerias Avenida (w)</t>
  </si>
  <si>
    <t>c5e87d6f10e1fa494e7435d2d88941fb</t>
  </si>
  <si>
    <t>Eastern Kentucky Colonels - Marshall Thundering Herd</t>
  </si>
  <si>
    <t>76449262fc2c9ee9c18fb44c4f11c434</t>
  </si>
  <si>
    <t>Pinar Karsiyaka (TUR) - Proximus Spirou Charleroi (BEL)</t>
  </si>
  <si>
    <t>O(151.5)</t>
  </si>
  <si>
    <t>3e264a21d4f4ecd3c6b4a02841ed953d</t>
  </si>
  <si>
    <t>Catania - Siracusa</t>
  </si>
  <si>
    <t>9cdeab8713fc299180fe79a794de9291</t>
  </si>
  <si>
    <t>Zalaegerszegi TE - Cegledi VSE</t>
  </si>
  <si>
    <t>3deb5c2748aada5258fc274961d2d74d</t>
  </si>
  <si>
    <t>Wright State Raiders - Western Carolina Catamounts</t>
  </si>
  <si>
    <t>O(146)</t>
  </si>
  <si>
    <t>e332948a79142ba01797e738cf00b361</t>
  </si>
  <si>
    <t>O(145.5)</t>
  </si>
  <si>
    <t>f0bfa62f71a2372fb60dfaf6c98b035d</t>
  </si>
  <si>
    <t>Alma Juventus Fano - Ternana</t>
  </si>
  <si>
    <t>e06cbb53854b6571d2443ba07bc3ffb4</t>
  </si>
  <si>
    <t>Aqvital FC Csakvar - Gyirmot</t>
  </si>
  <si>
    <t>2b38053b5d590f2e49a83fd6396f30fa</t>
  </si>
  <si>
    <t>c4941ab2afb5e51ca864cfc4216f287f</t>
  </si>
  <si>
    <t>Novara - Albissola</t>
  </si>
  <si>
    <t>f82adc5bfaf6c4c3caa25e58afa7fb4a</t>
  </si>
  <si>
    <t>52b9ee8e967e0957ddb6ac7b27e396fd</t>
  </si>
  <si>
    <t>f711b9e0d2c3c82f86316505acdc2ad7</t>
  </si>
  <si>
    <t>Kaposvari FC - Balmazujvaros Sport</t>
  </si>
  <si>
    <t>0540d30b4a58c4e8340e3d327ad0aa69</t>
  </si>
  <si>
    <t>SoenderjyskE - Esbjerg fB</t>
  </si>
  <si>
    <t>747eacdb50f8b560f2c27650339f23a1</t>
  </si>
  <si>
    <t>Shenzhen - Fujian</t>
  </si>
  <si>
    <t>8cc442a929d0af0e68459515e4d7a6f5</t>
  </si>
  <si>
    <t>MoraBanc Andorra - Galatasaray</t>
  </si>
  <si>
    <t>c2540246221b9d6dde848efcf630330e</t>
  </si>
  <si>
    <t>Deportivo Táchira - Estudiantes de Mérida</t>
  </si>
  <si>
    <t>37b8a4db56fbdddc419f7bb36a466b9a</t>
  </si>
  <si>
    <t>b0f88c20c08f189e9ce0a90553a48d07</t>
  </si>
  <si>
    <t>Alajuelense - AD UCR</t>
  </si>
  <si>
    <t>71514ee64e824a8482539c0a0836f828</t>
  </si>
  <si>
    <t>Deportes Tolima - Once Caldas</t>
  </si>
  <si>
    <t>e90d0ce5481473ea98559f2914150e4d</t>
  </si>
  <si>
    <t>AH2(15)</t>
  </si>
  <si>
    <t>514e849f1cea8f5c76ca39b4e1f6b2fe</t>
  </si>
  <si>
    <t>Pinheiros - Paulistano</t>
  </si>
  <si>
    <t>O(160)</t>
  </si>
  <si>
    <t>84f125bd2ff5135d582b46fb1aea6a29</t>
  </si>
  <si>
    <t>ef09b3debe087740b69bbdad2ef13a9c</t>
  </si>
  <si>
    <t>U(61)</t>
  </si>
  <si>
    <t>98f994b936b8ccf07395d975073b237b</t>
  </si>
  <si>
    <t>181108</t>
  </si>
  <si>
    <t>Nanjing Tongxi Monkey King - Shanxi Brave Dragons</t>
  </si>
  <si>
    <t>AH2(-6.5)</t>
  </si>
  <si>
    <t>02b9079227b2e4bbc85ad90338637d69</t>
  </si>
  <si>
    <t>Texas A&amp;M Aggies - Savannah State Tigers</t>
  </si>
  <si>
    <t>O(167.5)</t>
  </si>
  <si>
    <t>2350374c1013860caeb0aaf511e02af0</t>
  </si>
  <si>
    <t>Arizona Wildcats - Houston Baptist Huskies</t>
  </si>
  <si>
    <t>AH1(-21.5)</t>
  </si>
  <si>
    <t>3a9c7190b39d0564e99e1a50a3fd49ed</t>
  </si>
  <si>
    <t>St. Bonaventure Bonnies - Bucknell Bison</t>
  </si>
  <si>
    <t>O(152)</t>
  </si>
  <si>
    <t>3d294d631fdcf7c1e44c0a1250208e7c</t>
  </si>
  <si>
    <t>Saint Mary´s Gaels - McNeese State Cowboys</t>
  </si>
  <si>
    <t>9f04117bd29364e135eda59c41ef72d7</t>
  </si>
  <si>
    <t>Saint Marys Gaels - McNeese State Cowboys</t>
  </si>
  <si>
    <t>AH1(-20.5)</t>
  </si>
  <si>
    <t>73e92ec6e8e4d2009ed98839ce84fee9</t>
  </si>
  <si>
    <t>Estudiantes de San Luis - Estudiantes de Rio Cuarto</t>
  </si>
  <si>
    <t>63082f66d162b523fa985f0da93e1fc8</t>
  </si>
  <si>
    <t>Shilin Xu - Fernanda Brito</t>
  </si>
  <si>
    <t>22cebbc18868c5e435e7798c86361c86</t>
  </si>
  <si>
    <t>O(55.5)</t>
  </si>
  <si>
    <t>36fa15668d6ffa52fd6455d690ee36a3</t>
  </si>
  <si>
    <t>Elena Rybakina - Valentini Grammatikopoulou</t>
  </si>
  <si>
    <t>04:30</t>
  </si>
  <si>
    <t>e91441cb3b44c31f86e40157aea1d93c</t>
  </si>
  <si>
    <t>AH2(18)</t>
  </si>
  <si>
    <t>37e239365c5c8aefa8c34b2fe5117894</t>
  </si>
  <si>
    <t>Lukas Lacko - Egor Gerasimov</t>
  </si>
  <si>
    <t>ddb25750ec40503932ec351383b2fe3a</t>
  </si>
  <si>
    <t>Team FOG Naestved - Randers Cimbria</t>
  </si>
  <si>
    <t>978525591efd74077b75d080d8388162</t>
  </si>
  <si>
    <t>5c0a3bf6b2eaafed0a357a2af17bf45b</t>
  </si>
  <si>
    <t>FC Astana - FK Baumit Jablonec</t>
  </si>
  <si>
    <t>16:50</t>
  </si>
  <si>
    <t>2b81430716298284b742af9a4eb713c0</t>
  </si>
  <si>
    <t>CS Cartagines - Santos de Guapiles</t>
  </si>
  <si>
    <t>0b87867eb07362dee1a0cc53f47439b7</t>
  </si>
  <si>
    <t>Real Betis - AC Milan</t>
  </si>
  <si>
    <t>adbb985aa93a4a5c4922028299c6e730</t>
  </si>
  <si>
    <t>Iowa Wild - Bakersfield Condors</t>
  </si>
  <si>
    <t>13f7c855b8db2034925cbd8208af2c9b</t>
  </si>
  <si>
    <t>Shanghai - Tianjin</t>
  </si>
  <si>
    <t>e812bb2f64cfd9b61485f040af04f4e6</t>
  </si>
  <si>
    <t>Olympiacos - F91 Dudelange</t>
  </si>
  <si>
    <t>6bec25d698a0da5ce17be016ddb09e8c</t>
  </si>
  <si>
    <t>FC Astana - FK Jablonec</t>
  </si>
  <si>
    <t>71cbc21298ae6f30405a8efd068c6d61</t>
  </si>
  <si>
    <t>Dinamo Kiev - Stade Rennais</t>
  </si>
  <si>
    <t>9b929ea9253d8ca19367791b39ebaa40</t>
  </si>
  <si>
    <t>Spartak Moscow - Glasgow Rangers</t>
  </si>
  <si>
    <t>Kongsberg Miners - Baerum Basket</t>
  </si>
  <si>
    <t>372fde76aaeeb690bd531c35fb662f3b</t>
  </si>
  <si>
    <t>Greece (W) - Slovakia (W)</t>
  </si>
  <si>
    <t>557c41ccd32ac26ac7635d5e1d3c5ebe</t>
  </si>
  <si>
    <t>FC Goa - Delhi Dynamos FC</t>
  </si>
  <si>
    <t>56d8585a013ed12923c76f53b5ac6a1f</t>
  </si>
  <si>
    <t>Akhisar Belediyespor - Sevilla</t>
  </si>
  <si>
    <t>17a52cc3572cd78f14f628a06e50ab6c</t>
  </si>
  <si>
    <t>Ludogorets Razgrad - AEK Larnaca</t>
  </si>
  <si>
    <t>7fcbf024f42947679e9e9ea51cbcf5c0</t>
  </si>
  <si>
    <t>Team Fog Naestved - Randers Cimbria</t>
  </si>
  <si>
    <t>939dafd43d81b4d2a0c4d7251ecc019d</t>
  </si>
  <si>
    <t>AH2(2)</t>
  </si>
  <si>
    <t>77acf5ede14e4f82b9259bfd65896961</t>
  </si>
  <si>
    <t>Malmo - Sarpsborg 08</t>
  </si>
  <si>
    <t>56af34d50e0dfb0f1974deb8d135b94a</t>
  </si>
  <si>
    <t>Hapoel Tel Aviv BC - Bnei Herzliya BC</t>
  </si>
  <si>
    <t>76d4b8e67221ef0d339f9cb33557ad90</t>
  </si>
  <si>
    <t>North Carolina State Wolfpack - Wake Forest Demon Deacons</t>
  </si>
  <si>
    <t>O(69.5)</t>
  </si>
  <si>
    <t>6e9a9baece547397f041d69fb86d45f3</t>
  </si>
  <si>
    <t>Rosenborg - Red Bull Salzburg</t>
  </si>
  <si>
    <t>eda8d393f8ac24d13fbfd9c894fee2c3</t>
  </si>
  <si>
    <t>CB Santos San Luis - Correcaminos UAT Basquetbol</t>
  </si>
  <si>
    <t>6c47521122f66b5b876be8db45befdcb</t>
  </si>
  <si>
    <t>Kazakhstan (n) - Korea Republic</t>
  </si>
  <si>
    <t>386d3de84a8c3d0a0ac52faad29608eb</t>
  </si>
  <si>
    <t>c8fc765260736383e59f74e0d2e5e861</t>
  </si>
  <si>
    <t>d80288ce06c4bdd43352413e388570c5</t>
  </si>
  <si>
    <t>Gimnasia Esgrima Comodoro Rivadavia - Ferro Carril Oeste</t>
  </si>
  <si>
    <t>26313ceb3bc3fb801816df663b670dd0</t>
  </si>
  <si>
    <t>Lazio - Olympique Marseille</t>
  </si>
  <si>
    <t>5cbb894a2dca0e3418d90929bd2ce007</t>
  </si>
  <si>
    <t>Universidad Técnica de Cajamarca - FBC Melgar</t>
  </si>
  <si>
    <t>ec49ad982efa0a327083ad3f23cf09f3</t>
  </si>
  <si>
    <t>Vorskla Poltava - FK Qarabag</t>
  </si>
  <si>
    <t>68549a7c6be8a9798fb61146522a2178</t>
  </si>
  <si>
    <t>Arsenal - Sporting CP</t>
  </si>
  <si>
    <t>d07d91405307fb99ff3e6997cb54537d</t>
  </si>
  <si>
    <t>Gimnasia - Ferro</t>
  </si>
  <si>
    <t>f02c1b360e44330399a069c0f77edbe6</t>
  </si>
  <si>
    <t>Ohud Medina - Al Hazm</t>
  </si>
  <si>
    <t>58eec14d806413c38390cc2096d403f3</t>
  </si>
  <si>
    <t>Illinois Fighting Illini - Evansville Purple Aces</t>
  </si>
  <si>
    <t>b4244aa0181f5b18a198558272b5244a</t>
  </si>
  <si>
    <t>FC BATE Borisov - Chelsea</t>
  </si>
  <si>
    <t>15c792fe77accedf0b6f17e421e11fd9</t>
  </si>
  <si>
    <t>Slavia Praha - FC Copenhagen</t>
  </si>
  <si>
    <t>004412452b79028a029cb149ccc06417</t>
  </si>
  <si>
    <t>0e647b22c83bd37cf178e0243baa37f8</t>
  </si>
  <si>
    <t>Dennis Novak - Marcos Baghdatis</t>
  </si>
  <si>
    <t>60cddd8cda07b3208c01476c51404f2b</t>
  </si>
  <si>
    <t>ec6b033a9dd1e2a577bdca00568aa80c</t>
  </si>
  <si>
    <t>Spain (W) - Poland (W)</t>
  </si>
  <si>
    <t>ca2144d1935123ab0619d7897d8bc423</t>
  </si>
  <si>
    <t>FK Krasnodar - Standard Liege</t>
  </si>
  <si>
    <t>b19e8fcc66a4ec7253f99090f8cb5827</t>
  </si>
  <si>
    <t>Rapid Wien - Villarreal</t>
  </si>
  <si>
    <t>8defa4965da4a7aeac98330fe7e93b70</t>
  </si>
  <si>
    <t>George Washington Colonials - Siena Saints</t>
  </si>
  <si>
    <t>ae3726a783afaa2a95622c3ef4246eee</t>
  </si>
  <si>
    <t>Austria (w) - England (w)</t>
  </si>
  <si>
    <t>54fa7b6d0365ce26108cbde1a2006e3a</t>
  </si>
  <si>
    <t>c0232078ef8a4e027e24d2de3714a60e</t>
  </si>
  <si>
    <t>Akhisar Belediye - Sevilla</t>
  </si>
  <si>
    <t>9fe3a3cef0d0a6444bb01efab140a98c</t>
  </si>
  <si>
    <t>Municipal Grecia - Deportivo Saprissa</t>
  </si>
  <si>
    <t>2057669b85025aaa8c90a537e5c94fc5</t>
  </si>
  <si>
    <t>VT=? ISN zadržao, nije dizao</t>
  </si>
  <si>
    <t>Connecticut Huskies - Morehead State Eagles</t>
  </si>
  <si>
    <t>820ab5e94ef90c501721b1556f440b7b</t>
  </si>
  <si>
    <t>Spartak Moscow - Rangers</t>
  </si>
  <si>
    <t>bd8b947378b6df336426e888a120e5d5</t>
  </si>
  <si>
    <t>Nikola Milojevic - Jason Jung</t>
  </si>
  <si>
    <t>19:56</t>
  </si>
  <si>
    <t>a247583ab1e931c059cd1e5c31ea5ffb</t>
  </si>
  <si>
    <t>56650d15745a5ae4b583623ccb0e2823</t>
  </si>
  <si>
    <t>Manitoba Moose - Grand Rapids Griffins</t>
  </si>
  <si>
    <t>e1cf39ac9a96bea4ec9bc014bf580dbb</t>
  </si>
  <si>
    <t>Guyana U20 - Curacao U20</t>
  </si>
  <si>
    <t>19616afd66a64b5f3197235759b8be19</t>
  </si>
  <si>
    <t>Virtus Entella - Arzachena</t>
  </si>
  <si>
    <t>a4821d637000047b268c345cefa015a7</t>
  </si>
  <si>
    <t>c07f0287afd69bf2ee311a2cfc6c104a</t>
  </si>
  <si>
    <t>Malmö FF - Sarpsborg 08</t>
  </si>
  <si>
    <t>682a4410ed3c1782edb835aebb8e9506</t>
  </si>
  <si>
    <t>Kobrat Lapua - Kataja Basket</t>
  </si>
  <si>
    <t>O(182.5)</t>
  </si>
  <si>
    <t>d6d67586805d083e85adf1cb6c5ddeda</t>
  </si>
  <si>
    <t>b4f548cfbc70a4b84e4aa94689bed537</t>
  </si>
  <si>
    <t>64069851bd52e4bbcac1bed51c240025</t>
  </si>
  <si>
    <t>UDC Torredonjimeno - River Melilla CF</t>
  </si>
  <si>
    <t>560816e958967a14db89a7da44cc3b81</t>
  </si>
  <si>
    <t>Zadar - Mega Bemax</t>
  </si>
  <si>
    <t>2a02da2c9b6ca83a30babb4292cc0bbf</t>
  </si>
  <si>
    <t>Grenoble Foot 38 - Ajaccio</t>
  </si>
  <si>
    <t>037a61ac12a46f86e8151b4709e9364e</t>
  </si>
  <si>
    <t>Clermont Foot - Orleans</t>
  </si>
  <si>
    <t>9da5a183bfb64db8b8cdf8d91b3ce332</t>
  </si>
  <si>
    <t>Winterthur - Servette</t>
  </si>
  <si>
    <t>dc2c41538108022b8b1ce2d77f7b338a</t>
  </si>
  <si>
    <t>PEC Zwolle - Willem II Tilburg</t>
  </si>
  <si>
    <t>7bf4dfb2b32cf46677c44dbddfd5be6e</t>
  </si>
  <si>
    <t>US Avranches - Cholet</t>
  </si>
  <si>
    <t>6dd5a23d12a7e0ffcbf4fe743e8f1c18</t>
  </si>
  <si>
    <t>SV Guntamatic Ried - FC Blau-Weiss Linz</t>
  </si>
  <si>
    <t>4a55d65f17b4e01e1365657626480a6a</t>
  </si>
  <si>
    <t>Real Betis Sevilla - Bilbao Basket</t>
  </si>
  <si>
    <t>2c00b6225ac3ba469b42ec4b20654a1f</t>
  </si>
  <si>
    <t>6d94a4269d99c13b8444507cc79f68ca</t>
  </si>
  <si>
    <t>KK Zadar - KK Mega</t>
  </si>
  <si>
    <t>6f4238519102f77f3eb26b4d46227591</t>
  </si>
  <si>
    <t>Basquet Coruna - Palencia Baloncesto</t>
  </si>
  <si>
    <t>f4e1243afa895e5240009c8b01db4cb1</t>
  </si>
  <si>
    <t>Timor Leste - Thailand</t>
  </si>
  <si>
    <t>AH2(-3.25)</t>
  </si>
  <si>
    <t>4ca1c2914edc2aa370e1fbc534d5aead</t>
  </si>
  <si>
    <t>Aix Maurienne Savoie - Poitiers Basket 86</t>
  </si>
  <si>
    <t>99152a161f54276657863f2ba984d60c</t>
  </si>
  <si>
    <t>FC Liefering - Wacker Innsbruck Am</t>
  </si>
  <si>
    <t>355a6c4be5955b8a019515689f2d17b8</t>
  </si>
  <si>
    <t>181109</t>
  </si>
  <si>
    <t>Marignane Gignac - US Concarneau</t>
  </si>
  <si>
    <t>43ad190e74d68254c768f67c666fe8b9</t>
  </si>
  <si>
    <t>Iowa - UMKC</t>
  </si>
  <si>
    <t>AH2(23.5)</t>
  </si>
  <si>
    <t>02d9cf42afc91893eba26e16ef2719b0</t>
  </si>
  <si>
    <t>NC State - Wake Forest</t>
  </si>
  <si>
    <t>67ad437187817fdc5c673f30b4caba68</t>
  </si>
  <si>
    <t>Boston Bruins - Vancouver Canucks</t>
  </si>
  <si>
    <t>a7ae4441fe9e07f2f0952a913d70ef97</t>
  </si>
  <si>
    <t>5fbb85f1b93f42aa4ba11bb23fd7c0c9</t>
  </si>
  <si>
    <t>Poland - Denmark</t>
  </si>
  <si>
    <t>42c8679fa017042f3c0cc41e87d8ec0b</t>
  </si>
  <si>
    <t>La Union Formosa - AA Quimsa</t>
  </si>
  <si>
    <t>46468c52487d15f280903d4e8dbfde29</t>
  </si>
  <si>
    <t>New Zealand Breakers - Cairns Taipans</t>
  </si>
  <si>
    <t>07:50</t>
  </si>
  <si>
    <t>4bc3721810c8177cf325abf0777946c0</t>
  </si>
  <si>
    <t>SV Lafnitz - SC Wiener Neustadt</t>
  </si>
  <si>
    <t>7c5846f276f90acd5920234539a4fe6e</t>
  </si>
  <si>
    <t>Umea BSKT - Jamtland Basket</t>
  </si>
  <si>
    <t>U(187.5)</t>
  </si>
  <si>
    <t>d0c5774aab8dd181b4f74e22669d7aa8</t>
  </si>
  <si>
    <t>Kentucky Wildcats - Southern Illinois Salukis</t>
  </si>
  <si>
    <t>8ae9451c5bf92edc63b87e5168c666f9</t>
  </si>
  <si>
    <t>Kentucky - Southern Illinois</t>
  </si>
  <si>
    <t>35859bb51d64b9685991aa1b5f5ca730</t>
  </si>
  <si>
    <t>Orlando Magic - Washington Wizards</t>
  </si>
  <si>
    <t>U(218)</t>
  </si>
  <si>
    <t>8ceced7ec635da6687c62d21902bf441</t>
  </si>
  <si>
    <t>Temple Owls - Detroit Mercy Titans</t>
  </si>
  <si>
    <t>8e194b08548d75399bbc43f8cddd8b39</t>
  </si>
  <si>
    <t>Cleveland Monsters - Laval Rocket</t>
  </si>
  <si>
    <t>c40370fe1ed671604e696525bc642bac</t>
  </si>
  <si>
    <t>FC Tokyo - Jubilo Iwata</t>
  </si>
  <si>
    <t>18a3ab6a0acfa6c36ba015c2d7902826</t>
  </si>
  <si>
    <t>NK Rudes - HNK Gorica</t>
  </si>
  <si>
    <t>AH2(-1.25)</t>
  </si>
  <si>
    <t>0a98f8d4293a1333e18a37bec4ef7132</t>
  </si>
  <si>
    <t>AFC Tubize - KVC Westerlo</t>
  </si>
  <si>
    <t>2bf3909b3c3ebe6da2712b2f7bdf14f6</t>
  </si>
  <si>
    <t>Maccabi Herzliya - Hapoel Azor</t>
  </si>
  <si>
    <t>0201c5647f8850e5856d464cc46466f0</t>
  </si>
  <si>
    <t>9dedbad2143ac3c68026b4388a3e83f8</t>
  </si>
  <si>
    <t>Incheon Electroland Elephants - Wonju DB Promy</t>
  </si>
  <si>
    <t>ea52cb9feab9ab5eef16b42176a83ce7</t>
  </si>
  <si>
    <t>Shimizu S-Pulse - Nagoya Grampus</t>
  </si>
  <si>
    <t>4a86ee7cfe8d78cff1ec8176e48f6556</t>
  </si>
  <si>
    <t>Svendborg Rabbits - Bakken Bears</t>
  </si>
  <si>
    <t>20801862acbf1ff48dd510634ffcc667</t>
  </si>
  <si>
    <t>O(174.5)</t>
  </si>
  <si>
    <t>006d2c32146ce2974af02ffa820ab97f</t>
  </si>
  <si>
    <t>Arsenal Tula - Anzhi Makhachkala</t>
  </si>
  <si>
    <t>15bfe6dedcca98491b13906fa07db3af</t>
  </si>
  <si>
    <t>Pau - Jeanne d´Arc de Drancy</t>
  </si>
  <si>
    <t>cb65f225c6dfbc655d7b79bd58655baf</t>
  </si>
  <si>
    <t>Sepahan - Saipa F.C.</t>
  </si>
  <si>
    <t>51af02fd4a2664e4097c4cf54a1f2154</t>
  </si>
  <si>
    <t>Rosa Radom - Spojnia Stargard</t>
  </si>
  <si>
    <t>802403ceef960922fe079ed573af013b</t>
  </si>
  <si>
    <t>KK Sentjur - KK Krka Novo Mesto</t>
  </si>
  <si>
    <t>84dfc071dd67c19421ce1166c9f2b0c6</t>
  </si>
  <si>
    <t>Serbia (w) - Russia (w)</t>
  </si>
  <si>
    <t>de3c7bdae11bed143329e684decd6d84</t>
  </si>
  <si>
    <t>62df0bc886991bd62638c1c559cf4397</t>
  </si>
  <si>
    <t>Hungary - Korea Republic</t>
  </si>
  <si>
    <t>f22dd69f2527625888198216b1cdef03</t>
  </si>
  <si>
    <t>Xinjiang Flying Tigers - Sichuan Blue Whales</t>
  </si>
  <si>
    <t>8d35c91a252b01b000e4475c21f73e72</t>
  </si>
  <si>
    <t>Nassaji Mazandaran - Esteghlal Khuzestan</t>
  </si>
  <si>
    <t>e7be8d5027990ebe539bfe3e8090a05b</t>
  </si>
  <si>
    <t>PFC Turan Tovuz - Zira II</t>
  </si>
  <si>
    <t>4459a6ef738a8b57b1a4e5875e3f4c94</t>
  </si>
  <si>
    <t>49174c597a62516ff4e71b1914858967</t>
  </si>
  <si>
    <t>05ab8fde82ddc142c38d5db8a8f9d029</t>
  </si>
  <si>
    <t>Beijing Beikong Fly Dragons - Bayi Rockets</t>
  </si>
  <si>
    <t>da922106c681f1e0079df4d73a59ec3a</t>
  </si>
  <si>
    <t>Al Ahli (KSA) - Al Qadisiya Al Khubar</t>
  </si>
  <si>
    <t>0e4a77a5b1c21682141a4f7fa46c3aa9</t>
  </si>
  <si>
    <t>Hapoel Marmorek Rehovot - Hapoel Nazrat Elit</t>
  </si>
  <si>
    <t>4e1604fd6ef186757a9bfa3d3dc1b477</t>
  </si>
  <si>
    <t>Ivana Jorovic - Danka Kovinic</t>
  </si>
  <si>
    <t>eb302e102730f28d67fc7fa6f5c6dd18</t>
  </si>
  <si>
    <t>Rotor Volgograd - Avangard Kursk</t>
  </si>
  <si>
    <t>fef32b79041396a377494c902be7c1b7</t>
  </si>
  <si>
    <t>Foolad Mobarake Sepahan - Saipa Karaj Fc</t>
  </si>
  <si>
    <t>0fff57825bff140c41a019fbbaaa135d</t>
  </si>
  <si>
    <t>Sepahan - Saipa FC</t>
  </si>
  <si>
    <t>6961991e4c34ba2b117d1804970d3dca</t>
  </si>
  <si>
    <t>Uppsala Basket - Norrkoping Dolphins</t>
  </si>
  <si>
    <t>AH1(15.5)</t>
  </si>
  <si>
    <t>aa6159db83da2b72d57c826998e17fba</t>
  </si>
  <si>
    <t>0936a37e467fb9c69b4b4bde1a8c0e3e</t>
  </si>
  <si>
    <t>KV Mechelen - Union Saint-Gilloise</t>
  </si>
  <si>
    <t>7e57c39e56b40d4d75ffaca5e3ef3df5</t>
  </si>
  <si>
    <t>Panathinaikos - Olympiacos Piraeus</t>
  </si>
  <si>
    <t>67009016d7152c319a2ed808dc85e9a3</t>
  </si>
  <si>
    <t>Kobrat - Kataja Basket</t>
  </si>
  <si>
    <t>b962d3211161a998fe9296ad5b5cd7c3</t>
  </si>
  <si>
    <t>Perth Wildcats - Brisbane Bullets</t>
  </si>
  <si>
    <t>11:50</t>
  </si>
  <si>
    <t>4630163eb2cf6eff7f90b0a845f30ee1</t>
  </si>
  <si>
    <t>Rio Ave U23 - CD Feirense U23</t>
  </si>
  <si>
    <t>8cebc68197339d2b67ae33e0c9f97815</t>
  </si>
  <si>
    <t>Boyaca Chico - Atletico Huila</t>
  </si>
  <si>
    <t>f953cfb9698003fae350feefacccb4a4</t>
  </si>
  <si>
    <t>Sparta Rotterdam - Jong FC Utrecht</t>
  </si>
  <si>
    <t>13ab3c3a2cf82eea6248dcc49659ec8c</t>
  </si>
  <si>
    <t>Boise State Broncos - Fresno State Bulldogs</t>
  </si>
  <si>
    <t>AH1(3)</t>
  </si>
  <si>
    <t>04:15</t>
  </si>
  <si>
    <t>d0218472174445fd3ada36ac993dcff2</t>
  </si>
  <si>
    <t>Destroyers - Club Deportivo Guabira</t>
  </si>
  <si>
    <t>241acf0a062f186902be581fb27e67cc</t>
  </si>
  <si>
    <t>Gamba Osaka - Shonan Bellmare</t>
  </si>
  <si>
    <t>2bd8054f30471627765f5a726fbc72dc</t>
  </si>
  <si>
    <t>Neftchi Fargona - Sogdiana Jizak</t>
  </si>
  <si>
    <t>6c05a7fb05189da7733c15ad1d7ab4b9</t>
  </si>
  <si>
    <t>Hapoel Ramat Gan - Hapoel Ashkelon</t>
  </si>
  <si>
    <t>25e24d6a94152c8d9bae51626c7d5cd9</t>
  </si>
  <si>
    <t>1ef0c6b683ae55cae5ba5d317dc9c732</t>
  </si>
  <si>
    <t>Vila Nova GO - Figueirense SC</t>
  </si>
  <si>
    <t>22:15</t>
  </si>
  <si>
    <t>eb0934bd8405e83aa14d3a803ebb05ac</t>
  </si>
  <si>
    <t>BC Khimki - FC Barcelona</t>
  </si>
  <si>
    <t>2dced087d14745cd436722ff3c41a325</t>
  </si>
  <si>
    <t>Hapoel Katamon - Hapoel Nir Ramat Hasharon</t>
  </si>
  <si>
    <t>e2d1122e99265402a00a28934f8fb21c</t>
  </si>
  <si>
    <t>NK Dugopolje U19 - NK Zagreb U19</t>
  </si>
  <si>
    <t>d27b8b5f8a4629ac6365b66e82d4fb30</t>
  </si>
  <si>
    <t>Maidenhead United - Portsmouth</t>
  </si>
  <si>
    <t>1c9691a4bab3faaad3413239dd30b0e5</t>
  </si>
  <si>
    <t>Red Star FC 93 - AS Beziers</t>
  </si>
  <si>
    <t>c517a87c388c5ce6230b5709a476f367</t>
  </si>
  <si>
    <t>ASC Denain Voltaire - BC Gries Oberhoffen</t>
  </si>
  <si>
    <t>44b1b9a2e25d1ca49de7b121e91edf5a</t>
  </si>
  <si>
    <t>316d8412a7e1710f4080f44f2a9facf3</t>
  </si>
  <si>
    <t>af8f3808915025c342ed0729c469f19c</t>
  </si>
  <si>
    <t>Providence Friars - Wichita State Shockers</t>
  </si>
  <si>
    <t>4bd06a3fba2952d5c1193e73bee15c87</t>
  </si>
  <si>
    <t>East Carolina Pirates - James Madison Dukes</t>
  </si>
  <si>
    <t>394fba9787ee91ff68edb9697b51dadd</t>
  </si>
  <si>
    <t>Samford Bulldogs - Jacksonville State Gamecocks</t>
  </si>
  <si>
    <t>fee8f897094fd0b98f54ff4342f810ff</t>
  </si>
  <si>
    <t>O(186.5)</t>
  </si>
  <si>
    <t>e3bcb5244ec9fd67656b055853f6fcff</t>
  </si>
  <si>
    <t>Consadole Sapporo - Urawa Red Diamonds</t>
  </si>
  <si>
    <t>edfd4f28c3f1048c546524ceb377c81e</t>
  </si>
  <si>
    <t>Nevada Wolf Pack - Pacific Tigers</t>
  </si>
  <si>
    <t>AH1(-20)</t>
  </si>
  <si>
    <t>3288f00956389a640b9dc1716fd24083</t>
  </si>
  <si>
    <t>Oregon Ducks - Eastern Washington Eagles</t>
  </si>
  <si>
    <t>U(147.5)</t>
  </si>
  <si>
    <t>c1a94eb85eb220e8aa2e016817d2177f</t>
  </si>
  <si>
    <t>Iowa State Cyclones - Missouri Tigers</t>
  </si>
  <si>
    <t>3028b11b2d66faaa608f7fec7f68b0c8</t>
  </si>
  <si>
    <t>AZS Koszalin - Anwil Wloclawek</t>
  </si>
  <si>
    <t>U(166.5)</t>
  </si>
  <si>
    <t>5eef20bec124f78a5032baaae601d1bc</t>
  </si>
  <si>
    <t>84ac70186dc6da2278ae3d02c4e098d0</t>
  </si>
  <si>
    <t>b90af13092ef1f54cbbc42622bd8c6bb</t>
  </si>
  <si>
    <t>U(160)</t>
  </si>
  <si>
    <t>963d8a96421f69492ad5f497d29ce5ca</t>
  </si>
  <si>
    <t>Hajduk Split - NK Inter Zapresic</t>
  </si>
  <si>
    <t>305e84d5375901cb4267f60618c1e01b</t>
  </si>
  <si>
    <t>AH2(20)</t>
  </si>
  <si>
    <t>93d8843473c062df14646aa71c7060df</t>
  </si>
  <si>
    <t>Atlético de Rafaela - Central Córdoba</t>
  </si>
  <si>
    <t>ca9975d1ec3ab92e7e4eae0896621740</t>
  </si>
  <si>
    <t>Polonia Warszawa - Huragan Morag</t>
  </si>
  <si>
    <t>13d21cc23473843ddf51e066fa3d5dd5</t>
  </si>
  <si>
    <t>Dumbarton - Stenhousemuir</t>
  </si>
  <si>
    <t>e775280ab274bece83621bf2e178a33a</t>
  </si>
  <si>
    <t>Academico Viseu - CD Mafra</t>
  </si>
  <si>
    <t>297f64b1caf8e2ce18822ce766d6c026</t>
  </si>
  <si>
    <t>Birmingham - Hull</t>
  </si>
  <si>
    <t>f7f0a52adeebefbe41e8a4d9d81a92c5</t>
  </si>
  <si>
    <t>Extremadura UD - Osasuna</t>
  </si>
  <si>
    <t>441241bdeadb23452242254cfbb4b1ee</t>
  </si>
  <si>
    <t>SKU Amstetten - FC Juniors OO</t>
  </si>
  <si>
    <t>fcfbdc132318451b5ff476f724b1637b</t>
  </si>
  <si>
    <t>Helsingborgs - Varbergs BoIS FC</t>
  </si>
  <si>
    <t>3cd708fe71aabe4d28cfc92b8e319eee</t>
  </si>
  <si>
    <t>Lugano - Luzern</t>
  </si>
  <si>
    <t>558f5cce8415ca9c359463979ae8cba1</t>
  </si>
  <si>
    <t>Eastern Michigan Eagles - Akron Zips</t>
  </si>
  <si>
    <t>44b397212a6fef7bdc6e07b211f6d064</t>
  </si>
  <si>
    <t>Yokohama - Fagiano Okayama</t>
  </si>
  <si>
    <t>a6f044cbc04b7357dd34762028f541b5</t>
  </si>
  <si>
    <t>De Graafschap - PSV Eindhoven</t>
  </si>
  <si>
    <t>2e0a2a71b2708b919d9e0e1de762ff9a</t>
  </si>
  <si>
    <t>Moreirense - Portimonense</t>
  </si>
  <si>
    <t>023133ea1809f0e4e76a7d485ce9b85e</t>
  </si>
  <si>
    <t>BC Rilski Sportist Samokov - PBC Academic Sofia</t>
  </si>
  <si>
    <t>AH2(17.5)</t>
  </si>
  <si>
    <t>d9894ce702e8ef0f386f1828acecb31d</t>
  </si>
  <si>
    <t>Australia (w) - Chile (w)</t>
  </si>
  <si>
    <t>U(4.25)</t>
  </si>
  <si>
    <t>05:30</t>
  </si>
  <si>
    <t>1ecbf7f0cdc29dde965da06c9b8ac462</t>
  </si>
  <si>
    <t>Hennef 05 - SV Deutz 05</t>
  </si>
  <si>
    <t>afb74fbff03caba245372b23d2f513c4</t>
  </si>
  <si>
    <t>CSA AL - AC Goianiense GO</t>
  </si>
  <si>
    <t>39d94b7a1b6b803c0303f36426684727</t>
  </si>
  <si>
    <t>Legia Warszawa BC - Twarde Pierniki Torun</t>
  </si>
  <si>
    <t>933d2725affa08e99ca5139dc77e3fbf</t>
  </si>
  <si>
    <t>583adb2ad0dc9a4aec36eab1555d040d</t>
  </si>
  <si>
    <t>V-Varen Nagasaki - Yokohama Marinos</t>
  </si>
  <si>
    <t>c7f0b1b9f25098a566814f0f295d6c3a</t>
  </si>
  <si>
    <t>Paris Basketball - Orleans Loiret Basket</t>
  </si>
  <si>
    <t>cd69f4c48596aed2bbe60e726c061820</t>
  </si>
  <si>
    <t>The New Saints - Caernarfon Town</t>
  </si>
  <si>
    <t>c30019deb41018c1b5c62f1bdb12cab5</t>
  </si>
  <si>
    <t>Nidaros Jets - Kongsberg Miners</t>
  </si>
  <si>
    <t>AH1(21.5)</t>
  </si>
  <si>
    <t>3d16462314ed35f5851dcc96b2f790fe</t>
  </si>
  <si>
    <t>4ec934f014b3c472c3a340360bc08087</t>
  </si>
  <si>
    <t>KK Rogaska Slatina - KK Zlatorog Lasko</t>
  </si>
  <si>
    <t>U(146)</t>
  </si>
  <si>
    <t>9d1604dc8677bbca84f7239dc4815e50</t>
  </si>
  <si>
    <t>UC Davis Aggies - San Diego Toreros</t>
  </si>
  <si>
    <t>76543be0d1f43e7fa8708929ee32eecb</t>
  </si>
  <si>
    <t>SC Freiburg - FSV Mainz 05</t>
  </si>
  <si>
    <t>02ba22514f81edc11c9e1ebe24339f0c</t>
  </si>
  <si>
    <t>Hansa Rostock - Kaiserslautern</t>
  </si>
  <si>
    <t>e0dd433aaa0d8d260bc1f59e87e956c6</t>
  </si>
  <si>
    <t>Memphis Tigers - Tulsa Golden Hurricane</t>
  </si>
  <si>
    <t>O(65.5)</t>
  </si>
  <si>
    <t>4781be57fbe9ec4f47e762d45ada5651</t>
  </si>
  <si>
    <t>BK Pardubice - BK NH Ostrava</t>
  </si>
  <si>
    <t>ac630570c6c4c3a72779c6eb63d104b1</t>
  </si>
  <si>
    <t>Adelaide Lightning (w) - Dandenong Rangers (w)</t>
  </si>
  <si>
    <t>07:30</t>
  </si>
  <si>
    <t>7786e63fd4d0d82f0c6f60965db743a6</t>
  </si>
  <si>
    <t>Bergamo Basket 2014 - Pallacanestro Biella</t>
  </si>
  <si>
    <t>3a57cf97680e43fe150c274a4f3d4c52</t>
  </si>
  <si>
    <t>181110</t>
  </si>
  <si>
    <t>Whitney Osuigwe - Usue Maitane Arconada</t>
  </si>
  <si>
    <t>f3133577018b066b453c20ddcc6e5534</t>
  </si>
  <si>
    <t>Palermo U19 - Udinese U19</t>
  </si>
  <si>
    <t>7c5e64c1b19661d7935f12ba2fc381ad</t>
  </si>
  <si>
    <t>FK Rad - FK Napredak Krusevac</t>
  </si>
  <si>
    <t>517a85c26c3d5ec03c2adbfd3632c1b6</t>
  </si>
  <si>
    <t>Real Madrid Castilla - Burgos CF</t>
  </si>
  <si>
    <t>71dcd872183f877e96f12cdf0ce98592</t>
  </si>
  <si>
    <t>Hebei China Fortune FC - Beijing Guoan</t>
  </si>
  <si>
    <t>43f097b5c59a3b75ebb910d215b0633a</t>
  </si>
  <si>
    <t>FK Gomel - FC Minsk</t>
  </si>
  <si>
    <t>7af9d1bc71631015dafe32c53b06078a</t>
  </si>
  <si>
    <t>Andrey Rublev - Jaume Munar</t>
  </si>
  <si>
    <t>706c9d3883cafdc805e9dc0796fc5fa5</t>
  </si>
  <si>
    <t>AH1(9.5)</t>
  </si>
  <si>
    <t>e4dc5e5e92a6a8a972be064e202fa9db</t>
  </si>
  <si>
    <t>Duquesne Dukes - William &amp; Mary Tribe</t>
  </si>
  <si>
    <t>O(153.5)</t>
  </si>
  <si>
    <t>e649d5a737bce607a3aa9df55e89b8d3</t>
  </si>
  <si>
    <t>Dinamo Vranje - Crvena Zvezda</t>
  </si>
  <si>
    <t>189f7d5d38ae474be8a80e928cac5d3d</t>
  </si>
  <si>
    <t>FC Lviv - Olimpik Donetsk</t>
  </si>
  <si>
    <t>ba2cb3191e9914b1381ae53be9c627c5</t>
  </si>
  <si>
    <t>Inter Milan U19 - Empoli U19</t>
  </si>
  <si>
    <t>2168bdd5c4b62fdfbb32a7c1f003b1e5</t>
  </si>
  <si>
    <t>Mamelodi Sundowns - Orlando Pirates</t>
  </si>
  <si>
    <t>7ca94b9d81aae1a69dfdf11a255d5031</t>
  </si>
  <si>
    <t>Istanbul BBSK - Galatasaray SK</t>
  </si>
  <si>
    <t>O(156.5)</t>
  </si>
  <si>
    <t>4f5b33c378599c18c4ad3910c4811629</t>
  </si>
  <si>
    <t>Atlético de Kolkata - Pune City</t>
  </si>
  <si>
    <t>5e50a2ef2727c363cec352c5ead55e63</t>
  </si>
  <si>
    <t>Union Berlin U19 - FC Magdeburg U19</t>
  </si>
  <si>
    <t>d84196060aff54525a0811768e822b36</t>
  </si>
  <si>
    <t>Sporting Cristal - EM Deportivo Binacional</t>
  </si>
  <si>
    <t>071c1981aa21381f6061f37f4691798a</t>
  </si>
  <si>
    <t>Kaizer Chiefs (n) - Chippa United</t>
  </si>
  <si>
    <t>d47a4a2e9bfab1929c798e7aa4744227</t>
  </si>
  <si>
    <t>NS Mura - ND Gorica</t>
  </si>
  <si>
    <t>7cb314a9fb1b87b3295f3e588bede128</t>
  </si>
  <si>
    <t>Partizan Belgrade - Radnik Surdulica</t>
  </si>
  <si>
    <t>e429f30fb57335cd47cb5f0cb1309339</t>
  </si>
  <si>
    <t>ec94d52b1edaf366218472cc30150ea6</t>
  </si>
  <si>
    <t>CD Izarra - CD Tudelano</t>
  </si>
  <si>
    <t>6dbe1892439344045f729378966f661e</t>
  </si>
  <si>
    <t>Lille Metropole Basket - Caen Basket Calvados</t>
  </si>
  <si>
    <t>d1c3dcf547ff498293efda56d10b1f99</t>
  </si>
  <si>
    <t>ETSV Weiche - Jeddeloh</t>
  </si>
  <si>
    <t>609d3d6cc889a30e1ec6eb2cfc6e3deb</t>
  </si>
  <si>
    <t>Matera Calcio - Viterbese</t>
  </si>
  <si>
    <t>9169d6c1cfe96ff614ea40869182fa91</t>
  </si>
  <si>
    <t>Alexander Bublik - Matthias Bachinger</t>
  </si>
  <si>
    <t>1e9a33b764211a130fcece860c48795c</t>
  </si>
  <si>
    <t>Union Berlin U19 - Magdeburg U19</t>
  </si>
  <si>
    <t>e04d92db3cf9642a9c51be3c81ff6ee5</t>
  </si>
  <si>
    <t>Youngstown State Penguins - Akron Zips</t>
  </si>
  <si>
    <t>5b848bb80336b9f9c5b6e0ea68990dad</t>
  </si>
  <si>
    <t>Pepperdine Waves - CSUN Matadors</t>
  </si>
  <si>
    <t>80c7c07a56a51749b8b797a05e029901</t>
  </si>
  <si>
    <t>Viking - Kongsvinger</t>
  </si>
  <si>
    <t>5a564c4ea385adcb28954f4f93bd63ca</t>
  </si>
  <si>
    <t>La Equidad - América de Cali</t>
  </si>
  <si>
    <t>118ba47f3633e1bd45090d76972b6588</t>
  </si>
  <si>
    <t>London City Royals - Leicester Riders</t>
  </si>
  <si>
    <t>80e938caf141a158fa6f8c8961749dbf</t>
  </si>
  <si>
    <t>Stal Mielec - Garbarnia Kraków</t>
  </si>
  <si>
    <t>fa1765e2ec4d1fb5b5a08de79e31c7e1</t>
  </si>
  <si>
    <t>AH1(-17)</t>
  </si>
  <si>
    <t>e2309ed505e19845bb4b0d330388f674</t>
  </si>
  <si>
    <t>Paksi SE - Budapest Honvéd</t>
  </si>
  <si>
    <t>9069c30e93715ba3506858a600c7da05</t>
  </si>
  <si>
    <t>Viking FK - Kongsvinger IL</t>
  </si>
  <si>
    <t>5b448ba2d8f1d92d1ca2d20deaa41850</t>
  </si>
  <si>
    <t>Gillingham - Hartlepool United</t>
  </si>
  <si>
    <t>3d4393527c270a6f9307e358e728ac29</t>
  </si>
  <si>
    <t>Villarreal B - UE Olot</t>
  </si>
  <si>
    <t>9d008c2ca5320eb4211fe47d0c348357</t>
  </si>
  <si>
    <t>Saint Louis Billikens - Troy Trojans</t>
  </si>
  <si>
    <t>d7c74a677dd942c16138adbaba7805cf</t>
  </si>
  <si>
    <t>Coastal Carolina Chanticleers - Arkansas State Red Wolves</t>
  </si>
  <si>
    <t>O(61)</t>
  </si>
  <si>
    <t>7877fd1fb0c28e746521cab34f59652c</t>
  </si>
  <si>
    <t>Boise State Broncos - Idaho State Bengals</t>
  </si>
  <si>
    <t>AH1(-14)</t>
  </si>
  <si>
    <t>2678b76fae91344bce5ac28487b95e83</t>
  </si>
  <si>
    <t>Mladost Lucani - Vojvodina</t>
  </si>
  <si>
    <t>3977c16e27cc040f97af1cdd4d486a4b</t>
  </si>
  <si>
    <t>UT Arlington Mavericks - Northern Iowa Panthers</t>
  </si>
  <si>
    <t>O(135.5)</t>
  </si>
  <si>
    <t>13b96871c29a1a037225c959eb282527</t>
  </si>
  <si>
    <t>UT-Arlington Mavericks - Northern Iowa Panthers</t>
  </si>
  <si>
    <t>O(134.5)</t>
  </si>
  <si>
    <t>e5c1c2eeaf217bffb58de2bc7c1c0eac</t>
  </si>
  <si>
    <t>Soles de Mexicali - Aguacateros de Michoacan Basquetbol</t>
  </si>
  <si>
    <t>AH1(-9)</t>
  </si>
  <si>
    <t>9199f529276e250058c52bbba9133478</t>
  </si>
  <si>
    <t>Oregon State Beavers - Wyoming Cowboys</t>
  </si>
  <si>
    <t>fec6e8df88e4c1d835a5a074a6458dac</t>
  </si>
  <si>
    <t>Hereford United - FC United of Manchester</t>
  </si>
  <si>
    <t>ab8287b12500370050e9ee7669371ade</t>
  </si>
  <si>
    <t>CD San Roque de Lepe - Cadiz B</t>
  </si>
  <si>
    <t>417b040558639dd119984ada3c182226</t>
  </si>
  <si>
    <t>587b6538e06959533130ff4154256e87</t>
  </si>
  <si>
    <t>Holstein Kiel II - VfL Oldenburg</t>
  </si>
  <si>
    <t>3368f9968d0ee64cf9c65cb87ea774fd</t>
  </si>
  <si>
    <t>BC Balkan - BC Yambol</t>
  </si>
  <si>
    <t>c7ae45920947ae7517db442e11443365</t>
  </si>
  <si>
    <t>Nykopings BIS - Linkoping City</t>
  </si>
  <si>
    <t>bd1a9a55bb8eef4456560cef38d7067a</t>
  </si>
  <si>
    <t>Bidvest Wits FC - Bloemfontein Celtic</t>
  </si>
  <si>
    <t>1589aa824e73e9c0d6b2c28cbeb43577</t>
  </si>
  <si>
    <t>Virtus Francavilla - Siracusa</t>
  </si>
  <si>
    <t>1ac402ac57add3f7bbe2189c45401e7b</t>
  </si>
  <si>
    <t>Sport Boys - Sport Rosario</t>
  </si>
  <si>
    <t>fa461676915ebf8a1e38f32af7fae0b8</t>
  </si>
  <si>
    <t>Saint Peters Peacocks - Delaware Blue Hens</t>
  </si>
  <si>
    <t>84432698ba17ded6738c7813e3bed6d6</t>
  </si>
  <si>
    <t>36dd9a143c94de7b02f98538f9ceeeb9</t>
  </si>
  <si>
    <t>Japan (W) - Norway (W)</t>
  </si>
  <si>
    <t>4695488e21356164374c9e1ebccd36ea</t>
  </si>
  <si>
    <t>Xanthi FC - Panionios</t>
  </si>
  <si>
    <t>d0b296234ac94fa540c8b63ad782dd39</t>
  </si>
  <si>
    <t>Villanova Wildcats - Quinnipiac Bobcats</t>
  </si>
  <si>
    <t>AH2(24)</t>
  </si>
  <si>
    <t>cd208fce0089a6fe4bda39223cd3ff9a</t>
  </si>
  <si>
    <t>ES Setif - JS Saoura</t>
  </si>
  <si>
    <t>e24ba02886dd55693a0f2cdb92dd7ba9</t>
  </si>
  <si>
    <t>Michigan State Spartans - Ohio State Buckeyes</t>
  </si>
  <si>
    <t>a8f794cf95a8517f0582923883ffc8d7</t>
  </si>
  <si>
    <t>Ermis Aradippou - Paphos FC</t>
  </si>
  <si>
    <t>51156d10cb8fbfbd9b85a26cf7070eae</t>
  </si>
  <si>
    <t>Chattanooga Mocs - Eastern Kentucky Colonels</t>
  </si>
  <si>
    <t>9442a14b1d942d3b3853b7f71b2aaa78</t>
  </si>
  <si>
    <t>Flamengo - Vasco da Gama</t>
  </si>
  <si>
    <t>AH2(16.5)</t>
  </si>
  <si>
    <t>634a12b3db582d2bda4376890255f213</t>
  </si>
  <si>
    <t>Real Sociedad B - SD Leioa</t>
  </si>
  <si>
    <t>0ac4665fecbeef1fcb2c84efd90250d6</t>
  </si>
  <si>
    <t>Maccabi Tel-Aviv - Hapoel Unet Holon</t>
  </si>
  <si>
    <t>1eef9566d9ab6495f5fb1cd000623589</t>
  </si>
  <si>
    <t>BK Valmiera - BC Kalev</t>
  </si>
  <si>
    <t>AH2(-26.5)</t>
  </si>
  <si>
    <t>c2dd40770bf3ba5296e8ae3961a5e91e</t>
  </si>
  <si>
    <t>b6cca1ec00bb3efaf39adff33a396a2d</t>
  </si>
  <si>
    <t>FC Aarau - FC Rapperswil Jona</t>
  </si>
  <si>
    <t>1c1eb69d2bd398b91db74fb8efdc0c42</t>
  </si>
  <si>
    <t>Cleveland State Vikings - Kent State Golden Flashes</t>
  </si>
  <si>
    <t>47c5e481b944a18d32cf30560eaef321</t>
  </si>
  <si>
    <t>O(140.5)</t>
  </si>
  <si>
    <t>b1736b1761b9c9c02ceffbd592478e23</t>
  </si>
  <si>
    <t>Portland State Vikings - UC Riverside Highlanders</t>
  </si>
  <si>
    <t>3d32bd42ceadce1934d2d2e7320386ac</t>
  </si>
  <si>
    <t>Difaa Hassani Jadidi - FUS Rabat</t>
  </si>
  <si>
    <t>43d54b48328aae8ede8ac05793a723f9</t>
  </si>
  <si>
    <t>CSKA Moscow - Zenit Saint-Petersburg</t>
  </si>
  <si>
    <t>b94acbc1faa0c1b8af217ea51b84ef50</t>
  </si>
  <si>
    <t>Purdue Boilermakers - Ball State Cardinals</t>
  </si>
  <si>
    <t>ab100b05391e11a7f721350bee68ddee</t>
  </si>
  <si>
    <t>San Sebastian Gipuzkoa BC - Burgos</t>
  </si>
  <si>
    <t>a3d818727af9ae24fa913ed06e2f3c07</t>
  </si>
  <si>
    <t>Bisceglie 1913 - Monopoli</t>
  </si>
  <si>
    <t>da3b13cf6113acf09ef5e61a51a43a6f</t>
  </si>
  <si>
    <t>e4e177c16c38e2bb89d74eecc8eed784</t>
  </si>
  <si>
    <t>O(149.5)</t>
  </si>
  <si>
    <t>4b35b6397cc7d2aec9aed97bc95070ff</t>
  </si>
  <si>
    <t>Cavese - Juve Stabia</t>
  </si>
  <si>
    <t>9b05795e945c8c81267333a3647e9268</t>
  </si>
  <si>
    <t>181111</t>
  </si>
  <si>
    <t>Ohio State Buckeyes - IPFW Mastodons</t>
  </si>
  <si>
    <t>AH1(-17.5)</t>
  </si>
  <si>
    <t>04565b83f4afe226dcd2551cf4a70848</t>
  </si>
  <si>
    <t>Malaysia - Laos</t>
  </si>
  <si>
    <t>5007489f9ac675133c2d0581736149e9</t>
  </si>
  <si>
    <t>UA Horta - Santfeliuenc FC</t>
  </si>
  <si>
    <t>d77150105956eca7eb9d84c335e62a9c</t>
  </si>
  <si>
    <t>AS Giana Erminio - Sudtirol</t>
  </si>
  <si>
    <t>36f75dd4d71a61399a614265a6af4f1c</t>
  </si>
  <si>
    <t>AD UCR - Asociacion Deportiva San Carlos</t>
  </si>
  <si>
    <t>f1077415efda59e14e7cf29d5f48ddf6</t>
  </si>
  <si>
    <t>Herediano - Limon FC</t>
  </si>
  <si>
    <t>f1f12b7b6d5cc5b9b2ab328a30f6a3a4</t>
  </si>
  <si>
    <t>Hercules CF - CD Castellon</t>
  </si>
  <si>
    <t>7678916b97e1e0fea180d610b5a03661</t>
  </si>
  <si>
    <t>Rutgers Scarlet Knights - Drexel Dragons</t>
  </si>
  <si>
    <t>c592f75c32444bebb8572f84f089547a</t>
  </si>
  <si>
    <t>Jocoro FC - CD Fas</t>
  </si>
  <si>
    <t>8791c069abe99f0380104f41d19baeeb</t>
  </si>
  <si>
    <t>Hawaii Rainbow Warriors - North Texas Mean Green</t>
  </si>
  <si>
    <t>U(140.5)</t>
  </si>
  <si>
    <t>21bcce5618c7063c68caaa5d6b15d9d5</t>
  </si>
  <si>
    <t>Nebraska Cornhuskers - Southeastern Louisiana Lions</t>
  </si>
  <si>
    <t>5ca6e0880c673302fb41efcc44968dab</t>
  </si>
  <si>
    <t>Hapoel Gilboa Galil BC - Ironi Nahariya BC</t>
  </si>
  <si>
    <t>cc1fdb6b67d2df13889de3d83f558a54</t>
  </si>
  <si>
    <t>O(150.5)</t>
  </si>
  <si>
    <t>2180dbd544c9970689cffa91ff2a4257</t>
  </si>
  <si>
    <t>Saint Marys Gaels - Utah Valley Wolverines</t>
  </si>
  <si>
    <t>AH2(9)</t>
  </si>
  <si>
    <t>4f90c517900cb51f9ffe908f3da7f26c</t>
  </si>
  <si>
    <t>Municipal Perez Zeledon - CS Cartagines</t>
  </si>
  <si>
    <t>3a8e227e46cfa85d01173f524946b3fa</t>
  </si>
  <si>
    <t>SV Wehen Wiesbaden - Carl Zeiss Jena</t>
  </si>
  <si>
    <t>c835dbb5cc0c8a7596f8a8fbb29ae259</t>
  </si>
  <si>
    <t>181112</t>
  </si>
  <si>
    <t>Junior - Jaguares de Córdoba</t>
  </si>
  <si>
    <t>e4a910f070cd80e57d10bed4db4440e5</t>
  </si>
  <si>
    <t>New York Red Bulls - Columbus Crew</t>
  </si>
  <si>
    <t>bf6dc02642ffb4c24f5c967c17f63236</t>
  </si>
  <si>
    <t>Seattle Redhawks - Bryant Bulldogs</t>
  </si>
  <si>
    <t>7ef8b5cd71088c78f2dc476042b921ee</t>
  </si>
  <si>
    <t>Su Jeong Jang - Lizette Cabrera</t>
  </si>
  <si>
    <t>0b9e41dcba5e908355f787136fa62066</t>
  </si>
  <si>
    <t>FC Helsingor - Viborg</t>
  </si>
  <si>
    <t>f9025541d5e0ad7eb509ac1beafbb78c</t>
  </si>
  <si>
    <t>Arthur De Greef - Gastao Elias</t>
  </si>
  <si>
    <t>3618402608649765d1b779b2b83eb6bb</t>
  </si>
  <si>
    <t>O(141.5)</t>
  </si>
  <si>
    <t>7e1b96a6702546d2b2432590715fa6e3</t>
  </si>
  <si>
    <t>Barangay Ginebra San Miguel - Magnolia Hotshots</t>
  </si>
  <si>
    <t>4e801c5733f837c46d6fa72634f1b896</t>
  </si>
  <si>
    <t>Nueva Chicago - Gimnasia y Esgrima de Mendoza</t>
  </si>
  <si>
    <t>19:35</t>
  </si>
  <si>
    <t>d89c31424e6eafef90321733e72ae6aa</t>
  </si>
  <si>
    <t>BC Lulea - Uppsala Basket</t>
  </si>
  <si>
    <t>dcdc0dc78c566c85ad8aabe44900d527</t>
  </si>
  <si>
    <t>SK Slavia Praha U21 - Hradec Kralove U21</t>
  </si>
  <si>
    <t>a9177eec6aa0d656713fd6a1ddce86ee</t>
  </si>
  <si>
    <t>Vejle (R) - Lyngby (R)</t>
  </si>
  <si>
    <t>d5ea9eb1d9f9bb47d5c265114f4a368a</t>
  </si>
  <si>
    <t>Myanmar - Cambodia</t>
  </si>
  <si>
    <t>cdbf2e6807fa570599c9b3575582bb48</t>
  </si>
  <si>
    <t>Club Olimpo - Club Almagro</t>
  </si>
  <si>
    <t>514e5007cd2b1e689d5064f35d387ac7</t>
  </si>
  <si>
    <t>262dc17322c4a2b160e5b3e83c45caa9</t>
  </si>
  <si>
    <t>884e247bcdda191395429609eb94f9e0</t>
  </si>
  <si>
    <t>O(169)</t>
  </si>
  <si>
    <t>2c16ca97a276c8e5f9fc83ca5b816da5</t>
  </si>
  <si>
    <t>Vejle BK (R) - Lyngby BK (R)</t>
  </si>
  <si>
    <t>c4d3e6649438838c93f62fc7d938456d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</si>
</sst>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h:mm;@"/>
  </numFmts>
  <fonts count="62" x14ac:knownFonts="1">
    <font>
      <sz val="11"/>
      <color theme="1"/>
      <name val="Calibri"/>
      <family val="2"/>
      <scheme val="minor"/>
    </font>
    <font>
      <b/>
      <sz val="11"/>
      <color theme="0"/>
      <name val="Calibri"/>
      <family val="2"/>
      <scheme val="minor"/>
    </font>
    <font>
      <b/>
      <sz val="8"/>
      <color indexed="81"/>
      <name val="Tahoma"/>
      <family val="2"/>
    </font>
    <font>
      <sz val="8"/>
      <color indexed="81"/>
      <name val="Tahoma"/>
      <family val="2"/>
    </font>
    <font>
      <i/>
      <sz val="8"/>
      <color indexed="81"/>
      <name val="Tahoma"/>
      <family val="2"/>
    </font>
    <font>
      <b/>
      <i/>
      <sz val="8"/>
      <color indexed="81"/>
      <name val="Tahoma"/>
      <family val="2"/>
    </font>
    <font>
      <i/>
      <u/>
      <sz val="8"/>
      <color indexed="81"/>
      <name val="Tahoma"/>
      <family val="2"/>
    </font>
    <font>
      <sz val="11"/>
      <color theme="0" tint="-0.249977111117893"/>
      <name val="Calibri"/>
      <family val="2"/>
      <scheme val="minor"/>
    </font>
    <font>
      <sz val="11"/>
      <color theme="0" tint="-0.34998626667073579"/>
      <name val="Calibri"/>
      <family val="2"/>
      <scheme val="minor"/>
    </font>
    <font>
      <sz val="14"/>
      <color rgb="FF17365D"/>
      <name val="Cambria"/>
      <family val="1"/>
    </font>
    <font>
      <u/>
      <sz val="11"/>
      <color theme="10"/>
      <name val="Calibri"/>
      <family val="2"/>
    </font>
    <font>
      <sz val="11"/>
      <color rgb="FFC00000"/>
      <name val="Calibri"/>
      <family val="2"/>
      <scheme val="minor"/>
    </font>
    <font>
      <sz val="11"/>
      <color rgb="FF000000"/>
      <name val="Calibri"/>
      <family val="2"/>
      <scheme val="minor"/>
    </font>
    <font>
      <b/>
      <sz val="11"/>
      <color rgb="FF000000"/>
      <name val="Calibri"/>
      <family val="2"/>
      <scheme val="minor"/>
    </font>
    <font>
      <sz val="7"/>
      <color rgb="FF000000"/>
      <name val="Times New Roman"/>
      <family val="1"/>
    </font>
    <font>
      <i/>
      <sz val="11"/>
      <color rgb="FF000000"/>
      <name val="Calibri"/>
      <family val="2"/>
      <scheme val="minor"/>
    </font>
    <font>
      <sz val="11"/>
      <color rgb="FF000000"/>
      <name val="Symbol"/>
      <family val="1"/>
      <charset val="2"/>
    </font>
    <font>
      <sz val="14"/>
      <color rgb="FF538ED5"/>
      <name val="Cambria"/>
      <family val="1"/>
      <scheme val="major"/>
    </font>
    <font>
      <sz val="11"/>
      <name val="Calibri"/>
      <family val="2"/>
      <scheme val="minor"/>
    </font>
    <font>
      <u/>
      <sz val="11"/>
      <color rgb="FF000000"/>
      <name val="Calibri"/>
      <family val="2"/>
      <scheme val="minor"/>
    </font>
    <font>
      <b/>
      <sz val="11"/>
      <name val="Calibri"/>
      <family val="2"/>
      <scheme val="minor"/>
    </font>
    <font>
      <b/>
      <sz val="11"/>
      <color rgb="FFC00000"/>
      <name val="Calibri"/>
      <family val="2"/>
      <scheme val="minor"/>
    </font>
    <font>
      <i/>
      <sz val="11"/>
      <color rgb="FFFF0000"/>
      <name val="Calibri"/>
      <family val="2"/>
      <scheme val="minor"/>
    </font>
    <font>
      <i/>
      <sz val="11"/>
      <color theme="0" tint="-0.499984740745262"/>
      <name val="Calibri"/>
      <family val="2"/>
      <scheme val="minor"/>
    </font>
    <font>
      <b/>
      <sz val="8"/>
      <color theme="0"/>
      <name val="Calibri"/>
      <family val="2"/>
      <scheme val="minor"/>
    </font>
    <font>
      <b/>
      <sz val="8"/>
      <color theme="0" tint="-0.34998626667073579"/>
      <name val="Calibri"/>
      <family val="2"/>
      <scheme val="minor"/>
    </font>
    <font>
      <b/>
      <sz val="8"/>
      <color theme="0" tint="-0.499984740745262"/>
      <name val="Calibri"/>
      <family val="2"/>
      <scheme val="minor"/>
    </font>
    <font>
      <sz val="8"/>
      <color theme="1"/>
      <name val="Calibri"/>
      <family val="2"/>
      <scheme val="minor"/>
    </font>
    <font>
      <sz val="8"/>
      <color theme="0" tint="-0.34998626667073579"/>
      <name val="Calibri"/>
      <family val="2"/>
      <scheme val="minor"/>
    </font>
    <font>
      <sz val="8"/>
      <color theme="3" tint="0.39997558519241921"/>
      <name val="Calibri"/>
      <family val="2"/>
      <scheme val="minor"/>
    </font>
    <font>
      <sz val="8"/>
      <color rgb="FF00B050"/>
      <name val="Calibri"/>
      <family val="2"/>
      <scheme val="minor"/>
    </font>
    <font>
      <sz val="8"/>
      <color theme="4" tint="0.39997558519241921"/>
      <name val="Calibri"/>
      <family val="2"/>
      <scheme val="minor"/>
    </font>
    <font>
      <sz val="8"/>
      <color theme="1"/>
      <name val="Calibri"/>
      <family val="2"/>
      <scheme val="minor"/>
    </font>
    <font>
      <sz val="11"/>
      <color theme="1"/>
      <name val="Calibri"/>
      <family val="2"/>
      <scheme val="minor"/>
    </font>
    <font>
      <b/>
      <sz val="11"/>
      <color rgb="FF000000"/>
      <name val="Calibri"/>
      <family val="2"/>
    </font>
    <font>
      <sz val="11"/>
      <color theme="1"/>
      <name val="Calibri"/>
      <family val="2"/>
    </font>
    <font>
      <sz val="9"/>
      <color indexed="81"/>
      <name val="Tahoma"/>
      <family val="2"/>
    </font>
    <font>
      <b/>
      <sz val="9"/>
      <color indexed="81"/>
      <name val="Tahoma"/>
      <family val="2"/>
    </font>
    <font>
      <sz val="11"/>
      <color rgb="FFFF0000"/>
      <name val="Calibri"/>
      <family val="2"/>
      <scheme val="minor"/>
    </font>
    <font>
      <b/>
      <i/>
      <sz val="11"/>
      <color rgb="FF000000"/>
      <name val="Calibri"/>
      <family val="2"/>
      <scheme val="minor"/>
    </font>
    <font>
      <sz val="8"/>
      <color theme="1"/>
      <name val="Calibri"/>
      <family val="2"/>
      <charset val="238"/>
      <scheme val="minor"/>
    </font>
    <font>
      <sz val="8"/>
      <color theme="4" tint="0.39997558519241921"/>
      <name val="Calibri"/>
      <family val="2"/>
      <charset val="238"/>
      <scheme val="minor"/>
    </font>
    <font>
      <sz val="8"/>
      <color theme="1"/>
      <name val="Calibri"/>
      <family val="2"/>
      <charset val="238"/>
      <scheme val="minor"/>
    </font>
    <font>
      <sz val="8"/>
      <color theme="4" tint="0.39997558519241921"/>
      <name val="Calibri"/>
      <family val="2"/>
      <charset val="238"/>
      <scheme val="minor"/>
    </font>
    <font>
      <sz val="8"/>
      <color theme="1"/>
      <name val="Calibri"/>
      <family val="2"/>
      <charset val="238"/>
      <scheme val="minor"/>
    </font>
    <font>
      <sz val="8"/>
      <color theme="4" tint="0.39997558519241921"/>
      <name val="Calibri"/>
      <family val="2"/>
      <charset val="238"/>
      <scheme val="minor"/>
    </font>
    <font>
      <sz val="8"/>
      <color theme="1"/>
      <name val="Calibri"/>
      <family val="2"/>
      <charset val="238"/>
      <scheme val="minor"/>
    </font>
    <font>
      <sz val="8"/>
      <color theme="4" tint="0.39997558519241921"/>
      <name val="Calibri"/>
      <family val="2"/>
      <charset val="238"/>
      <scheme val="minor"/>
    </font>
    <font>
      <sz val="8"/>
      <color theme="1"/>
      <name val="Calibri"/>
      <family val="2"/>
      <charset val="238"/>
      <scheme val="minor"/>
    </font>
    <font>
      <sz val="8"/>
      <color theme="4" tint="0.39997558519241921"/>
      <name val="Calibri"/>
      <family val="2"/>
      <charset val="238"/>
      <scheme val="minor"/>
    </font>
    <font>
      <sz val="8"/>
      <color theme="1"/>
      <name val="Calibri"/>
      <family val="2"/>
      <charset val="238"/>
      <scheme val="minor"/>
    </font>
    <font>
      <sz val="8"/>
      <color theme="4" tint="0.39997558519241921"/>
      <name val="Calibri"/>
      <family val="2"/>
      <charset val="238"/>
      <scheme val="minor"/>
    </font>
    <font>
      <sz val="8"/>
      <color theme="1"/>
      <name val="Calibri"/>
      <family val="2"/>
      <charset val="238"/>
      <scheme val="minor"/>
    </font>
    <font>
      <sz val="8"/>
      <color theme="4" tint="0.39997558519241921"/>
      <name val="Calibri"/>
      <family val="2"/>
      <charset val="238"/>
      <scheme val="minor"/>
    </font>
    <font>
      <sz val="8"/>
      <color theme="1"/>
      <name val="Calibri"/>
      <family val="2"/>
      <charset val="238"/>
      <scheme val="minor"/>
    </font>
    <font>
      <sz val="8"/>
      <color theme="4" tint="0.39997558519241921"/>
      <name val="Calibri"/>
      <family val="2"/>
      <charset val="238"/>
      <scheme val="minor"/>
    </font>
    <font>
      <sz val="8"/>
      <color theme="1"/>
      <name val="Calibri"/>
      <family val="2"/>
      <charset val="238"/>
      <scheme val="minor"/>
    </font>
    <font>
      <sz val="8"/>
      <color theme="4" tint="0.39997558519241921"/>
      <name val="Calibri"/>
      <family val="2"/>
      <charset val="238"/>
      <scheme val="minor"/>
    </font>
    <font>
      <sz val="8"/>
      <color theme="1"/>
      <name val="Calibri"/>
      <family val="2"/>
      <charset val="238"/>
      <scheme val="minor"/>
    </font>
    <font>
      <sz val="8"/>
      <color theme="4" tint="0.39997558519241921"/>
      <name val="Calibri"/>
      <family val="2"/>
      <charset val="238"/>
      <scheme val="minor"/>
    </font>
    <font>
      <sz val="8"/>
      <color theme="1"/>
      <name val="Calibri"/>
      <family val="2"/>
      <charset val="238"/>
      <scheme val="minor"/>
    </font>
    <font>
      <sz val="8"/>
      <color theme="4" tint="0.39997558519241921"/>
      <name val="Calibri"/>
      <family val="2"/>
      <charset val="238"/>
      <scheme val="minor"/>
    </font>
  </fonts>
  <fills count="12">
    <fill>
      <patternFill patternType="none"/>
    </fill>
    <fill>
      <patternFill patternType="gray125"/>
    </fill>
    <fill>
      <patternFill patternType="solid">
        <fgColor theme="1"/>
        <bgColor theme="1"/>
      </patternFill>
    </fill>
    <fill>
      <patternFill patternType="solid">
        <fgColor theme="0" tint="-4.9989318521683403E-2"/>
        <bgColor indexed="64"/>
      </patternFill>
    </fill>
    <fill>
      <patternFill patternType="solid">
        <fgColor theme="9" tint="-0.249977111117893"/>
        <bgColor theme="1"/>
      </patternFill>
    </fill>
    <fill>
      <patternFill patternType="solid">
        <fgColor theme="4"/>
        <bgColor theme="4"/>
      </patternFill>
    </fill>
    <fill>
      <patternFill patternType="solid">
        <fgColor theme="4" tint="0.79998168889431442"/>
        <bgColor theme="4" tint="0.79998168889431442"/>
      </patternFill>
    </fill>
    <fill>
      <patternFill patternType="solid">
        <fgColor theme="5" tint="0.39997558519241921"/>
        <bgColor theme="4"/>
      </patternFill>
    </fill>
    <fill>
      <patternFill patternType="solid">
        <fgColor rgb="FF00B0F0"/>
        <bgColor theme="4"/>
      </patternFill>
    </fill>
    <fill>
      <patternFill patternType="solid">
        <fgColor rgb="FF00B0F0"/>
        <bgColor indexed="64"/>
      </patternFill>
    </fill>
    <fill>
      <patternFill patternType="solid">
        <fgColor theme="9" tint="-0.249977111117893"/>
        <bgColor indexed="64"/>
      </patternFill>
    </fill>
    <fill>
      <patternFill patternType="solid">
        <fgColor rgb="FFFFC000"/>
        <bgColor theme="4"/>
      </patternFill>
    </fill>
  </fills>
  <borders count="12">
    <border>
      <left/>
      <right/>
      <top/>
      <bottom/>
      <diagonal/>
    </border>
    <border>
      <left/>
      <right/>
      <top/>
      <bottom style="thin">
        <color theme="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1"/>
      </left>
      <right style="thin">
        <color theme="1"/>
      </right>
      <top style="thin">
        <color theme="1"/>
      </top>
      <bottom style="medium">
        <color theme="1"/>
      </bottom>
      <diagonal/>
    </border>
    <border>
      <left/>
      <right/>
      <top style="medium">
        <color indexed="64"/>
      </top>
      <bottom/>
      <diagonal/>
    </border>
    <border>
      <left/>
      <right/>
      <top/>
      <bottom style="thin">
        <color theme="4" tint="0.39997558519241921"/>
      </bottom>
      <diagonal/>
    </border>
    <border>
      <left/>
      <right/>
      <top style="thin">
        <color indexed="64"/>
      </top>
      <bottom/>
      <diagonal/>
    </border>
  </borders>
  <cellStyleXfs count="2">
    <xf numFmtId="0" fontId="0" fillId="0" borderId="0"/>
    <xf numFmtId="0" fontId="10" fillId="0" borderId="0" applyNumberFormat="0" applyFill="0" applyBorder="0" applyAlignment="0" applyProtection="0">
      <alignment vertical="top"/>
      <protection locked="0"/>
    </xf>
  </cellStyleXfs>
  <cellXfs count="294">
    <xf numFmtId="0" fontId="0" fillId="0" borderId="0" xfId="0"/>
    <xf numFmtId="0" fontId="0" fillId="0" borderId="0" xfId="0"/>
    <xf numFmtId="0" fontId="0" fillId="0" borderId="0" xfId="0" applyAlignment="1">
      <alignment horizontal="right"/>
    </xf>
    <xf numFmtId="0" fontId="0" fillId="0" borderId="0" xfId="0" applyAlignment="1">
      <alignment horizontal="left"/>
    </xf>
    <xf numFmtId="0" fontId="0" fillId="0" borderId="0" xfId="0"/>
    <xf numFmtId="0" fontId="0" fillId="0" borderId="0" xfId="0" applyFont="1"/>
    <xf numFmtId="0" fontId="0" fillId="0" borderId="0" xfId="0" applyAlignment="1"/>
    <xf numFmtId="0" fontId="0" fillId="0" borderId="0" xfId="0"/>
    <xf numFmtId="2" fontId="0" fillId="0" borderId="0" xfId="0" applyNumberFormat="1"/>
    <xf numFmtId="0" fontId="0" fillId="0" borderId="0" xfId="0" applyNumberFormat="1"/>
    <xf numFmtId="0" fontId="0" fillId="0" borderId="0" xfId="0" applyBorder="1"/>
    <xf numFmtId="2" fontId="0" fillId="0" borderId="0" xfId="0" applyNumberFormat="1" applyFont="1"/>
    <xf numFmtId="0" fontId="0" fillId="0" borderId="0" xfId="0" applyNumberFormat="1" applyFont="1"/>
    <xf numFmtId="0" fontId="0" fillId="0" borderId="0" xfId="0" applyNumberFormat="1" applyFont="1" applyBorder="1"/>
    <xf numFmtId="0" fontId="0" fillId="0" borderId="0" xfId="0" applyNumberFormat="1" applyBorder="1"/>
    <xf numFmtId="2" fontId="0" fillId="0" borderId="0" xfId="0" applyNumberFormat="1" applyFont="1" applyBorder="1"/>
    <xf numFmtId="2" fontId="0" fillId="0" borderId="0" xfId="0" applyNumberFormat="1" applyBorder="1"/>
    <xf numFmtId="0" fontId="0" fillId="0" borderId="0" xfId="0" applyBorder="1" applyAlignment="1">
      <alignment horizontal="right"/>
    </xf>
    <xf numFmtId="10" fontId="7" fillId="0" borderId="0" xfId="0" applyNumberFormat="1" applyFont="1"/>
    <xf numFmtId="10" fontId="8" fillId="0" borderId="0" xfId="0" applyNumberFormat="1" applyFont="1"/>
    <xf numFmtId="0" fontId="7" fillId="0" borderId="0" xfId="0" applyFont="1" applyAlignment="1">
      <alignment horizontal="right"/>
    </xf>
    <xf numFmtId="10" fontId="8" fillId="0" borderId="0" xfId="0" applyNumberFormat="1" applyFont="1" applyAlignment="1">
      <alignment horizontal="right"/>
    </xf>
    <xf numFmtId="10" fontId="8" fillId="0" borderId="0" xfId="0" applyNumberFormat="1" applyFont="1" applyBorder="1"/>
    <xf numFmtId="2" fontId="0" fillId="0" borderId="5" xfId="0" applyNumberFormat="1" applyBorder="1"/>
    <xf numFmtId="2" fontId="0" fillId="0" borderId="7" xfId="0" applyNumberFormat="1" applyBorder="1"/>
    <xf numFmtId="0" fontId="0" fillId="0" borderId="4" xfId="0" applyBorder="1"/>
    <xf numFmtId="0" fontId="0" fillId="0" borderId="6" xfId="0" applyBorder="1"/>
    <xf numFmtId="49" fontId="1" fillId="2" borderId="8" xfId="0" applyNumberFormat="1" applyFont="1" applyFill="1" applyBorder="1"/>
    <xf numFmtId="0" fontId="0" fillId="0" borderId="0" xfId="0" applyAlignment="1">
      <alignment horizontal="left" indent="4"/>
    </xf>
    <xf numFmtId="0" fontId="0" fillId="0" borderId="0" xfId="0" applyAlignment="1">
      <alignment horizontal="left" indent="2"/>
    </xf>
    <xf numFmtId="0" fontId="12" fillId="0" borderId="0" xfId="0" applyFont="1"/>
    <xf numFmtId="0" fontId="0" fillId="0" borderId="0" xfId="0" applyAlignment="1">
      <alignment indent="8"/>
    </xf>
    <xf numFmtId="0" fontId="12" fillId="0" borderId="0" xfId="0" applyFont="1" applyAlignment="1">
      <alignment horizontal="left" indent="4"/>
    </xf>
    <xf numFmtId="0" fontId="15" fillId="0" borderId="9" xfId="0" applyFont="1" applyBorder="1" applyAlignment="1">
      <alignment horizontal="left" indent="8"/>
    </xf>
    <xf numFmtId="0" fontId="12" fillId="0" borderId="9" xfId="0" applyFont="1" applyBorder="1"/>
    <xf numFmtId="0" fontId="15" fillId="0" borderId="0" xfId="0" applyFont="1" applyAlignment="1">
      <alignment horizontal="left" indent="4"/>
    </xf>
    <xf numFmtId="0" fontId="0" fillId="0" borderId="0" xfId="0"/>
    <xf numFmtId="0" fontId="12" fillId="0" borderId="0" xfId="0" applyFont="1" applyBorder="1"/>
    <xf numFmtId="0" fontId="10" fillId="0" borderId="0" xfId="1" applyAlignment="1" applyProtection="1">
      <alignment horizontal="left" indent="8"/>
    </xf>
    <xf numFmtId="0" fontId="12" fillId="0" borderId="0" xfId="0" applyFont="1"/>
    <xf numFmtId="0" fontId="0" fillId="0" borderId="0" xfId="0"/>
    <xf numFmtId="0" fontId="12" fillId="0" borderId="0" xfId="0" applyFont="1"/>
    <xf numFmtId="0" fontId="0" fillId="0" borderId="0" xfId="0"/>
    <xf numFmtId="0" fontId="0" fillId="0" borderId="0" xfId="0"/>
    <xf numFmtId="0" fontId="8" fillId="0" borderId="5" xfId="0" applyFont="1" applyBorder="1"/>
    <xf numFmtId="0" fontId="15" fillId="0" borderId="0" xfId="0" applyFont="1"/>
    <xf numFmtId="0" fontId="0" fillId="0" borderId="0" xfId="0"/>
    <xf numFmtId="0" fontId="0" fillId="0" borderId="0" xfId="0"/>
    <xf numFmtId="0" fontId="0" fillId="3" borderId="0" xfId="0" applyFont="1" applyFill="1" applyBorder="1" applyAlignment="1">
      <alignment horizontal="center"/>
    </xf>
    <xf numFmtId="0" fontId="8" fillId="0" borderId="0" xfId="0" applyFont="1" applyBorder="1"/>
    <xf numFmtId="0" fontId="0" fillId="0" borderId="0" xfId="0"/>
    <xf numFmtId="0" fontId="12" fillId="0" borderId="0" xfId="0" applyFont="1" applyAlignment="1">
      <alignment horizontal="left" indent="4"/>
    </xf>
    <xf numFmtId="0" fontId="0" fillId="0" borderId="0" xfId="0"/>
    <xf numFmtId="0" fontId="13" fillId="0" borderId="0" xfId="0" applyFont="1" applyAlignment="1">
      <alignment horizontal="left" indent="6"/>
    </xf>
    <xf numFmtId="0" fontId="12" fillId="0" borderId="0" xfId="0" applyFont="1"/>
    <xf numFmtId="0" fontId="0" fillId="0" borderId="0" xfId="0"/>
    <xf numFmtId="0" fontId="13" fillId="0" borderId="0" xfId="0" applyFont="1"/>
    <xf numFmtId="0" fontId="0" fillId="0" borderId="0" xfId="0"/>
    <xf numFmtId="0" fontId="1" fillId="5" borderId="10" xfId="0" applyFont="1" applyFill="1" applyBorder="1"/>
    <xf numFmtId="0" fontId="0" fillId="6" borderId="0" xfId="0" applyFont="1" applyFill="1" applyBorder="1"/>
    <xf numFmtId="0" fontId="0" fillId="6" borderId="0" xfId="0" applyNumberFormat="1" applyFont="1" applyFill="1" applyBorder="1"/>
    <xf numFmtId="2" fontId="0" fillId="6" borderId="0" xfId="0" applyNumberFormat="1" applyFont="1" applyFill="1" applyBorder="1"/>
    <xf numFmtId="0" fontId="0" fillId="6" borderId="0" xfId="0" applyFont="1" applyFill="1"/>
    <xf numFmtId="0" fontId="0" fillId="6" borderId="0" xfId="0" applyNumberFormat="1" applyFont="1" applyFill="1"/>
    <xf numFmtId="2" fontId="1" fillId="8" borderId="10" xfId="0" applyNumberFormat="1" applyFont="1" applyFill="1" applyBorder="1"/>
    <xf numFmtId="0" fontId="1" fillId="8" borderId="10" xfId="0" applyFont="1" applyFill="1" applyBorder="1"/>
    <xf numFmtId="0" fontId="1" fillId="9" borderId="10" xfId="0" applyFont="1" applyFill="1" applyBorder="1"/>
    <xf numFmtId="0" fontId="1" fillId="7" borderId="10" xfId="0" applyFont="1" applyFill="1" applyBorder="1"/>
    <xf numFmtId="49" fontId="24" fillId="2" borderId="0" xfId="0" applyNumberFormat="1" applyFont="1" applyFill="1" applyBorder="1" applyProtection="1">
      <protection locked="0"/>
    </xf>
    <xf numFmtId="49" fontId="25" fillId="2" borderId="0" xfId="0" applyNumberFormat="1" applyFont="1" applyFill="1" applyBorder="1" applyProtection="1">
      <protection locked="0"/>
    </xf>
    <xf numFmtId="49" fontId="26" fillId="2" borderId="0" xfId="0" applyNumberFormat="1" applyFont="1" applyFill="1" applyBorder="1" applyProtection="1">
      <protection locked="0"/>
    </xf>
    <xf numFmtId="0" fontId="26" fillId="2" borderId="1" xfId="0" applyFont="1" applyFill="1" applyBorder="1" applyProtection="1">
      <protection locked="0"/>
    </xf>
    <xf numFmtId="2" fontId="26" fillId="2" borderId="1" xfId="0" applyNumberFormat="1" applyFont="1" applyFill="1" applyBorder="1" applyProtection="1">
      <protection locked="0"/>
    </xf>
    <xf numFmtId="2" fontId="24" fillId="4" borderId="1" xfId="0" applyNumberFormat="1" applyFont="1" applyFill="1" applyBorder="1" applyProtection="1">
      <protection locked="0"/>
    </xf>
    <xf numFmtId="9" fontId="24" fillId="4" borderId="1" xfId="0" applyNumberFormat="1" applyFont="1" applyFill="1" applyBorder="1" applyProtection="1">
      <protection locked="0"/>
    </xf>
    <xf numFmtId="9" fontId="26" fillId="2" borderId="1" xfId="0" applyNumberFormat="1" applyFont="1" applyFill="1" applyBorder="1" applyProtection="1">
      <protection locked="0"/>
    </xf>
    <xf numFmtId="9" fontId="24" fillId="10" borderId="1" xfId="0" applyNumberFormat="1" applyFont="1" applyFill="1" applyBorder="1" applyProtection="1">
      <protection locked="0"/>
    </xf>
    <xf numFmtId="0" fontId="24" fillId="10" borderId="1" xfId="0" applyNumberFormat="1" applyFont="1" applyFill="1" applyBorder="1" applyProtection="1">
      <protection locked="0"/>
    </xf>
    <xf numFmtId="49" fontId="24" fillId="10" borderId="0" xfId="0" applyNumberFormat="1" applyFont="1" applyFill="1" applyBorder="1" applyProtection="1">
      <protection locked="0"/>
    </xf>
    <xf numFmtId="0" fontId="27" fillId="0" borderId="0" xfId="0" applyFont="1"/>
    <xf numFmtId="49" fontId="27" fillId="0" borderId="0" xfId="0" applyNumberFormat="1" applyFont="1"/>
    <xf numFmtId="0" fontId="27" fillId="0" borderId="0" xfId="0" applyFont="1" applyProtection="1">
      <protection locked="0"/>
    </xf>
    <xf numFmtId="0" fontId="27" fillId="0" borderId="0" xfId="0" applyFont="1" applyAlignment="1" applyProtection="1">
      <alignment horizontal="right"/>
      <protection locked="0"/>
    </xf>
    <xf numFmtId="10" fontId="27" fillId="0" borderId="0" xfId="0" applyNumberFormat="1" applyFont="1" applyAlignment="1" applyProtection="1">
      <alignment horizontal="right"/>
      <protection locked="0"/>
    </xf>
    <xf numFmtId="164" fontId="27" fillId="0" borderId="0" xfId="0" applyNumberFormat="1" applyFont="1"/>
    <xf numFmtId="2" fontId="27" fillId="0" borderId="0" xfId="0" applyNumberFormat="1" applyFont="1"/>
    <xf numFmtId="2" fontId="28" fillId="0" borderId="0" xfId="0" applyNumberFormat="1" applyFont="1"/>
    <xf numFmtId="10" fontId="28" fillId="0" borderId="0" xfId="0" applyNumberFormat="1" applyFont="1"/>
    <xf numFmtId="165" fontId="29" fillId="0" borderId="0" xfId="0" applyNumberFormat="1" applyFont="1"/>
    <xf numFmtId="2" fontId="30" fillId="0" borderId="0" xfId="0" applyNumberFormat="1" applyFont="1"/>
    <xf numFmtId="10" fontId="30" fillId="0" borderId="0" xfId="0" applyNumberFormat="1" applyFont="1"/>
    <xf numFmtId="49" fontId="27" fillId="0" borderId="0" xfId="0" applyNumberFormat="1" applyFont="1" applyBorder="1"/>
    <xf numFmtId="0" fontId="27" fillId="0" borderId="0" xfId="0" applyFont="1" applyBorder="1" applyProtection="1">
      <protection locked="0"/>
    </xf>
    <xf numFmtId="0" fontId="27" fillId="0" borderId="0" xfId="0" applyFont="1" applyBorder="1" applyAlignment="1" applyProtection="1">
      <alignment horizontal="right"/>
      <protection locked="0"/>
    </xf>
    <xf numFmtId="10" fontId="27" fillId="0" borderId="0" xfId="0" applyNumberFormat="1" applyFont="1" applyBorder="1" applyAlignment="1" applyProtection="1">
      <alignment horizontal="right"/>
      <protection locked="0"/>
    </xf>
    <xf numFmtId="164" fontId="27" fillId="0" borderId="0" xfId="0" applyNumberFormat="1" applyFont="1" applyBorder="1"/>
    <xf numFmtId="2" fontId="27" fillId="0" borderId="0" xfId="0" applyNumberFormat="1" applyFont="1" applyBorder="1"/>
    <xf numFmtId="2" fontId="28" fillId="0" borderId="0" xfId="0" applyNumberFormat="1" applyFont="1" applyBorder="1"/>
    <xf numFmtId="10" fontId="28" fillId="0" borderId="0" xfId="0" applyNumberFormat="1" applyFont="1" applyBorder="1"/>
    <xf numFmtId="0" fontId="27" fillId="0" borderId="0" xfId="0" applyFont="1" applyBorder="1"/>
    <xf numFmtId="165" fontId="29" fillId="0" borderId="0" xfId="0" applyNumberFormat="1" applyFont="1" applyBorder="1"/>
    <xf numFmtId="2" fontId="30" fillId="0" borderId="0" xfId="0" applyNumberFormat="1" applyFont="1" applyBorder="1"/>
    <xf numFmtId="10" fontId="30" fillId="0" borderId="0" xfId="0" applyNumberFormat="1" applyFont="1" applyBorder="1"/>
    <xf numFmtId="9" fontId="27" fillId="0" borderId="0" xfId="0" applyNumberFormat="1" applyFont="1"/>
    <xf numFmtId="0" fontId="24" fillId="2" borderId="0" xfId="0" applyFont="1" applyFill="1" applyBorder="1" applyProtection="1">
      <protection locked="0"/>
    </xf>
    <xf numFmtId="0" fontId="25" fillId="2" borderId="0" xfId="0" applyFont="1" applyFill="1" applyBorder="1" applyProtection="1">
      <protection locked="0"/>
    </xf>
    <xf numFmtId="164" fontId="24" fillId="2" borderId="0" xfId="0" applyNumberFormat="1" applyFont="1" applyFill="1" applyBorder="1" applyProtection="1">
      <protection locked="0"/>
    </xf>
    <xf numFmtId="0" fontId="24" fillId="4" borderId="1" xfId="0" applyFont="1" applyFill="1" applyBorder="1" applyProtection="1">
      <protection locked="0"/>
    </xf>
    <xf numFmtId="0" fontId="24" fillId="2" borderId="1" xfId="0" applyFont="1" applyFill="1" applyBorder="1" applyProtection="1">
      <protection locked="0"/>
    </xf>
    <xf numFmtId="49" fontId="27" fillId="0" borderId="0" xfId="0" applyNumberFormat="1" applyFont="1" applyProtection="1">
      <protection locked="0"/>
    </xf>
    <xf numFmtId="164" fontId="27" fillId="0" borderId="0" xfId="0" applyNumberFormat="1" applyFont="1" applyProtection="1">
      <protection locked="0"/>
    </xf>
    <xf numFmtId="0" fontId="27" fillId="0" borderId="0" xfId="0" applyFont="1" applyAlignment="1" applyProtection="1">
      <alignment horizontal="center"/>
      <protection locked="0"/>
    </xf>
    <xf numFmtId="0" fontId="31" fillId="0" borderId="0" xfId="0" applyNumberFormat="1" applyFont="1" applyProtection="1">
      <protection locked="0"/>
    </xf>
    <xf numFmtId="2" fontId="27" fillId="0" borderId="0" xfId="0" applyNumberFormat="1" applyFont="1" applyProtection="1">
      <protection locked="0"/>
    </xf>
    <xf numFmtId="10" fontId="27" fillId="0" borderId="0" xfId="0" applyNumberFormat="1" applyFont="1" applyProtection="1">
      <protection locked="0"/>
    </xf>
    <xf numFmtId="0" fontId="27" fillId="0" borderId="0" xfId="0" applyNumberFormat="1" applyFont="1"/>
    <xf numFmtId="0" fontId="27" fillId="0" borderId="0" xfId="0" applyFont="1" applyAlignment="1">
      <alignment horizontal="right"/>
    </xf>
    <xf numFmtId="0" fontId="27" fillId="0" borderId="0" xfId="0" applyFont="1" applyBorder="1" applyAlignment="1">
      <alignment horizontal="right"/>
    </xf>
    <xf numFmtId="0" fontId="27" fillId="0" borderId="0" xfId="0" applyNumberFormat="1" applyFont="1" applyBorder="1"/>
    <xf numFmtId="0" fontId="0" fillId="0" borderId="0" xfId="0"/>
    <xf numFmtId="0" fontId="12" fillId="0" borderId="0" xfId="0" applyFont="1" applyAlignment="1">
      <alignment horizontal="left" indent="6"/>
    </xf>
    <xf numFmtId="0" fontId="13" fillId="0" borderId="0" xfId="0" applyFont="1" applyAlignment="1">
      <alignment horizontal="left" indent="6"/>
    </xf>
    <xf numFmtId="0" fontId="12" fillId="0" borderId="0" xfId="0" applyFont="1"/>
    <xf numFmtId="0" fontId="0" fillId="0" borderId="0" xfId="0"/>
    <xf numFmtId="0" fontId="32" fillId="0" borderId="0" xfId="0" applyFont="1"/>
    <xf numFmtId="0" fontId="32" fillId="0" borderId="0" xfId="0" applyNumberFormat="1" applyFont="1"/>
    <xf numFmtId="0" fontId="32" fillId="0" borderId="0" xfId="0" applyFont="1" applyBorder="1"/>
    <xf numFmtId="0" fontId="32" fillId="0" borderId="0" xfId="0" applyFont="1" applyBorder="1" applyAlignment="1">
      <alignment horizontal="right"/>
    </xf>
    <xf numFmtId="0" fontId="32" fillId="0" borderId="0" xfId="0" applyFont="1" applyAlignment="1">
      <alignment horizontal="right"/>
    </xf>
    <xf numFmtId="0" fontId="0" fillId="0" borderId="0" xfId="0"/>
    <xf numFmtId="0" fontId="1" fillId="11" borderId="10" xfId="0" applyFont="1" applyFill="1" applyBorder="1"/>
    <xf numFmtId="0" fontId="33" fillId="6" borderId="0" xfId="0" applyNumberFormat="1" applyFont="1" applyFill="1"/>
    <xf numFmtId="2" fontId="0" fillId="0" borderId="0" xfId="0" applyNumberFormat="1" applyFont="1" applyAlignment="1">
      <alignment horizontal="right"/>
    </xf>
    <xf numFmtId="2" fontId="8" fillId="0" borderId="0" xfId="0" applyNumberFormat="1" applyFont="1"/>
    <xf numFmtId="0" fontId="34" fillId="0" borderId="0" xfId="0" applyFont="1" applyBorder="1"/>
    <xf numFmtId="0" fontId="35" fillId="0" borderId="0" xfId="0" applyFont="1" applyBorder="1"/>
    <xf numFmtId="0" fontId="35" fillId="0" borderId="0" xfId="0" applyNumberFormat="1" applyFont="1" applyBorder="1"/>
    <xf numFmtId="49" fontId="0" fillId="3" borderId="0" xfId="0" applyNumberFormat="1" applyFont="1" applyFill="1" applyBorder="1" applyAlignment="1">
      <alignment horizontal="center"/>
    </xf>
    <xf numFmtId="0" fontId="0" fillId="0" borderId="0" xfId="0"/>
    <xf numFmtId="0" fontId="0" fillId="0" borderId="0" xfId="0"/>
    <xf numFmtId="2" fontId="0" fillId="6" borderId="0" xfId="0" applyNumberFormat="1" applyFont="1" applyFill="1"/>
    <xf numFmtId="0" fontId="0" fillId="0" borderId="0" xfId="0" applyNumberFormat="1" applyAlignment="1">
      <alignment horizontal="left"/>
    </xf>
    <xf numFmtId="0" fontId="12" fillId="0" borderId="0" xfId="0" applyFont="1"/>
    <xf numFmtId="0" fontId="0" fillId="0" borderId="0" xfId="0"/>
    <xf numFmtId="0" fontId="0" fillId="0" borderId="0" xfId="0"/>
    <xf numFmtId="0" fontId="12" fillId="0" borderId="0" xfId="0" applyFont="1" applyAlignment="1">
      <alignment horizontal="left" indent="4"/>
    </xf>
    <xf numFmtId="0" fontId="16" fillId="0" borderId="0" xfId="0" applyFont="1" applyAlignment="1">
      <alignment horizontal="left" indent="4"/>
    </xf>
    <xf numFmtId="0" fontId="0" fillId="0" borderId="0" xfId="0"/>
    <xf numFmtId="10" fontId="0" fillId="0" borderId="0" xfId="0" applyNumberFormat="1"/>
    <xf numFmtId="0" fontId="0" fillId="0" borderId="11" xfId="0" applyBorder="1"/>
    <xf numFmtId="2" fontId="27" fillId="0" borderId="0" xfId="0" applyNumberFormat="1" applyFont="1" applyProtection="1"/>
    <xf numFmtId="0" fontId="26" fillId="2" borderId="1" xfId="0" applyNumberFormat="1" applyFont="1" applyFill="1" applyBorder="1" applyProtection="1"/>
    <xf numFmtId="0" fontId="12" fillId="0" borderId="0" xfId="0" applyFont="1"/>
    <xf numFmtId="0" fontId="0" fillId="0" borderId="0" xfId="0"/>
    <xf numFmtId="0" fontId="0" fillId="0" borderId="0" xfId="0"/>
    <xf numFmtId="0" fontId="38" fillId="0" borderId="0" xfId="0" applyFont="1"/>
    <xf numFmtId="0" fontId="0" fillId="0" borderId="0" xfId="0"/>
    <xf numFmtId="0" fontId="0" fillId="0" borderId="0" xfId="0"/>
    <xf numFmtId="10" fontId="27" fillId="0" borderId="0" xfId="0" applyNumberFormat="1" applyFont="1" applyAlignment="1" applyProtection="1">
      <alignment horizontal="center"/>
      <protection locked="0"/>
    </xf>
    <xf numFmtId="49" fontId="40" fillId="0" borderId="0" xfId="0" applyNumberFormat="1" applyFont="1" applyProtection="1">
      <protection locked="0"/>
    </xf>
    <xf numFmtId="0" fontId="40" fillId="0" borderId="0" xfId="0" applyFont="1" applyProtection="1">
      <protection locked="0"/>
    </xf>
    <xf numFmtId="0" fontId="40" fillId="0" borderId="0" xfId="0" applyFont="1" applyAlignment="1" applyProtection="1">
      <alignment horizontal="right"/>
      <protection locked="0"/>
    </xf>
    <xf numFmtId="10" fontId="40" fillId="0" borderId="0" xfId="0" applyNumberFormat="1" applyFont="1" applyAlignment="1" applyProtection="1">
      <alignment horizontal="right"/>
      <protection locked="0"/>
    </xf>
    <xf numFmtId="164" fontId="40" fillId="0" borderId="0" xfId="0" applyNumberFormat="1" applyFont="1" applyProtection="1">
      <protection locked="0"/>
    </xf>
    <xf numFmtId="2" fontId="40" fillId="0" borderId="0" xfId="0" applyNumberFormat="1" applyFont="1" applyProtection="1">
      <protection locked="0"/>
    </xf>
    <xf numFmtId="10" fontId="40" fillId="0" borderId="0" xfId="0" applyNumberFormat="1" applyFont="1" applyProtection="1">
      <protection locked="0"/>
    </xf>
    <xf numFmtId="0" fontId="40" fillId="0" borderId="0" xfId="0" applyFont="1" applyAlignment="1" applyProtection="1">
      <alignment horizontal="center"/>
      <protection locked="0"/>
    </xf>
    <xf numFmtId="0" fontId="41" fillId="0" borderId="0" xfId="0" applyNumberFormat="1" applyFont="1" applyFill="1" applyProtection="1">
      <protection locked="0"/>
    </xf>
    <xf numFmtId="2" fontId="40" fillId="0" borderId="0" xfId="0" applyNumberFormat="1" applyFont="1" applyProtection="1"/>
    <xf numFmtId="166" fontId="40" fillId="0" borderId="0" xfId="0" applyNumberFormat="1" applyFont="1" applyAlignment="1" applyProtection="1">
      <alignment horizontal="left"/>
      <protection locked="0"/>
    </xf>
    <xf numFmtId="0" fontId="0" fillId="0" borderId="0" xfId="0"/>
    <xf numFmtId="49" fontId="42" fillId="0" borderId="0" xfId="0" applyNumberFormat="1" applyFont="1" applyProtection="1">
      <protection locked="0"/>
    </xf>
    <xf numFmtId="0" fontId="42" fillId="0" borderId="0" xfId="0" applyFont="1" applyProtection="1">
      <protection locked="0"/>
    </xf>
    <xf numFmtId="0" fontId="42" fillId="0" borderId="0" xfId="0" applyFont="1" applyAlignment="1" applyProtection="1">
      <alignment horizontal="right"/>
      <protection locked="0"/>
    </xf>
    <xf numFmtId="10" fontId="42" fillId="0" borderId="0" xfId="0" applyNumberFormat="1" applyFont="1" applyAlignment="1" applyProtection="1">
      <alignment horizontal="right"/>
      <protection locked="0"/>
    </xf>
    <xf numFmtId="164" fontId="42" fillId="0" borderId="0" xfId="0" applyNumberFormat="1" applyFont="1" applyProtection="1">
      <protection locked="0"/>
    </xf>
    <xf numFmtId="2" fontId="42" fillId="0" borderId="0" xfId="0" applyNumberFormat="1" applyFont="1" applyProtection="1">
      <protection locked="0"/>
    </xf>
    <xf numFmtId="10" fontId="42" fillId="0" borderId="0" xfId="0" applyNumberFormat="1" applyFont="1" applyProtection="1">
      <protection locked="0"/>
    </xf>
    <xf numFmtId="0" fontId="42" fillId="0" borderId="0" xfId="0" applyFont="1" applyAlignment="1" applyProtection="1">
      <alignment horizontal="center"/>
      <protection locked="0"/>
    </xf>
    <xf numFmtId="0" fontId="43" fillId="0" borderId="0" xfId="0" applyNumberFormat="1" applyFont="1" applyFill="1" applyProtection="1">
      <protection locked="0"/>
    </xf>
    <xf numFmtId="2" fontId="42" fillId="0" borderId="0" xfId="0" applyNumberFormat="1" applyFont="1" applyProtection="1"/>
    <xf numFmtId="49" fontId="44" fillId="0" borderId="0" xfId="0" applyNumberFormat="1" applyFont="1" applyProtection="1">
      <protection locked="0"/>
    </xf>
    <xf numFmtId="0" fontId="44" fillId="0" borderId="0" xfId="0" applyFont="1" applyProtection="1">
      <protection locked="0"/>
    </xf>
    <xf numFmtId="0" fontId="44" fillId="0" borderId="0" xfId="0" applyFont="1" applyAlignment="1" applyProtection="1">
      <alignment horizontal="right"/>
      <protection locked="0"/>
    </xf>
    <xf numFmtId="10" fontId="44" fillId="0" borderId="0" xfId="0" applyNumberFormat="1" applyFont="1" applyAlignment="1" applyProtection="1">
      <alignment horizontal="right"/>
      <protection locked="0"/>
    </xf>
    <xf numFmtId="164" fontId="44" fillId="0" borderId="0" xfId="0" applyNumberFormat="1" applyFont="1" applyProtection="1">
      <protection locked="0"/>
    </xf>
    <xf numFmtId="2" fontId="44" fillId="0" borderId="0" xfId="0" applyNumberFormat="1" applyFont="1" applyProtection="1">
      <protection locked="0"/>
    </xf>
    <xf numFmtId="10" fontId="44" fillId="0" borderId="0" xfId="0" applyNumberFormat="1" applyFont="1" applyProtection="1">
      <protection locked="0"/>
    </xf>
    <xf numFmtId="0" fontId="44" fillId="0" borderId="0" xfId="0" applyFont="1" applyAlignment="1" applyProtection="1">
      <alignment horizontal="center"/>
      <protection locked="0"/>
    </xf>
    <xf numFmtId="0" fontId="45" fillId="0" borderId="0" xfId="0" applyNumberFormat="1" applyFont="1" applyFill="1" applyProtection="1">
      <protection locked="0"/>
    </xf>
    <xf numFmtId="2" fontId="44" fillId="0" borderId="0" xfId="0" applyNumberFormat="1" applyFont="1" applyProtection="1"/>
    <xf numFmtId="49" fontId="46" fillId="0" borderId="0" xfId="0" applyNumberFormat="1" applyFont="1" applyProtection="1">
      <protection locked="0"/>
    </xf>
    <xf numFmtId="0" fontId="46" fillId="0" borderId="0" xfId="0" applyFont="1" applyProtection="1">
      <protection locked="0"/>
    </xf>
    <xf numFmtId="0" fontId="46" fillId="0" borderId="0" xfId="0" applyFont="1" applyAlignment="1" applyProtection="1">
      <alignment horizontal="right"/>
      <protection locked="0"/>
    </xf>
    <xf numFmtId="10" fontId="46" fillId="0" borderId="0" xfId="0" applyNumberFormat="1" applyFont="1" applyAlignment="1" applyProtection="1">
      <alignment horizontal="right"/>
      <protection locked="0"/>
    </xf>
    <xf numFmtId="164" fontId="46" fillId="0" borderId="0" xfId="0" applyNumberFormat="1" applyFont="1" applyProtection="1">
      <protection locked="0"/>
    </xf>
    <xf numFmtId="2" fontId="46" fillId="0" borderId="0" xfId="0" applyNumberFormat="1" applyFont="1" applyProtection="1">
      <protection locked="0"/>
    </xf>
    <xf numFmtId="10" fontId="46" fillId="0" borderId="0" xfId="0" applyNumberFormat="1" applyFont="1" applyProtection="1">
      <protection locked="0"/>
    </xf>
    <xf numFmtId="0" fontId="46" fillId="0" borderId="0" xfId="0" applyFont="1" applyAlignment="1" applyProtection="1">
      <alignment horizontal="center"/>
      <protection locked="0"/>
    </xf>
    <xf numFmtId="0" fontId="47" fillId="0" borderId="0" xfId="0" applyNumberFormat="1" applyFont="1" applyFill="1" applyProtection="1">
      <protection locked="0"/>
    </xf>
    <xf numFmtId="2" fontId="46" fillId="0" borderId="0" xfId="0" applyNumberFormat="1" applyFont="1" applyProtection="1"/>
    <xf numFmtId="49" fontId="48" fillId="0" borderId="0" xfId="0" applyNumberFormat="1" applyFont="1" applyProtection="1">
      <protection locked="0"/>
    </xf>
    <xf numFmtId="0" fontId="48" fillId="0" borderId="0" xfId="0" applyFont="1" applyProtection="1">
      <protection locked="0"/>
    </xf>
    <xf numFmtId="0" fontId="48" fillId="0" borderId="0" xfId="0" applyFont="1" applyAlignment="1" applyProtection="1">
      <alignment horizontal="right"/>
      <protection locked="0"/>
    </xf>
    <xf numFmtId="10" fontId="48" fillId="0" borderId="0" xfId="0" applyNumberFormat="1" applyFont="1" applyAlignment="1" applyProtection="1">
      <alignment horizontal="right"/>
      <protection locked="0"/>
    </xf>
    <xf numFmtId="164" fontId="48" fillId="0" borderId="0" xfId="0" applyNumberFormat="1" applyFont="1" applyProtection="1">
      <protection locked="0"/>
    </xf>
    <xf numFmtId="2" fontId="48" fillId="0" borderId="0" xfId="0" applyNumberFormat="1" applyFont="1" applyProtection="1">
      <protection locked="0"/>
    </xf>
    <xf numFmtId="10" fontId="48" fillId="0" borderId="0" xfId="0" applyNumberFormat="1" applyFont="1" applyProtection="1">
      <protection locked="0"/>
    </xf>
    <xf numFmtId="0" fontId="48" fillId="0" borderId="0" xfId="0" applyFont="1" applyAlignment="1" applyProtection="1">
      <alignment horizontal="center"/>
      <protection locked="0"/>
    </xf>
    <xf numFmtId="0" fontId="49" fillId="0" borderId="0" xfId="0" applyNumberFormat="1" applyFont="1" applyFill="1" applyProtection="1">
      <protection locked="0"/>
    </xf>
    <xf numFmtId="2" fontId="48" fillId="0" borderId="0" xfId="0" applyNumberFormat="1" applyFont="1" applyProtection="1"/>
    <xf numFmtId="0" fontId="0" fillId="0" borderId="0" xfId="0"/>
    <xf numFmtId="49" fontId="50" fillId="0" borderId="0" xfId="0" applyNumberFormat="1" applyFont="1" applyProtection="1">
      <protection locked="0"/>
    </xf>
    <xf numFmtId="0" fontId="50" fillId="0" borderId="0" xfId="0" applyFont="1" applyProtection="1">
      <protection locked="0"/>
    </xf>
    <xf numFmtId="0" fontId="50" fillId="0" borderId="0" xfId="0" applyFont="1" applyAlignment="1" applyProtection="1">
      <alignment horizontal="right"/>
      <protection locked="0"/>
    </xf>
    <xf numFmtId="10" fontId="50" fillId="0" borderId="0" xfId="0" applyNumberFormat="1" applyFont="1" applyAlignment="1" applyProtection="1">
      <alignment horizontal="right"/>
      <protection locked="0"/>
    </xf>
    <xf numFmtId="164" fontId="50" fillId="0" borderId="0" xfId="0" applyNumberFormat="1" applyFont="1" applyProtection="1">
      <protection locked="0"/>
    </xf>
    <xf numFmtId="2" fontId="50" fillId="0" borderId="0" xfId="0" applyNumberFormat="1" applyFont="1" applyProtection="1">
      <protection locked="0"/>
    </xf>
    <xf numFmtId="10" fontId="50" fillId="0" borderId="0" xfId="0" applyNumberFormat="1" applyFont="1" applyProtection="1">
      <protection locked="0"/>
    </xf>
    <xf numFmtId="0" fontId="50" fillId="0" borderId="0" xfId="0" applyFont="1" applyAlignment="1" applyProtection="1">
      <alignment horizontal="center"/>
      <protection locked="0"/>
    </xf>
    <xf numFmtId="0" fontId="51" fillId="0" borderId="0" xfId="0" applyNumberFormat="1" applyFont="1" applyFill="1" applyProtection="1">
      <protection locked="0"/>
    </xf>
    <xf numFmtId="2" fontId="50" fillId="0" borderId="0" xfId="0" applyNumberFormat="1" applyFont="1" applyProtection="1"/>
    <xf numFmtId="49" fontId="52" fillId="0" borderId="0" xfId="0" applyNumberFormat="1" applyFont="1" applyProtection="1">
      <protection locked="0"/>
    </xf>
    <xf numFmtId="0" fontId="52" fillId="0" borderId="0" xfId="0" applyFont="1" applyProtection="1">
      <protection locked="0"/>
    </xf>
    <xf numFmtId="0" fontId="52" fillId="0" borderId="0" xfId="0" applyFont="1" applyAlignment="1" applyProtection="1">
      <alignment horizontal="right"/>
      <protection locked="0"/>
    </xf>
    <xf numFmtId="10" fontId="52" fillId="0" borderId="0" xfId="0" applyNumberFormat="1" applyFont="1" applyAlignment="1" applyProtection="1">
      <alignment horizontal="right"/>
      <protection locked="0"/>
    </xf>
    <xf numFmtId="164" fontId="52" fillId="0" borderId="0" xfId="0" applyNumberFormat="1" applyFont="1" applyProtection="1">
      <protection locked="0"/>
    </xf>
    <xf numFmtId="2" fontId="52" fillId="0" borderId="0" xfId="0" applyNumberFormat="1" applyFont="1" applyProtection="1">
      <protection locked="0"/>
    </xf>
    <xf numFmtId="10" fontId="52" fillId="0" borderId="0" xfId="0" applyNumberFormat="1" applyFont="1" applyProtection="1">
      <protection locked="0"/>
    </xf>
    <xf numFmtId="0" fontId="52" fillId="0" borderId="0" xfId="0" applyFont="1" applyAlignment="1" applyProtection="1">
      <alignment horizontal="center"/>
      <protection locked="0"/>
    </xf>
    <xf numFmtId="0" fontId="53" fillId="0" borderId="0" xfId="0" applyNumberFormat="1" applyFont="1" applyFill="1" applyProtection="1">
      <protection locked="0"/>
    </xf>
    <xf numFmtId="2" fontId="52" fillId="0" borderId="0" xfId="0" applyNumberFormat="1" applyFont="1" applyProtection="1"/>
    <xf numFmtId="49" fontId="54" fillId="0" borderId="0" xfId="0" applyNumberFormat="1" applyFont="1" applyProtection="1">
      <protection locked="0"/>
    </xf>
    <xf numFmtId="0" fontId="54" fillId="0" borderId="0" xfId="0" applyFont="1" applyProtection="1">
      <protection locked="0"/>
    </xf>
    <xf numFmtId="0" fontId="54" fillId="0" borderId="0" xfId="0" applyFont="1" applyAlignment="1" applyProtection="1">
      <alignment horizontal="right"/>
      <protection locked="0"/>
    </xf>
    <xf numFmtId="10" fontId="54" fillId="0" borderId="0" xfId="0" applyNumberFormat="1" applyFont="1" applyAlignment="1" applyProtection="1">
      <alignment horizontal="right"/>
      <protection locked="0"/>
    </xf>
    <xf numFmtId="164" fontId="54" fillId="0" borderId="0" xfId="0" applyNumberFormat="1" applyFont="1" applyProtection="1">
      <protection locked="0"/>
    </xf>
    <xf numFmtId="2" fontId="54" fillId="0" borderId="0" xfId="0" applyNumberFormat="1" applyFont="1" applyProtection="1">
      <protection locked="0"/>
    </xf>
    <xf numFmtId="10" fontId="54" fillId="0" borderId="0" xfId="0" applyNumberFormat="1" applyFont="1" applyProtection="1">
      <protection locked="0"/>
    </xf>
    <xf numFmtId="0" fontId="54" fillId="0" borderId="0" xfId="0" applyFont="1" applyAlignment="1" applyProtection="1">
      <alignment horizontal="center"/>
      <protection locked="0"/>
    </xf>
    <xf numFmtId="0" fontId="55" fillId="0" borderId="0" xfId="0" applyNumberFormat="1" applyFont="1" applyFill="1" applyProtection="1">
      <protection locked="0"/>
    </xf>
    <xf numFmtId="2" fontId="54" fillId="0" borderId="0" xfId="0" applyNumberFormat="1" applyFont="1" applyProtection="1"/>
    <xf numFmtId="49" fontId="56" fillId="0" borderId="0" xfId="0" applyNumberFormat="1" applyFont="1" applyProtection="1">
      <protection locked="0"/>
    </xf>
    <xf numFmtId="0" fontId="56" fillId="0" borderId="0" xfId="0" applyFont="1" applyProtection="1">
      <protection locked="0"/>
    </xf>
    <xf numFmtId="0" fontId="56" fillId="0" borderId="0" xfId="0" applyFont="1" applyAlignment="1" applyProtection="1">
      <alignment horizontal="right"/>
      <protection locked="0"/>
    </xf>
    <xf numFmtId="10" fontId="56" fillId="0" borderId="0" xfId="0" applyNumberFormat="1" applyFont="1" applyAlignment="1" applyProtection="1">
      <alignment horizontal="right"/>
      <protection locked="0"/>
    </xf>
    <xf numFmtId="164" fontId="56" fillId="0" borderId="0" xfId="0" applyNumberFormat="1" applyFont="1" applyProtection="1">
      <protection locked="0"/>
    </xf>
    <xf numFmtId="2" fontId="56" fillId="0" borderId="0" xfId="0" applyNumberFormat="1" applyFont="1" applyProtection="1">
      <protection locked="0"/>
    </xf>
    <xf numFmtId="10" fontId="56" fillId="0" borderId="0" xfId="0" applyNumberFormat="1" applyFont="1" applyProtection="1">
      <protection locked="0"/>
    </xf>
    <xf numFmtId="0" fontId="56" fillId="0" borderId="0" xfId="0" applyFont="1" applyAlignment="1" applyProtection="1">
      <alignment horizontal="center"/>
      <protection locked="0"/>
    </xf>
    <xf numFmtId="0" fontId="57" fillId="0" borderId="0" xfId="0" applyNumberFormat="1" applyFont="1" applyFill="1" applyProtection="1">
      <protection locked="0"/>
    </xf>
    <xf numFmtId="2" fontId="56" fillId="0" borderId="0" xfId="0" applyNumberFormat="1" applyFont="1" applyProtection="1"/>
    <xf numFmtId="49" fontId="58" fillId="0" borderId="0" xfId="0" applyNumberFormat="1" applyFont="1" applyProtection="1">
      <protection locked="0"/>
    </xf>
    <xf numFmtId="0" fontId="58" fillId="0" borderId="0" xfId="0" applyFont="1" applyProtection="1">
      <protection locked="0"/>
    </xf>
    <xf numFmtId="0" fontId="58" fillId="0" borderId="0" xfId="0" applyFont="1" applyAlignment="1" applyProtection="1">
      <alignment horizontal="right"/>
      <protection locked="0"/>
    </xf>
    <xf numFmtId="10" fontId="58" fillId="0" borderId="0" xfId="0" applyNumberFormat="1" applyFont="1" applyAlignment="1" applyProtection="1">
      <alignment horizontal="right"/>
      <protection locked="0"/>
    </xf>
    <xf numFmtId="164" fontId="58" fillId="0" borderId="0" xfId="0" applyNumberFormat="1" applyFont="1" applyProtection="1">
      <protection locked="0"/>
    </xf>
    <xf numFmtId="2" fontId="58" fillId="0" borderId="0" xfId="0" applyNumberFormat="1" applyFont="1" applyProtection="1">
      <protection locked="0"/>
    </xf>
    <xf numFmtId="10" fontId="58" fillId="0" borderId="0" xfId="0" applyNumberFormat="1" applyFont="1" applyProtection="1">
      <protection locked="0"/>
    </xf>
    <xf numFmtId="0" fontId="58" fillId="0" borderId="0" xfId="0" applyFont="1" applyAlignment="1" applyProtection="1">
      <alignment horizontal="center"/>
      <protection locked="0"/>
    </xf>
    <xf numFmtId="0" fontId="59" fillId="0" borderId="0" xfId="0" applyNumberFormat="1" applyFont="1" applyFill="1" applyProtection="1">
      <protection locked="0"/>
    </xf>
    <xf numFmtId="2" fontId="58" fillId="0" borderId="0" xfId="0" applyNumberFormat="1" applyFont="1" applyProtection="1"/>
    <xf numFmtId="49" fontId="60" fillId="0" borderId="0" xfId="0" applyNumberFormat="1" applyFont="1" applyProtection="1">
      <protection locked="0"/>
    </xf>
    <xf numFmtId="0" fontId="60" fillId="0" borderId="0" xfId="0" applyFont="1" applyProtection="1">
      <protection locked="0"/>
    </xf>
    <xf numFmtId="0" fontId="60" fillId="0" borderId="0" xfId="0" applyFont="1" applyAlignment="1" applyProtection="1">
      <alignment horizontal="right"/>
      <protection locked="0"/>
    </xf>
    <xf numFmtId="10" fontId="60" fillId="0" borderId="0" xfId="0" applyNumberFormat="1" applyFont="1" applyAlignment="1" applyProtection="1">
      <alignment horizontal="right"/>
      <protection locked="0"/>
    </xf>
    <xf numFmtId="164" fontId="60" fillId="0" borderId="0" xfId="0" applyNumberFormat="1" applyFont="1" applyProtection="1">
      <protection locked="0"/>
    </xf>
    <xf numFmtId="2" fontId="60" fillId="0" borderId="0" xfId="0" applyNumberFormat="1" applyFont="1" applyProtection="1">
      <protection locked="0"/>
    </xf>
    <xf numFmtId="10" fontId="60" fillId="0" borderId="0" xfId="0" applyNumberFormat="1" applyFont="1" applyProtection="1">
      <protection locked="0"/>
    </xf>
    <xf numFmtId="0" fontId="60" fillId="0" borderId="0" xfId="0" applyFont="1" applyAlignment="1" applyProtection="1">
      <alignment horizontal="center"/>
      <protection locked="0"/>
    </xf>
    <xf numFmtId="0" fontId="61" fillId="0" borderId="0" xfId="0" applyNumberFormat="1" applyFont="1" applyFill="1" applyProtection="1">
      <protection locked="0"/>
    </xf>
    <xf numFmtId="2" fontId="60" fillId="0" borderId="0" xfId="0" applyNumberFormat="1" applyFont="1" applyProtection="1"/>
    <xf numFmtId="0" fontId="0" fillId="3" borderId="2" xfId="0" applyFont="1" applyFill="1" applyBorder="1" applyAlignment="1">
      <alignment horizontal="center"/>
    </xf>
    <xf numFmtId="0" fontId="0" fillId="3" borderId="3" xfId="0" applyFont="1" applyFill="1" applyBorder="1" applyAlignment="1">
      <alignment horizontal="center"/>
    </xf>
    <xf numFmtId="0" fontId="12" fillId="0" borderId="0" xfId="0" applyFont="1"/>
    <xf numFmtId="0" fontId="16" fillId="0" borderId="0" xfId="0" applyFont="1" applyAlignment="1">
      <alignment horizontal="left" indent="5"/>
    </xf>
    <xf numFmtId="0" fontId="12" fillId="0" borderId="0" xfId="0" applyFont="1" applyAlignment="1">
      <alignment horizontal="left" indent="5"/>
    </xf>
    <xf numFmtId="0" fontId="12" fillId="0" borderId="0" xfId="0" applyFont="1" applyAlignment="1">
      <alignment horizontal="left" indent="2"/>
    </xf>
    <xf numFmtId="0" fontId="15" fillId="0" borderId="0" xfId="0" applyFont="1" applyAlignment="1">
      <alignment horizontal="left" indent="4"/>
    </xf>
    <xf numFmtId="0" fontId="11" fillId="0" borderId="0" xfId="0" applyFont="1"/>
    <xf numFmtId="0" fontId="9" fillId="0" borderId="0" xfId="0" applyFont="1"/>
    <xf numFmtId="0" fontId="13" fillId="0" borderId="0" xfId="0" applyFont="1"/>
    <xf numFmtId="0" fontId="0" fillId="0" borderId="0" xfId="0"/>
    <xf numFmtId="0" fontId="17" fillId="0" borderId="0" xfId="0" applyFont="1"/>
    <xf numFmtId="0" fontId="18" fillId="0" borderId="0" xfId="0" applyFont="1"/>
    <xf numFmtId="0" fontId="20" fillId="0" borderId="0" xfId="0" applyFont="1"/>
    <xf numFmtId="0" fontId="21" fillId="0" borderId="0" xfId="0" applyFont="1"/>
    <xf numFmtId="0" fontId="12" fillId="0" borderId="0" xfId="0" applyFont="1" applyAlignment="1">
      <alignment horizontal="left" indent="6"/>
    </xf>
    <xf numFmtId="0" fontId="16" fillId="0" borderId="0" xfId="0" applyFont="1" applyAlignment="1">
      <alignment horizontal="left" indent="4"/>
    </xf>
    <xf numFmtId="0" fontId="12" fillId="0" borderId="0" xfId="0" applyFont="1" applyAlignment="1">
      <alignment horizontal="left" indent="4"/>
    </xf>
    <xf numFmtId="0" fontId="13" fillId="0" borderId="0" xfId="0" applyFont="1" applyAlignment="1">
      <alignment horizontal="left" indent="6"/>
    </xf>
    <xf numFmtId="0" fontId="13" fillId="0" borderId="0" xfId="0" applyFont="1" applyAlignment="1">
      <alignment horizontal="left" indent="4"/>
    </xf>
    <xf numFmtId="0" fontId="15" fillId="0" borderId="0" xfId="0" applyFont="1" applyAlignment="1">
      <alignment horizontal="left" indent="2"/>
    </xf>
    <xf numFmtId="0" fontId="13" fillId="0" borderId="0" xfId="0" applyFont="1" applyAlignment="1">
      <alignment horizontal="left" indent="2"/>
    </xf>
  </cellXfs>
  <cellStyles count="2">
    <cellStyle name="Hyperlink" xfId="1" builtinId="8"/>
    <cellStyle name="Normal" xfId="0" builtinId="0"/>
  </cellStyles>
  <dxfs count="202">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dxf>
    <dxf>
      <font>
        <b val="0"/>
        <i val="0"/>
        <strike val="0"/>
        <condense val="0"/>
        <extend val="0"/>
        <outline val="0"/>
        <shadow val="0"/>
        <u val="none"/>
        <vertAlign val="baseline"/>
        <sz val="11"/>
        <color theme="1"/>
        <name val="Calibri"/>
        <scheme val="minor"/>
      </font>
      <numFmt numFmtId="2" formatCode="0.00"/>
      <fill>
        <patternFill patternType="solid">
          <fgColor theme="4" tint="0.79998168889431442"/>
          <bgColor theme="4" tint="0.79998168889431442"/>
        </patternFill>
      </fill>
    </dxf>
    <dxf>
      <font>
        <b val="0"/>
        <i val="0"/>
        <strike val="0"/>
        <condense val="0"/>
        <extend val="0"/>
        <outline val="0"/>
        <shadow val="0"/>
        <u val="none"/>
        <vertAlign val="baseline"/>
        <sz val="11"/>
        <color theme="1"/>
        <name val="Calibri"/>
        <scheme val="minor"/>
      </font>
      <numFmt numFmtId="2" formatCode="0.00"/>
      <fill>
        <patternFill patternType="solid">
          <fgColor theme="4" tint="0.79998168889431442"/>
          <bgColor theme="4" tint="0.79998168889431442"/>
        </patternFill>
      </fill>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dxf>
    <dxf>
      <border outline="0">
        <left style="thin">
          <color theme="4" tint="0.39997558519241921"/>
        </lef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dxf>
    <dxf>
      <numFmt numFmtId="2" formatCode="0.00"/>
      <border diagonalUp="0" diagonalDown="0">
        <left/>
        <right style="medium">
          <color indexed="64"/>
        </right>
        <top/>
        <bottom/>
        <vertical/>
        <horizontal/>
      </border>
    </dxf>
    <dxf>
      <numFmt numFmtId="2" formatCode="0.00"/>
    </dxf>
    <dxf>
      <numFmt numFmtId="2" formatCode="0.00"/>
    </dxf>
    <dxf>
      <numFmt numFmtId="2" formatCode="0.00"/>
      <border diagonalUp="0" diagonalDown="0">
        <left/>
        <right style="medium">
          <color indexed="64"/>
        </right>
        <top/>
        <bottom/>
        <vertical/>
        <horizontal/>
      </border>
    </dxf>
    <dxf>
      <numFmt numFmtId="2" formatCode="0.00"/>
    </dxf>
    <dxf>
      <numFmt numFmtId="2" formatCode="0.00"/>
    </dxf>
    <dxf>
      <numFmt numFmtId="2" formatCode="0.00"/>
      <border diagonalUp="0" diagonalDown="0">
        <left/>
        <right style="medium">
          <color indexed="64"/>
        </right>
        <top/>
        <bottom/>
        <vertical/>
        <horizontal/>
      </border>
    </dxf>
    <dxf>
      <numFmt numFmtId="2" formatCode="0.00"/>
    </dxf>
    <dxf>
      <numFmt numFmtId="2" formatCode="0.00"/>
    </dxf>
    <dxf>
      <numFmt numFmtId="2" formatCode="0.00"/>
      <border diagonalUp="0" diagonalDown="0">
        <left/>
        <right style="medium">
          <color indexed="64"/>
        </right>
        <top/>
        <bottom/>
        <vertical/>
        <horizontal/>
      </border>
    </dxf>
    <dxf>
      <numFmt numFmtId="2" formatCode="0.00"/>
    </dxf>
    <dxf>
      <numFmt numFmtId="2" formatCode="0.00"/>
    </dxf>
    <dxf>
      <numFmt numFmtId="2" formatCode="0.00"/>
      <border diagonalUp="0" diagonalDown="0">
        <left/>
        <right style="medium">
          <color indexed="64"/>
        </right>
        <top/>
        <bottom/>
      </border>
    </dxf>
    <dxf>
      <numFmt numFmtId="2" formatCode="0.00"/>
    </dxf>
    <dxf>
      <numFmt numFmtId="2" formatCode="0.00"/>
    </dxf>
    <dxf>
      <numFmt numFmtId="2" formatCode="0.00"/>
      <border diagonalUp="0" diagonalDown="0">
        <left/>
        <right style="medium">
          <color indexed="64"/>
        </right>
        <top/>
        <bottom/>
      </border>
    </dxf>
    <dxf>
      <numFmt numFmtId="2" formatCode="0.00"/>
    </dxf>
    <dxf>
      <numFmt numFmtId="2" formatCode="0.00"/>
    </dxf>
    <dxf>
      <numFmt numFmtId="2" formatCode="0.00"/>
      <border diagonalUp="0" diagonalDown="0">
        <left/>
        <right style="medium">
          <color indexed="64"/>
        </right>
        <top/>
        <bottom/>
      </border>
    </dxf>
    <dxf>
      <numFmt numFmtId="2" formatCode="0.00"/>
    </dxf>
    <dxf>
      <numFmt numFmtId="2" formatCode="0.00"/>
    </dxf>
    <dxf>
      <numFmt numFmtId="2" formatCode="0.00"/>
      <border diagonalUp="0" diagonalDown="0">
        <left/>
        <right style="medium">
          <color indexed="64"/>
        </right>
        <top/>
        <bottom/>
      </border>
    </dxf>
    <dxf>
      <numFmt numFmtId="2" formatCode="0.00"/>
    </dxf>
    <dxf>
      <numFmt numFmtId="2" formatCode="0.00"/>
    </dxf>
    <dxf>
      <numFmt numFmtId="2" formatCode="0.00"/>
      <border diagonalUp="0" diagonalDown="0">
        <left/>
        <right style="medium">
          <color indexed="64"/>
        </right>
        <top/>
        <bottom/>
      </border>
    </dxf>
    <dxf>
      <numFmt numFmtId="2" formatCode="0.00"/>
    </dxf>
    <dxf>
      <numFmt numFmtId="2" formatCode="0.00"/>
    </dxf>
    <dxf>
      <numFmt numFmtId="2" formatCode="0.00"/>
      <border diagonalUp="0" diagonalDown="0">
        <left/>
        <right style="medium">
          <color indexed="64"/>
        </right>
        <top/>
        <bottom/>
      </border>
    </dxf>
    <dxf>
      <numFmt numFmtId="2" formatCode="0.00"/>
    </dxf>
    <dxf>
      <numFmt numFmtId="2" formatCode="0.00"/>
    </dxf>
    <dxf>
      <numFmt numFmtId="2" formatCode="0.00"/>
      <border diagonalUp="0" diagonalDown="0">
        <left/>
        <right style="medium">
          <color indexed="64"/>
        </right>
        <top/>
        <bottom/>
      </border>
    </dxf>
    <dxf>
      <numFmt numFmtId="2" formatCode="0.00"/>
    </dxf>
    <dxf>
      <numFmt numFmtId="2" formatCode="0.00"/>
    </dxf>
    <dxf>
      <numFmt numFmtId="2" formatCode="0.00"/>
      <border diagonalUp="0" diagonalDown="0">
        <left/>
        <right style="medium">
          <color indexed="64"/>
        </right>
        <top/>
        <bottom/>
      </border>
    </dxf>
    <dxf>
      <numFmt numFmtId="2" formatCode="0.00"/>
    </dxf>
    <dxf>
      <numFmt numFmtId="2" formatCode="0.00"/>
    </dxf>
    <dxf>
      <numFmt numFmtId="0" formatCode="General"/>
    </dxf>
    <dxf>
      <alignment horizontal="general" vertical="bottom" textRotation="0" wrapText="0" indent="0" justifyLastLine="0" shrinkToFit="0" readingOrder="0"/>
    </dxf>
    <dxf>
      <alignment horizontal="right" vertical="bottom" textRotation="0" wrapText="0" relativeIndent="0" justifyLastLine="0" shrinkToFit="0" readingOrder="0"/>
    </dxf>
    <dxf>
      <alignment horizontal="right" vertical="bottom" textRotation="0" wrapText="0" relativeIndent="0" justifyLastLine="0" shrinkToFit="0" readingOrder="0"/>
    </dxf>
    <dxf>
      <font>
        <strike val="0"/>
        <outline val="0"/>
        <shadow val="0"/>
        <u val="none"/>
        <vertAlign val="baseline"/>
        <sz val="8"/>
        <color theme="1"/>
        <name val="Calibri"/>
        <scheme val="minor"/>
      </font>
    </dxf>
    <dxf>
      <font>
        <strike val="0"/>
        <outline val="0"/>
        <shadow val="0"/>
        <u val="none"/>
        <vertAlign val="baseline"/>
        <sz val="8"/>
        <color theme="1"/>
        <name val="Calibri"/>
        <scheme val="minor"/>
      </font>
    </dxf>
    <dxf>
      <font>
        <strike val="0"/>
        <outline val="0"/>
        <shadow val="0"/>
        <u val="none"/>
        <vertAlign val="baseline"/>
        <sz val="8"/>
        <color theme="1"/>
        <name val="Calibri"/>
        <scheme val="minor"/>
      </font>
      <alignment horizontal="right" vertical="bottom" textRotation="0" wrapText="0" indent="0" justifyLastLine="0" shrinkToFit="0" readingOrder="0"/>
    </dxf>
    <dxf>
      <font>
        <strike val="0"/>
        <outline val="0"/>
        <shadow val="0"/>
        <u val="none"/>
        <vertAlign val="baseline"/>
        <sz val="8"/>
        <color theme="1"/>
        <name val="Calibri"/>
        <scheme val="minor"/>
      </font>
    </dxf>
    <dxf>
      <font>
        <strike val="0"/>
        <outline val="0"/>
        <shadow val="0"/>
        <u val="none"/>
        <vertAlign val="baseline"/>
        <sz val="8"/>
        <color theme="1"/>
        <name val="Calibri"/>
        <scheme val="minor"/>
      </font>
    </dxf>
    <dxf>
      <font>
        <strike val="0"/>
        <outline val="0"/>
        <shadow val="0"/>
        <u val="none"/>
        <vertAlign val="baseline"/>
        <sz val="8"/>
        <color theme="1"/>
        <name val="Calibri"/>
        <scheme val="minor"/>
      </font>
    </dxf>
    <dxf>
      <font>
        <strike val="0"/>
        <outline val="0"/>
        <shadow val="0"/>
        <u val="none"/>
        <vertAlign val="baseline"/>
        <sz val="8"/>
        <color theme="1"/>
        <name val="Calibri"/>
        <scheme val="minor"/>
      </font>
    </dxf>
    <dxf>
      <font>
        <strike val="0"/>
        <outline val="0"/>
        <shadow val="0"/>
        <u val="none"/>
        <vertAlign val="baseline"/>
        <sz val="8"/>
        <color theme="1"/>
        <name val="Calibri"/>
        <scheme val="minor"/>
      </font>
    </dxf>
    <dxf>
      <font>
        <strike val="0"/>
        <outline val="0"/>
        <shadow val="0"/>
        <u val="none"/>
        <vertAlign val="baseline"/>
        <sz val="8"/>
        <color theme="1"/>
        <name val="Calibri"/>
        <scheme val="minor"/>
      </font>
    </dxf>
    <dxf>
      <font>
        <strike val="0"/>
        <outline val="0"/>
        <shadow val="0"/>
        <u val="none"/>
        <vertAlign val="baseline"/>
        <sz val="8"/>
        <color theme="1"/>
        <name val="Calibri"/>
        <scheme val="minor"/>
      </font>
    </dxf>
    <dxf>
      <font>
        <strike val="0"/>
        <outline val="0"/>
        <shadow val="0"/>
        <u val="none"/>
        <vertAlign val="baseline"/>
        <sz val="8"/>
        <color theme="1"/>
        <name val="Calibri"/>
        <scheme val="minor"/>
      </font>
    </dxf>
    <dxf>
      <font>
        <strike val="0"/>
        <outline val="0"/>
        <shadow val="0"/>
        <u val="none"/>
        <vertAlign val="baseline"/>
        <sz val="8"/>
        <color theme="1"/>
        <name val="Calibri"/>
        <scheme val="minor"/>
      </font>
    </dxf>
    <dxf>
      <font>
        <strike val="0"/>
        <outline val="0"/>
        <shadow val="0"/>
        <u val="none"/>
        <vertAlign val="baseline"/>
        <sz val="8"/>
        <color theme="1"/>
        <name val="Calibri"/>
        <scheme val="minor"/>
      </font>
    </dxf>
    <dxf>
      <font>
        <strike val="0"/>
        <outline val="0"/>
        <shadow val="0"/>
        <u val="none"/>
        <vertAlign val="baseline"/>
        <sz val="8"/>
        <color theme="1"/>
        <name val="Calibri"/>
        <scheme val="minor"/>
      </font>
    </dxf>
    <dxf>
      <font>
        <strike val="0"/>
        <outline val="0"/>
        <shadow val="0"/>
        <u val="none"/>
        <vertAlign val="baseline"/>
        <sz val="8"/>
        <color theme="1"/>
        <name val="Calibri"/>
        <scheme val="minor"/>
      </font>
    </dxf>
    <dxf>
      <font>
        <strike val="0"/>
        <outline val="0"/>
        <shadow val="0"/>
        <u val="none"/>
        <vertAlign val="baseline"/>
        <sz val="8"/>
        <color theme="1"/>
        <name val="Calibri"/>
        <scheme val="minor"/>
      </font>
    </dxf>
    <dxf>
      <font>
        <strike val="0"/>
        <outline val="0"/>
        <shadow val="0"/>
        <u val="none"/>
        <vertAlign val="baseline"/>
        <sz val="8"/>
        <color theme="1"/>
        <name val="Calibri"/>
        <scheme val="minor"/>
      </font>
    </dxf>
    <dxf>
      <font>
        <strike val="0"/>
        <outline val="0"/>
        <shadow val="0"/>
        <u val="none"/>
        <vertAlign val="baseline"/>
        <sz val="8"/>
        <color theme="1"/>
        <name val="Calibri"/>
        <scheme val="minor"/>
      </font>
      <alignment horizontal="right" vertical="bottom" textRotation="0" wrapText="0" indent="0" justifyLastLine="0" shrinkToFit="0" readingOrder="0"/>
    </dxf>
    <dxf>
      <font>
        <strike val="0"/>
        <outline val="0"/>
        <shadow val="0"/>
        <u val="none"/>
        <vertAlign val="baseline"/>
        <sz val="8"/>
        <color theme="1"/>
        <name val="Calibri"/>
        <scheme val="minor"/>
      </font>
    </dxf>
    <dxf>
      <font>
        <strike val="0"/>
        <outline val="0"/>
        <shadow val="0"/>
        <u val="none"/>
        <vertAlign val="baseline"/>
        <sz val="8"/>
        <color theme="1"/>
        <name val="Calibri"/>
        <scheme val="minor"/>
      </font>
      <numFmt numFmtId="0" formatCode="General"/>
    </dxf>
    <dxf>
      <font>
        <strike val="0"/>
        <outline val="0"/>
        <shadow val="0"/>
        <u val="none"/>
        <vertAlign val="baseline"/>
        <sz val="8"/>
        <color theme="1"/>
        <name val="Calibri"/>
        <scheme val="minor"/>
      </font>
    </dxf>
    <dxf>
      <font>
        <strike val="0"/>
        <outline val="0"/>
        <shadow val="0"/>
        <u val="none"/>
        <vertAlign val="baseline"/>
        <sz val="8"/>
        <color theme="1"/>
        <name val="Calibri"/>
        <scheme val="minor"/>
      </font>
    </dxf>
    <dxf>
      <font>
        <strike val="0"/>
        <outline val="0"/>
        <shadow val="0"/>
        <u val="none"/>
        <vertAlign val="baseline"/>
        <sz val="8"/>
        <color theme="1"/>
        <name val="Calibri"/>
        <scheme val="minor"/>
      </font>
    </dxf>
    <dxf>
      <font>
        <strike val="0"/>
        <outline val="0"/>
        <shadow val="0"/>
        <u val="none"/>
        <vertAlign val="baseline"/>
        <sz val="11"/>
        <color theme="0" tint="-0.249977111117893"/>
        <name val="Calibri"/>
        <scheme val="minor"/>
      </font>
      <numFmt numFmtId="14" formatCode="0.00%"/>
    </dxf>
    <dxf>
      <numFmt numFmtId="2" formatCode="0.00"/>
    </dxf>
    <dxf>
      <font>
        <b val="0"/>
        <i val="0"/>
        <strike val="0"/>
        <condense val="0"/>
        <extend val="0"/>
        <outline val="0"/>
        <shadow val="0"/>
        <u val="none"/>
        <vertAlign val="baseline"/>
        <sz val="11"/>
        <color theme="1"/>
        <name val="Calibri"/>
        <scheme val="minor"/>
      </font>
      <numFmt numFmtId="2" formatCode="0.00"/>
    </dxf>
    <dxf>
      <font>
        <b val="0"/>
        <i val="0"/>
        <strike val="0"/>
        <condense val="0"/>
        <extend val="0"/>
        <outline val="0"/>
        <shadow val="0"/>
        <u val="none"/>
        <vertAlign val="baseline"/>
        <sz val="11"/>
        <color theme="0" tint="-0.34998626667073579"/>
        <name val="Calibri"/>
        <scheme val="minor"/>
      </font>
      <numFmt numFmtId="14" formatCode="0.00%"/>
    </dxf>
    <dxf>
      <font>
        <b val="0"/>
        <i val="0"/>
        <strike val="0"/>
        <condense val="0"/>
        <extend val="0"/>
        <outline val="0"/>
        <shadow val="0"/>
        <u val="none"/>
        <vertAlign val="baseline"/>
        <sz val="11"/>
        <color theme="1"/>
        <name val="Calibri"/>
        <scheme val="minor"/>
      </font>
      <numFmt numFmtId="2" formatCode="0.00"/>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strike val="0"/>
        <outline val="0"/>
        <shadow val="0"/>
        <u val="none"/>
        <vertAlign val="baseline"/>
        <sz val="8"/>
        <name val="Calibri"/>
        <scheme val="minor"/>
      </font>
      <numFmt numFmtId="2" formatCode="0.00"/>
    </dxf>
    <dxf>
      <font>
        <strike val="0"/>
        <outline val="0"/>
        <shadow val="0"/>
        <u val="none"/>
        <vertAlign val="baseline"/>
        <sz val="8"/>
        <name val="Calibri"/>
        <scheme val="minor"/>
      </font>
      <numFmt numFmtId="2" formatCode="0.00"/>
    </dxf>
    <dxf>
      <font>
        <strike val="0"/>
        <outline val="0"/>
        <shadow val="0"/>
        <u val="none"/>
        <vertAlign val="baseline"/>
        <sz val="8"/>
        <name val="Calibri"/>
        <scheme val="minor"/>
      </font>
      <numFmt numFmtId="2" formatCode="0.00"/>
    </dxf>
    <dxf>
      <font>
        <strike val="0"/>
        <outline val="0"/>
        <shadow val="0"/>
        <u val="none"/>
        <vertAlign val="baseline"/>
        <sz val="8"/>
        <name val="Calibri"/>
        <scheme val="minor"/>
      </font>
      <numFmt numFmtId="2" formatCode="0.00"/>
    </dxf>
    <dxf>
      <font>
        <strike val="0"/>
        <outline val="0"/>
        <shadow val="0"/>
        <u val="none"/>
        <vertAlign val="baseline"/>
        <sz val="8"/>
        <name val="Calibri"/>
        <scheme val="minor"/>
      </font>
      <numFmt numFmtId="2" formatCode="0.00"/>
    </dxf>
    <dxf>
      <font>
        <b val="0"/>
        <i val="0"/>
        <strike val="0"/>
        <condense val="0"/>
        <extend val="0"/>
        <outline val="0"/>
        <shadow val="0"/>
        <u val="none"/>
        <vertAlign val="baseline"/>
        <sz val="8"/>
        <color rgb="FF00B050"/>
        <name val="Calibri"/>
        <scheme val="minor"/>
      </font>
      <numFmt numFmtId="2" formatCode="0.00"/>
    </dxf>
    <dxf>
      <font>
        <strike val="0"/>
        <outline val="0"/>
        <shadow val="0"/>
        <u val="none"/>
        <vertAlign val="baseline"/>
        <sz val="8"/>
        <color rgb="FF00B050"/>
        <name val="Calibri"/>
        <scheme val="minor"/>
      </font>
      <numFmt numFmtId="14" formatCode="0.00%"/>
    </dxf>
    <dxf>
      <font>
        <strike val="0"/>
        <outline val="0"/>
        <shadow val="0"/>
        <u val="none"/>
        <vertAlign val="baseline"/>
        <sz val="8"/>
        <color rgb="FF00B050"/>
        <name val="Calibri"/>
        <scheme val="minor"/>
      </font>
      <numFmt numFmtId="14" formatCode="0.00%"/>
    </dxf>
    <dxf>
      <font>
        <strike val="0"/>
        <outline val="0"/>
        <shadow val="0"/>
        <u val="none"/>
        <vertAlign val="baseline"/>
        <sz val="8"/>
        <color rgb="FF00B050"/>
        <name val="Calibri"/>
        <scheme val="minor"/>
      </font>
      <numFmt numFmtId="14" formatCode="0.00%"/>
    </dxf>
    <dxf>
      <font>
        <b val="0"/>
        <i val="0"/>
        <strike val="0"/>
        <condense val="0"/>
        <extend val="0"/>
        <outline val="0"/>
        <shadow val="0"/>
        <u val="none"/>
        <vertAlign val="baseline"/>
        <sz val="8"/>
        <color rgb="FF00B050"/>
        <name val="Calibri"/>
        <scheme val="minor"/>
      </font>
      <numFmt numFmtId="2" formatCode="0.00"/>
    </dxf>
    <dxf>
      <font>
        <b val="0"/>
        <i val="0"/>
        <strike val="0"/>
        <condense val="0"/>
        <extend val="0"/>
        <outline val="0"/>
        <shadow val="0"/>
        <u val="none"/>
        <vertAlign val="baseline"/>
        <sz val="8"/>
        <color rgb="FF00B050"/>
        <name val="Calibri"/>
        <scheme val="minor"/>
      </font>
      <numFmt numFmtId="2" formatCode="0.00"/>
    </dxf>
    <dxf>
      <font>
        <strike val="0"/>
        <outline val="0"/>
        <shadow val="0"/>
        <u val="none"/>
        <vertAlign val="baseline"/>
        <sz val="8"/>
        <color rgb="FF00B050"/>
        <name val="Calibri"/>
        <scheme val="minor"/>
      </font>
      <numFmt numFmtId="2" formatCode="0.00"/>
    </dxf>
    <dxf>
      <font>
        <strike val="0"/>
        <outline val="0"/>
        <shadow val="0"/>
        <u val="none"/>
        <vertAlign val="baseline"/>
        <sz val="8"/>
        <color rgb="FF00B050"/>
        <name val="Calibri"/>
        <scheme val="minor"/>
      </font>
      <numFmt numFmtId="2" formatCode="0.00"/>
    </dxf>
    <dxf>
      <font>
        <strike val="0"/>
        <outline val="0"/>
        <shadow val="0"/>
        <u val="none"/>
        <vertAlign val="baseline"/>
        <sz val="8"/>
        <color rgb="FF00B050"/>
        <name val="Calibri"/>
        <scheme val="minor"/>
      </font>
      <numFmt numFmtId="2" formatCode="0.00"/>
    </dxf>
    <dxf>
      <font>
        <strike val="0"/>
        <outline val="0"/>
        <shadow val="0"/>
        <u val="none"/>
        <vertAlign val="baseline"/>
        <sz val="8"/>
        <color theme="3" tint="0.39997558519241921"/>
        <name val="Calibri"/>
        <scheme val="minor"/>
      </font>
      <numFmt numFmtId="165" formatCode="0.0"/>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0" tint="-0.34998626667073579"/>
        <name val="Calibri"/>
        <scheme val="minor"/>
      </font>
      <numFmt numFmtId="14" formatCode="0.00%"/>
    </dxf>
    <dxf>
      <font>
        <strike val="0"/>
        <outline val="0"/>
        <shadow val="0"/>
        <u val="none"/>
        <vertAlign val="baseline"/>
        <sz val="8"/>
        <color theme="0" tint="-0.34998626667073579"/>
        <name val="Calibri"/>
        <scheme val="minor"/>
      </font>
      <numFmt numFmtId="2" formatCode="0.00"/>
    </dxf>
    <dxf>
      <font>
        <strike val="0"/>
        <outline val="0"/>
        <shadow val="0"/>
        <u val="none"/>
        <vertAlign val="baseline"/>
        <sz val="8"/>
        <name val="Calibri"/>
        <scheme val="minor"/>
      </font>
      <numFmt numFmtId="2" formatCode="0.00"/>
    </dxf>
    <dxf>
      <font>
        <strike val="0"/>
        <outline val="0"/>
        <shadow val="0"/>
        <u val="none"/>
        <vertAlign val="baseline"/>
        <sz val="8"/>
        <name val="Calibri"/>
        <scheme val="minor"/>
      </font>
      <numFmt numFmtId="2" formatCode="0.00"/>
    </dxf>
    <dxf>
      <font>
        <strike val="0"/>
        <outline val="0"/>
        <shadow val="0"/>
        <u val="none"/>
        <vertAlign val="baseline"/>
        <sz val="8"/>
        <name val="Calibri"/>
        <scheme val="minor"/>
      </font>
      <numFmt numFmtId="164" formatCode="0.000"/>
    </dxf>
    <dxf>
      <font>
        <strike val="0"/>
        <outline val="0"/>
        <shadow val="0"/>
        <u val="none"/>
        <vertAlign val="baseline"/>
        <sz val="8"/>
        <name val="Calibri"/>
        <scheme val="minor"/>
      </font>
      <numFmt numFmtId="164" formatCode="0.000"/>
    </dxf>
    <dxf>
      <font>
        <strike val="0"/>
        <outline val="0"/>
        <shadow val="0"/>
        <u val="none"/>
        <vertAlign val="baseline"/>
        <sz val="8"/>
        <name val="Calibri"/>
        <scheme val="minor"/>
      </font>
      <numFmt numFmtId="30" formatCode="@"/>
    </dxf>
    <dxf>
      <font>
        <strike val="0"/>
        <outline val="0"/>
        <shadow val="0"/>
        <u val="none"/>
        <vertAlign val="baseline"/>
        <sz val="8"/>
        <name val="Calibri"/>
        <scheme val="minor"/>
      </font>
      <numFmt numFmtId="30" formatCode="@"/>
    </dxf>
    <dxf>
      <font>
        <strike val="0"/>
        <outline val="0"/>
        <shadow val="0"/>
        <u val="none"/>
        <vertAlign val="baseline"/>
        <sz val="8"/>
        <name val="Calibri"/>
        <scheme val="minor"/>
      </font>
      <numFmt numFmtId="14" formatCode="0.00%"/>
      <alignment horizontal="right" vertical="bottom" textRotation="0" wrapText="0" relativeIndent="0" justifyLastLine="0" shrinkToFit="0" readingOrder="0"/>
      <protection locked="0" hidden="0"/>
    </dxf>
    <dxf>
      <font>
        <strike val="0"/>
        <outline val="0"/>
        <shadow val="0"/>
        <u val="none"/>
        <vertAlign val="baseline"/>
        <sz val="8"/>
        <name val="Calibri"/>
        <scheme val="minor"/>
      </font>
      <alignment horizontal="right" vertical="bottom" textRotation="0" wrapText="0" relativeIndent="0" justifyLastLine="0" shrinkToFit="0" readingOrder="0"/>
      <protection locked="0" hidden="0"/>
    </dxf>
    <dxf>
      <font>
        <strike val="0"/>
        <outline val="0"/>
        <shadow val="0"/>
        <u val="none"/>
        <vertAlign val="baseline"/>
        <sz val="8"/>
        <name val="Calibri"/>
        <scheme val="minor"/>
      </font>
      <numFmt numFmtId="14" formatCode="0.00%"/>
      <alignment horizontal="right" vertical="bottom" textRotation="0" wrapText="0" relativeIndent="0" justifyLastLine="0" shrinkToFit="0" readingOrder="0"/>
      <protection locked="0" hidden="0"/>
    </dxf>
    <dxf>
      <font>
        <strike val="0"/>
        <outline val="0"/>
        <shadow val="0"/>
        <u val="none"/>
        <vertAlign val="baseline"/>
        <sz val="8"/>
        <name val="Calibri"/>
        <scheme val="minor"/>
      </font>
      <alignment horizontal="right" vertical="bottom" textRotation="0" wrapText="0" relativeIndent="0" justifyLastLine="0" shrinkToFit="0" readingOrder="0"/>
      <protection locked="0" hidden="0"/>
    </dxf>
    <dxf>
      <font>
        <strike val="0"/>
        <outline val="0"/>
        <shadow val="0"/>
        <u val="none"/>
        <vertAlign val="baseline"/>
        <sz val="8"/>
        <name val="Calibri"/>
        <scheme val="minor"/>
      </font>
      <protection locked="0" hidden="0"/>
    </dxf>
    <dxf>
      <font>
        <strike val="0"/>
        <outline val="0"/>
        <shadow val="0"/>
        <u val="none"/>
        <vertAlign val="baseline"/>
        <sz val="8"/>
        <name val="Calibri"/>
        <scheme val="minor"/>
      </font>
      <numFmt numFmtId="30" formatCode="@"/>
    </dxf>
    <dxf>
      <font>
        <strike val="0"/>
        <outline val="0"/>
        <shadow val="0"/>
        <u val="none"/>
        <vertAlign val="baseline"/>
        <sz val="8"/>
        <name val="Calibri"/>
        <scheme val="minor"/>
      </font>
    </dxf>
    <dxf>
      <font>
        <strike val="0"/>
        <outline val="0"/>
        <shadow val="0"/>
        <u val="none"/>
        <vertAlign val="baseline"/>
        <sz val="8"/>
        <name val="Calibri"/>
        <scheme val="minor"/>
      </font>
    </dxf>
    <dxf>
      <font>
        <strike val="0"/>
        <outline val="0"/>
        <shadow val="0"/>
        <u val="none"/>
        <vertAlign val="baseline"/>
        <sz val="8"/>
        <name val="Calibri"/>
        <scheme val="minor"/>
      </font>
    </dxf>
    <dxf>
      <font>
        <color theme="5" tint="0.39994506668294322"/>
      </font>
    </dxf>
    <dxf>
      <fill>
        <patternFill>
          <bgColor rgb="FFFFFF00"/>
        </patternFill>
      </fill>
    </dxf>
    <dxf>
      <font>
        <strike val="0"/>
        <outline val="0"/>
        <shadow val="0"/>
        <u val="none"/>
        <vertAlign val="baseline"/>
        <sz val="8"/>
        <name val="Calibri"/>
        <scheme val="minor"/>
      </font>
      <protection locked="0" hidden="0"/>
    </dxf>
    <dxf>
      <font>
        <strike val="0"/>
        <outline val="0"/>
        <shadow val="0"/>
        <u val="none"/>
        <vertAlign val="baseline"/>
        <sz val="8"/>
        <name val="Calibri"/>
        <scheme val="minor"/>
      </font>
      <numFmt numFmtId="2" formatCode="0.00"/>
      <protection locked="1" hidden="0"/>
    </dxf>
    <dxf>
      <font>
        <b val="0"/>
        <i val="0"/>
        <strike val="0"/>
        <condense val="0"/>
        <extend val="0"/>
        <outline val="0"/>
        <shadow val="0"/>
        <u val="none"/>
        <vertAlign val="baseline"/>
        <sz val="8"/>
        <color theme="1"/>
        <name val="Calibri"/>
        <scheme val="minor"/>
      </font>
      <numFmt numFmtId="2" formatCode="0.00"/>
      <protection locked="0" hidden="0"/>
    </dxf>
    <dxf>
      <font>
        <b val="0"/>
        <i val="0"/>
        <strike val="0"/>
        <condense val="0"/>
        <extend val="0"/>
        <outline val="0"/>
        <shadow val="0"/>
        <u val="none"/>
        <vertAlign val="baseline"/>
        <sz val="8"/>
        <color theme="1"/>
        <name val="Calibri"/>
        <scheme val="minor"/>
      </font>
      <numFmt numFmtId="2" formatCode="0.00"/>
      <protection locked="0" hidden="0"/>
    </dxf>
    <dxf>
      <font>
        <b val="0"/>
        <i val="0"/>
        <strike val="0"/>
        <condense val="0"/>
        <extend val="0"/>
        <outline val="0"/>
        <shadow val="0"/>
        <u val="none"/>
        <vertAlign val="baseline"/>
        <sz val="8"/>
        <color theme="1"/>
        <name val="Calibri"/>
        <scheme val="minor"/>
      </font>
      <numFmt numFmtId="2" formatCode="0.00"/>
      <protection locked="0" hidden="0"/>
    </dxf>
    <dxf>
      <font>
        <b val="0"/>
        <i val="0"/>
        <strike val="0"/>
        <condense val="0"/>
        <extend val="0"/>
        <outline val="0"/>
        <shadow val="0"/>
        <u val="none"/>
        <vertAlign val="baseline"/>
        <sz val="8"/>
        <color theme="1"/>
        <name val="Calibri"/>
        <scheme val="minor"/>
      </font>
      <numFmt numFmtId="14" formatCode="0.00%"/>
      <protection locked="0" hidden="0"/>
    </dxf>
    <dxf>
      <font>
        <b val="0"/>
        <i val="0"/>
        <strike val="0"/>
        <condense val="0"/>
        <extend val="0"/>
        <outline val="0"/>
        <shadow val="0"/>
        <u val="none"/>
        <vertAlign val="baseline"/>
        <sz val="8"/>
        <color theme="1"/>
        <name val="Calibri"/>
        <scheme val="minor"/>
      </font>
      <numFmt numFmtId="14" formatCode="0.00%"/>
      <protection locked="0" hidden="0"/>
    </dxf>
    <dxf>
      <font>
        <b val="0"/>
        <i val="0"/>
        <strike val="0"/>
        <condense val="0"/>
        <extend val="0"/>
        <outline val="0"/>
        <shadow val="0"/>
        <u val="none"/>
        <vertAlign val="baseline"/>
        <sz val="8"/>
        <color theme="1"/>
        <name val="Calibri"/>
        <scheme val="minor"/>
      </font>
      <numFmt numFmtId="14" formatCode="0.00%"/>
      <protection locked="0" hidden="0"/>
    </dxf>
    <dxf>
      <font>
        <b val="0"/>
        <i val="0"/>
        <strike val="0"/>
        <condense val="0"/>
        <extend val="0"/>
        <outline val="0"/>
        <shadow val="0"/>
        <u val="none"/>
        <vertAlign val="baseline"/>
        <sz val="8"/>
        <color theme="1"/>
        <name val="Calibri"/>
        <scheme val="minor"/>
      </font>
      <numFmt numFmtId="2" formatCode="0.00"/>
      <protection locked="0" hidden="0"/>
    </dxf>
    <dxf>
      <font>
        <b val="0"/>
        <i val="0"/>
        <strike val="0"/>
        <condense val="0"/>
        <extend val="0"/>
        <outline val="0"/>
        <shadow val="0"/>
        <u val="none"/>
        <vertAlign val="baseline"/>
        <sz val="8"/>
        <color theme="1"/>
        <name val="Calibri"/>
        <scheme val="minor"/>
      </font>
      <numFmt numFmtId="2" formatCode="0.00"/>
      <protection locked="0" hidden="0"/>
    </dxf>
    <dxf>
      <font>
        <b val="0"/>
        <i val="0"/>
        <strike val="0"/>
        <condense val="0"/>
        <extend val="0"/>
        <outline val="0"/>
        <shadow val="0"/>
        <u val="none"/>
        <vertAlign val="baseline"/>
        <sz val="8"/>
        <color theme="1"/>
        <name val="Calibri"/>
        <scheme val="minor"/>
      </font>
      <numFmt numFmtId="2" formatCode="0.00"/>
      <protection locked="0" hidden="0"/>
    </dxf>
    <dxf>
      <font>
        <b val="0"/>
        <i val="0"/>
        <strike val="0"/>
        <condense val="0"/>
        <extend val="0"/>
        <outline val="0"/>
        <shadow val="0"/>
        <u val="none"/>
        <vertAlign val="baseline"/>
        <sz val="8"/>
        <color theme="1"/>
        <name val="Calibri"/>
        <scheme val="minor"/>
      </font>
      <numFmt numFmtId="2" formatCode="0.00"/>
      <protection locked="1" hidden="0"/>
    </dxf>
    <dxf>
      <font>
        <i val="0"/>
        <strike val="0"/>
        <outline val="0"/>
        <shadow val="0"/>
        <u val="none"/>
        <vertAlign val="baseline"/>
        <sz val="8"/>
        <name val="Calibri"/>
        <scheme val="minor"/>
      </font>
      <numFmt numFmtId="2" formatCode="0.00"/>
      <protection locked="0" hidden="0"/>
    </dxf>
    <dxf>
      <font>
        <b val="0"/>
        <strike val="0"/>
        <outline val="0"/>
        <shadow val="0"/>
        <u val="none"/>
        <vertAlign val="baseline"/>
        <sz val="8"/>
        <color theme="4" tint="0.39997558519241921"/>
        <name val="Calibri"/>
        <scheme val="minor"/>
      </font>
      <numFmt numFmtId="0" formatCode="General"/>
      <fill>
        <patternFill patternType="none">
          <fgColor indexed="64"/>
          <bgColor indexed="65"/>
        </patternFill>
      </fill>
      <protection locked="0" hidden="0"/>
    </dxf>
    <dxf>
      <font>
        <b val="0"/>
        <i val="0"/>
        <strike val="0"/>
        <condense val="0"/>
        <extend val="0"/>
        <outline val="0"/>
        <shadow val="0"/>
        <u val="none"/>
        <vertAlign val="baseline"/>
        <sz val="8"/>
        <color theme="1"/>
        <name val="Calibri"/>
        <scheme val="minor"/>
      </font>
      <alignment horizontal="center" vertical="bottom" textRotation="0" wrapText="0" relativeIndent="0" justifyLastLine="0" shrinkToFit="0" readingOrder="0"/>
      <protection locked="0" hidden="0"/>
    </dxf>
    <dxf>
      <font>
        <b val="0"/>
        <i val="0"/>
        <strike val="0"/>
        <condense val="0"/>
        <extend val="0"/>
        <outline val="0"/>
        <shadow val="0"/>
        <u val="none"/>
        <vertAlign val="baseline"/>
        <sz val="8"/>
        <color theme="1"/>
        <name val="Calibri"/>
        <scheme val="minor"/>
      </font>
      <alignment horizontal="center" vertical="bottom" textRotation="0" wrapText="0" relativeIndent="0" justifyLastLine="0" shrinkToFit="0" readingOrder="0"/>
      <protection locked="0" hidden="0"/>
    </dxf>
    <dxf>
      <font>
        <b val="0"/>
        <i val="0"/>
        <strike val="0"/>
        <condense val="0"/>
        <extend val="0"/>
        <outline val="0"/>
        <shadow val="0"/>
        <u val="none"/>
        <vertAlign val="baseline"/>
        <sz val="8"/>
        <color theme="1"/>
        <name val="Calibri"/>
        <scheme val="minor"/>
      </font>
      <alignment horizontal="center" vertical="bottom" textRotation="0" wrapText="0" relativeIndent="0" justifyLastLine="0" shrinkToFit="0" readingOrder="0"/>
      <protection locked="0" hidden="0"/>
    </dxf>
    <dxf>
      <font>
        <b val="0"/>
        <i val="0"/>
        <strike val="0"/>
        <condense val="0"/>
        <extend val="0"/>
        <outline val="0"/>
        <shadow val="0"/>
        <u val="none"/>
        <vertAlign val="baseline"/>
        <sz val="8"/>
        <color theme="1"/>
        <name val="Calibri"/>
        <scheme val="minor"/>
      </font>
      <numFmt numFmtId="14" formatCode="0.00%"/>
      <protection locked="0" hidden="0"/>
    </dxf>
    <dxf>
      <font>
        <b val="0"/>
        <i val="0"/>
        <strike val="0"/>
        <condense val="0"/>
        <extend val="0"/>
        <outline val="0"/>
        <shadow val="0"/>
        <u val="none"/>
        <vertAlign val="baseline"/>
        <sz val="8"/>
        <color theme="1"/>
        <name val="Calibri"/>
        <scheme val="minor"/>
      </font>
      <numFmt numFmtId="30" formatCode="@"/>
      <protection locked="0" hidden="0"/>
    </dxf>
    <dxf>
      <font>
        <b val="0"/>
        <i val="0"/>
        <strike val="0"/>
        <condense val="0"/>
        <extend val="0"/>
        <outline val="0"/>
        <shadow val="0"/>
        <u val="none"/>
        <vertAlign val="baseline"/>
        <sz val="8"/>
        <color theme="1"/>
        <name val="Calibri"/>
        <scheme val="minor"/>
      </font>
      <numFmt numFmtId="30" formatCode="@"/>
      <protection locked="0" hidden="0"/>
    </dxf>
    <dxf>
      <font>
        <b val="0"/>
        <i val="0"/>
        <strike val="0"/>
        <condense val="0"/>
        <extend val="0"/>
        <outline val="0"/>
        <shadow val="0"/>
        <u val="none"/>
        <vertAlign val="baseline"/>
        <sz val="8"/>
        <color theme="1"/>
        <name val="Calibri"/>
        <scheme val="minor"/>
      </font>
      <numFmt numFmtId="30" formatCode="@"/>
      <protection locked="0" hidden="0"/>
    </dxf>
    <dxf>
      <font>
        <strike val="0"/>
        <outline val="0"/>
        <shadow val="0"/>
        <u val="none"/>
        <vertAlign val="baseline"/>
        <sz val="8"/>
        <name val="Calibri"/>
        <scheme val="minor"/>
      </font>
      <numFmt numFmtId="2" formatCode="0.00"/>
      <protection locked="0" hidden="0"/>
    </dxf>
    <dxf>
      <font>
        <strike val="0"/>
        <outline val="0"/>
        <shadow val="0"/>
        <u val="none"/>
        <vertAlign val="baseline"/>
        <sz val="8"/>
        <name val="Calibri"/>
        <scheme val="minor"/>
      </font>
      <numFmt numFmtId="2" formatCode="0.00"/>
      <protection locked="0" hidden="0"/>
    </dxf>
    <dxf>
      <font>
        <strike val="0"/>
        <outline val="0"/>
        <shadow val="0"/>
        <u val="none"/>
        <vertAlign val="baseline"/>
        <sz val="8"/>
        <name val="Calibri"/>
        <scheme val="minor"/>
      </font>
      <numFmt numFmtId="2" formatCode="0.00"/>
      <protection locked="0" hidden="0"/>
    </dxf>
    <dxf>
      <font>
        <strike val="0"/>
        <outline val="0"/>
        <shadow val="0"/>
        <u val="none"/>
        <vertAlign val="baseline"/>
        <sz val="8"/>
        <name val="Calibri"/>
        <scheme val="minor"/>
      </font>
      <numFmt numFmtId="164" formatCode="0.000"/>
      <protection locked="0" hidden="0"/>
    </dxf>
    <dxf>
      <font>
        <strike val="0"/>
        <outline val="0"/>
        <shadow val="0"/>
        <u val="none"/>
        <vertAlign val="baseline"/>
        <sz val="8"/>
        <name val="Calibri"/>
        <scheme val="minor"/>
      </font>
      <numFmt numFmtId="164" formatCode="0.000"/>
      <protection locked="0" hidden="0"/>
    </dxf>
    <dxf>
      <font>
        <strike val="0"/>
        <outline val="0"/>
        <shadow val="0"/>
        <u val="none"/>
        <vertAlign val="baseline"/>
        <sz val="8"/>
        <name val="Calibri"/>
        <scheme val="minor"/>
      </font>
      <numFmt numFmtId="164" formatCode="0.000"/>
      <protection locked="0" hidden="0"/>
    </dxf>
    <dxf>
      <font>
        <strike val="0"/>
        <outline val="0"/>
        <shadow val="0"/>
        <u val="none"/>
        <vertAlign val="baseline"/>
        <sz val="8"/>
        <name val="Calibri"/>
        <scheme val="minor"/>
      </font>
      <protection locked="0" hidden="0"/>
    </dxf>
    <dxf>
      <font>
        <strike val="0"/>
        <outline val="0"/>
        <shadow val="0"/>
        <u val="none"/>
        <vertAlign val="baseline"/>
        <sz val="8"/>
        <name val="Calibri"/>
        <scheme val="minor"/>
      </font>
      <numFmt numFmtId="14" formatCode="0.00%"/>
      <alignment horizontal="right" vertical="bottom" textRotation="0" wrapText="0" relativeIndent="0" justifyLastLine="0" shrinkToFit="0" readingOrder="0"/>
      <protection locked="0" hidden="0"/>
    </dxf>
    <dxf>
      <font>
        <strike val="0"/>
        <outline val="0"/>
        <shadow val="0"/>
        <u val="none"/>
        <vertAlign val="baseline"/>
        <sz val="8"/>
        <name val="Calibri"/>
        <scheme val="minor"/>
      </font>
      <numFmt numFmtId="14" formatCode="0.00%"/>
      <alignment horizontal="right" vertical="bottom" textRotation="0" wrapText="0" relativeIndent="0" justifyLastLine="0" shrinkToFit="0" readingOrder="0"/>
      <protection locked="0" hidden="0"/>
    </dxf>
    <dxf>
      <font>
        <strike val="0"/>
        <outline val="0"/>
        <shadow val="0"/>
        <u val="none"/>
        <vertAlign val="baseline"/>
        <sz val="8"/>
        <name val="Calibri"/>
        <scheme val="minor"/>
      </font>
      <numFmt numFmtId="14" formatCode="0.00%"/>
      <alignment horizontal="right" vertical="bottom" textRotation="0" wrapText="0" relativeIndent="0" justifyLastLine="0" shrinkToFit="0" readingOrder="0"/>
      <protection locked="0" hidden="0"/>
    </dxf>
    <dxf>
      <font>
        <strike val="0"/>
        <outline val="0"/>
        <shadow val="0"/>
        <u val="none"/>
        <vertAlign val="baseline"/>
        <sz val="8"/>
        <name val="Calibri"/>
        <scheme val="minor"/>
      </font>
      <alignment horizontal="right" vertical="bottom" textRotation="0" wrapText="0" indent="0" justifyLastLine="0" shrinkToFit="0" readingOrder="0"/>
      <protection locked="0" hidden="0"/>
    </dxf>
    <dxf>
      <font>
        <strike val="0"/>
        <outline val="0"/>
        <shadow val="0"/>
        <u val="none"/>
        <vertAlign val="baseline"/>
        <sz val="8"/>
        <name val="Calibri"/>
        <scheme val="minor"/>
      </font>
      <alignment horizontal="right" vertical="bottom" textRotation="0" wrapText="0" indent="0" justifyLastLine="0" shrinkToFit="0" readingOrder="0"/>
      <protection locked="0" hidden="0"/>
    </dxf>
    <dxf>
      <font>
        <strike val="0"/>
        <outline val="0"/>
        <shadow val="0"/>
        <u val="none"/>
        <vertAlign val="baseline"/>
        <sz val="8"/>
        <name val="Calibri"/>
        <scheme val="minor"/>
      </font>
      <alignment horizontal="right" vertical="bottom" textRotation="0" wrapText="0" indent="0" justifyLastLine="0" shrinkToFit="0" readingOrder="0"/>
      <protection locked="0" hidden="0"/>
    </dxf>
    <dxf>
      <font>
        <strike val="0"/>
        <outline val="0"/>
        <shadow val="0"/>
        <u val="none"/>
        <vertAlign val="baseline"/>
        <sz val="8"/>
        <name val="Calibri"/>
        <scheme val="minor"/>
      </font>
      <protection locked="0" hidden="0"/>
    </dxf>
    <dxf>
      <font>
        <strike val="0"/>
        <outline val="0"/>
        <shadow val="0"/>
        <u val="none"/>
        <vertAlign val="baseline"/>
        <sz val="8"/>
        <name val="Calibri"/>
        <scheme val="minor"/>
      </font>
      <numFmt numFmtId="30" formatCode="@"/>
      <protection locked="0" hidden="0"/>
    </dxf>
    <dxf>
      <font>
        <strike val="0"/>
        <outline val="0"/>
        <shadow val="0"/>
        <u val="none"/>
        <vertAlign val="baseline"/>
        <sz val="8"/>
        <name val="Calibri"/>
        <scheme val="minor"/>
      </font>
      <protection locked="0" hidden="0"/>
    </dxf>
    <dxf>
      <border outline="0">
        <left style="thin">
          <color theme="1"/>
        </left>
        <right style="thin">
          <color theme="1"/>
        </right>
        <top style="thin">
          <color theme="1"/>
        </top>
        <bottom style="thin">
          <color theme="1"/>
        </bottom>
      </border>
    </dxf>
    <dxf>
      <font>
        <strike val="0"/>
        <outline val="0"/>
        <shadow val="0"/>
        <u val="none"/>
        <vertAlign val="baseline"/>
        <sz val="8"/>
        <name val="Calibri"/>
        <scheme val="minor"/>
      </font>
      <protection locked="0" hidden="0"/>
    </dxf>
    <dxf>
      <border outline="0">
        <bottom style="thin">
          <color theme="1"/>
        </bottom>
      </border>
    </dxf>
    <dxf>
      <font>
        <b/>
        <i val="0"/>
        <strike val="0"/>
        <condense val="0"/>
        <extend val="0"/>
        <outline val="0"/>
        <shadow val="0"/>
        <u val="none"/>
        <vertAlign val="baseline"/>
        <sz val="8"/>
        <color theme="0"/>
        <name val="Calibri"/>
        <scheme val="minor"/>
      </font>
      <fill>
        <patternFill patternType="solid">
          <fgColor theme="1"/>
          <bgColor theme="1"/>
        </patternFill>
      </fill>
      <protection locked="0" hidden="0"/>
    </dxf>
    <dxf>
      <fill>
        <patternFill>
          <bgColor theme="4" tint="0.79998168889431442"/>
        </patternFill>
      </fill>
    </dxf>
    <dxf>
      <font>
        <color theme="5" tint="0.39994506668294322"/>
      </font>
    </dxf>
    <dxf>
      <font>
        <color rgb="FF00B050"/>
      </font>
    </dxf>
    <dxf>
      <fill>
        <patternFill>
          <bgColor rgb="FFFFFF00"/>
        </patternFill>
      </fill>
    </dxf>
    <dxf>
      <fill>
        <patternFill patternType="solid">
          <fgColor rgb="FFB8CCE4"/>
          <bgColor rgb="FFB8CCE4"/>
        </patternFill>
      </fill>
    </dxf>
    <dxf>
      <fill>
        <patternFill patternType="solid">
          <fgColor rgb="FFB8CCE4"/>
          <bgColor rgb="FFB8CCE4"/>
        </patternFill>
      </fill>
    </dxf>
    <dxf>
      <font>
        <b/>
        <color rgb="FFFFFFFF"/>
      </font>
      <fill>
        <patternFill patternType="solid">
          <fgColor rgb="FF4F81BD"/>
          <bgColor rgb="FF4F81BD"/>
        </patternFill>
      </fill>
    </dxf>
    <dxf>
      <font>
        <b/>
        <color rgb="FFFFFFFF"/>
      </font>
      <fill>
        <patternFill patternType="solid">
          <fgColor rgb="FF4F81BD"/>
          <bgColor rgb="FF4F81BD"/>
        </patternFill>
      </fill>
    </dxf>
    <dxf>
      <font>
        <b/>
        <color rgb="FFFFFFFF"/>
      </font>
      <fill>
        <patternFill patternType="solid">
          <fgColor rgb="FF4F81BD"/>
          <bgColor rgb="FF4F81BD"/>
        </patternFill>
      </fill>
      <border>
        <top style="thick">
          <color rgb="FFFFFFFF"/>
        </top>
      </border>
    </dxf>
    <dxf>
      <font>
        <b/>
        <color rgb="FFFFFFFF"/>
      </font>
      <fill>
        <patternFill patternType="solid">
          <fgColor rgb="FF4F81BD"/>
          <bgColor rgb="FF4F81BD"/>
        </patternFill>
      </fill>
      <border>
        <bottom style="thick">
          <color rgb="FFFFFFFF"/>
        </bottom>
      </border>
    </dxf>
    <dxf>
      <font>
        <color rgb="FF000000"/>
      </font>
      <fill>
        <patternFill patternType="solid">
          <fgColor rgb="FFDBE5F1"/>
          <bgColor rgb="FFDBE5F1"/>
        </patternFill>
      </fill>
      <border>
        <vertical style="thin">
          <color rgb="FFFFFFFF"/>
        </vertical>
        <horizontal style="thin">
          <color rgb="FFFFFFFF"/>
        </horizontal>
      </border>
    </dxf>
    <dxf>
      <fill>
        <patternFill patternType="solid">
          <fgColor rgb="FFDBE5F1"/>
          <bgColor rgb="FFDBE5F1"/>
        </patternFill>
      </fill>
    </dxf>
    <dxf>
      <fill>
        <patternFill patternType="solid">
          <fgColor rgb="FFDBE5F1"/>
          <bgColor rgb="FFDBE5F1"/>
        </patternFill>
      </fill>
    </dxf>
    <dxf>
      <font>
        <b/>
        <color rgb="FF000000"/>
      </font>
    </dxf>
    <dxf>
      <font>
        <b/>
        <color rgb="FF000000"/>
      </font>
    </dxf>
    <dxf>
      <font>
        <b/>
        <color rgb="FF000000"/>
      </font>
      <border>
        <top style="double">
          <color rgb="FF4F81BD"/>
        </top>
      </border>
    </dxf>
    <dxf>
      <font>
        <b/>
        <color rgb="FFFFFFFF"/>
      </font>
      <fill>
        <patternFill patternType="solid">
          <fgColor rgb="FF4F81BD"/>
          <bgColor rgb="FF4F81BD"/>
        </patternFill>
      </fill>
    </dxf>
    <dxf>
      <font>
        <color rgb="FF000000"/>
      </font>
      <border>
        <left style="thin">
          <color rgb="FF95B3D7"/>
        </left>
        <right style="thin">
          <color rgb="FF95B3D7"/>
        </right>
        <top style="thin">
          <color rgb="FF95B3D7"/>
        </top>
        <bottom style="thin">
          <color rgb="FF95B3D7"/>
        </bottom>
        <horizontal style="thin">
          <color rgb="FF95B3D7"/>
        </horizontal>
      </border>
    </dxf>
  </dxfs>
  <tableStyles count="3" defaultTableStyle="TableStyleMedium9" defaultPivotStyle="PivotStyleLight16">
    <tableStyle name="Pivottabellformat 1" table="0" count="0"/>
    <tableStyle name="TableStyleMedium2 2" pivot="0" count="7">
      <tableStyleElement type="wholeTable" dxfId="201"/>
      <tableStyleElement type="headerRow" dxfId="200"/>
      <tableStyleElement type="totalRow" dxfId="199"/>
      <tableStyleElement type="firstColumn" dxfId="198"/>
      <tableStyleElement type="lastColumn" dxfId="197"/>
      <tableStyleElement type="firstRowStripe" dxfId="196"/>
      <tableStyleElement type="firstColumnStripe" dxfId="195"/>
    </tableStyle>
    <tableStyle name="TableStyleMedium9 2" pivot="0" count="7">
      <tableStyleElement type="wholeTable" dxfId="194"/>
      <tableStyleElement type="headerRow" dxfId="193"/>
      <tableStyleElement type="totalRow" dxfId="192"/>
      <tableStyleElement type="firstColumn" dxfId="191"/>
      <tableStyleElement type="lastColumn" dxfId="190"/>
      <tableStyleElement type="firstRowStripe" dxfId="189"/>
      <tableStyleElement type="firstColumnStripe" dxfId="188"/>
    </tableStyle>
  </tableStyles>
  <colors>
    <mruColors>
      <color rgb="FF52B5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2400" b="0">
                <a:latin typeface="Droid Sans" panose="020B0606030804020204" pitchFamily="34" charset="0"/>
                <a:ea typeface="Droid Sans" panose="020B0606030804020204" pitchFamily="34" charset="0"/>
                <a:cs typeface="Droid Sans" panose="020B0606030804020204" pitchFamily="34" charset="0"/>
              </a:defRPr>
            </a:pPr>
            <a:r>
              <a:rPr lang="en-US" sz="2400" b="0">
                <a:latin typeface="Droid Sans" panose="020B0606030804020204" pitchFamily="34" charset="0"/>
                <a:ea typeface="Droid Sans" panose="020B0606030804020204" pitchFamily="34" charset="0"/>
                <a:cs typeface="Droid Sans" panose="020B0606030804020204" pitchFamily="34" charset="0"/>
              </a:rPr>
              <a:t>Profit</a:t>
            </a:r>
          </a:p>
        </c:rich>
      </c:tx>
      <c:layout>
        <c:manualLayout>
          <c:xMode val="edge"/>
          <c:yMode val="edge"/>
          <c:x val="0.46212906347600402"/>
          <c:y val="2.8129395218002812E-2"/>
        </c:manualLayout>
      </c:layout>
      <c:overlay val="0"/>
    </c:title>
    <c:autoTitleDeleted val="0"/>
    <c:plotArea>
      <c:layout/>
      <c:lineChart>
        <c:grouping val="standard"/>
        <c:varyColors val="0"/>
        <c:ser>
          <c:idx val="0"/>
          <c:order val="0"/>
          <c:tx>
            <c:v>BackBets</c:v>
          </c:tx>
          <c:spPr>
            <a:ln w="22225">
              <a:solidFill>
                <a:srgbClr val="52B5D5"/>
              </a:solidFill>
            </a:ln>
          </c:spPr>
          <c:marker>
            <c:symbol val="none"/>
          </c:marker>
          <c:val>
            <c:numRef>
              <c:f>LogBackBets!$AI$1:$AI$1644</c:f>
              <c:numCache>
                <c:formatCode>0.00</c:formatCode>
                <c:ptCount val="1644"/>
                <c:pt idx="0" formatCode="General">
                  <c:v>0</c:v>
                </c:pt>
                <c:pt idx="1">
                  <c:v>28.560000000000002</c:v>
                </c:pt>
                <c:pt idx="2">
                  <c:v>61.2</c:v>
                </c:pt>
                <c:pt idx="3">
                  <c:v>84.08</c:v>
                </c:pt>
                <c:pt idx="4">
                  <c:v>102.97999999999999</c:v>
                </c:pt>
                <c:pt idx="5">
                  <c:v>72.97999999999999</c:v>
                </c:pt>
                <c:pt idx="6">
                  <c:v>90.38</c:v>
                </c:pt>
                <c:pt idx="7">
                  <c:v>90.38</c:v>
                </c:pt>
                <c:pt idx="8">
                  <c:v>70.38</c:v>
                </c:pt>
                <c:pt idx="9">
                  <c:v>95.88</c:v>
                </c:pt>
                <c:pt idx="10">
                  <c:v>95.88</c:v>
                </c:pt>
                <c:pt idx="11">
                  <c:v>95.88</c:v>
                </c:pt>
                <c:pt idx="12">
                  <c:v>95.88</c:v>
                </c:pt>
                <c:pt idx="13">
                  <c:v>71.88</c:v>
                </c:pt>
                <c:pt idx="14">
                  <c:v>91.56</c:v>
                </c:pt>
                <c:pt idx="15">
                  <c:v>73.56</c:v>
                </c:pt>
                <c:pt idx="16">
                  <c:v>95.34</c:v>
                </c:pt>
                <c:pt idx="17">
                  <c:v>112.59</c:v>
                </c:pt>
                <c:pt idx="18">
                  <c:v>87.59</c:v>
                </c:pt>
                <c:pt idx="19">
                  <c:v>75.59</c:v>
                </c:pt>
                <c:pt idx="20">
                  <c:v>88.090249999999997</c:v>
                </c:pt>
                <c:pt idx="21">
                  <c:v>88.090249999999997</c:v>
                </c:pt>
                <c:pt idx="22">
                  <c:v>117.99025</c:v>
                </c:pt>
                <c:pt idx="23">
                  <c:v>108.99025</c:v>
                </c:pt>
                <c:pt idx="24">
                  <c:v>108.99025</c:v>
                </c:pt>
                <c:pt idx="25">
                  <c:v>148.19024999999999</c:v>
                </c:pt>
                <c:pt idx="26">
                  <c:v>188.48024999999998</c:v>
                </c:pt>
                <c:pt idx="27">
                  <c:v>154.48024999999998</c:v>
                </c:pt>
                <c:pt idx="28">
                  <c:v>134.48024999999998</c:v>
                </c:pt>
                <c:pt idx="29">
                  <c:v>153.35024999999999</c:v>
                </c:pt>
                <c:pt idx="30">
                  <c:v>109.07024999999999</c:v>
                </c:pt>
                <c:pt idx="31">
                  <c:v>90.570249999999987</c:v>
                </c:pt>
                <c:pt idx="32">
                  <c:v>120.49024999999997</c:v>
                </c:pt>
                <c:pt idx="33">
                  <c:v>134.74024999999997</c:v>
                </c:pt>
                <c:pt idx="34">
                  <c:v>118.74024999999997</c:v>
                </c:pt>
                <c:pt idx="35">
                  <c:v>90.740249999999975</c:v>
                </c:pt>
                <c:pt idx="36">
                  <c:v>73.740249999999975</c:v>
                </c:pt>
                <c:pt idx="37">
                  <c:v>36.740249999999975</c:v>
                </c:pt>
                <c:pt idx="38">
                  <c:v>65.030249999999967</c:v>
                </c:pt>
                <c:pt idx="39">
                  <c:v>93.630249999999961</c:v>
                </c:pt>
                <c:pt idx="40">
                  <c:v>61.630249999999961</c:v>
                </c:pt>
                <c:pt idx="41">
                  <c:v>45.630249999999961</c:v>
                </c:pt>
                <c:pt idx="42">
                  <c:v>88.630249999999961</c:v>
                </c:pt>
                <c:pt idx="43">
                  <c:v>99.940249999999963</c:v>
                </c:pt>
                <c:pt idx="44">
                  <c:v>71.940249999999963</c:v>
                </c:pt>
                <c:pt idx="45">
                  <c:v>95.220249999999965</c:v>
                </c:pt>
                <c:pt idx="46">
                  <c:v>118.18024999999997</c:v>
                </c:pt>
                <c:pt idx="47">
                  <c:v>137.95124999999996</c:v>
                </c:pt>
                <c:pt idx="48">
                  <c:v>120.95124999999996</c:v>
                </c:pt>
                <c:pt idx="49">
                  <c:v>147.05124999999995</c:v>
                </c:pt>
                <c:pt idx="50">
                  <c:v>168.17124999999996</c:v>
                </c:pt>
                <c:pt idx="51">
                  <c:v>145.17124999999996</c:v>
                </c:pt>
                <c:pt idx="52">
                  <c:v>164.07124999999996</c:v>
                </c:pt>
                <c:pt idx="53">
                  <c:v>138.07124999999996</c:v>
                </c:pt>
                <c:pt idx="54">
                  <c:v>138.07124999999996</c:v>
                </c:pt>
                <c:pt idx="55">
                  <c:v>157.65124999999995</c:v>
                </c:pt>
                <c:pt idx="56">
                  <c:v>136.65124999999995</c:v>
                </c:pt>
                <c:pt idx="57">
                  <c:v>114.65124999999995</c:v>
                </c:pt>
                <c:pt idx="58">
                  <c:v>114.65124999999995</c:v>
                </c:pt>
                <c:pt idx="59">
                  <c:v>137.20124999999996</c:v>
                </c:pt>
                <c:pt idx="60">
                  <c:v>160.66124999999997</c:v>
                </c:pt>
                <c:pt idx="61">
                  <c:v>133.66124999999997</c:v>
                </c:pt>
                <c:pt idx="62">
                  <c:v>177.67124999999996</c:v>
                </c:pt>
                <c:pt idx="63">
                  <c:v>154.67124999999996</c:v>
                </c:pt>
                <c:pt idx="64">
                  <c:v>134.67124999999996</c:v>
                </c:pt>
                <c:pt idx="65">
                  <c:v>111.67124999999996</c:v>
                </c:pt>
                <c:pt idx="66">
                  <c:v>124.87124999999996</c:v>
                </c:pt>
                <c:pt idx="67">
                  <c:v>150.61124999999996</c:v>
                </c:pt>
                <c:pt idx="68">
                  <c:v>185.29124999999996</c:v>
                </c:pt>
                <c:pt idx="69">
                  <c:v>204.25124999999997</c:v>
                </c:pt>
                <c:pt idx="70">
                  <c:v>232.33124999999995</c:v>
                </c:pt>
                <c:pt idx="71">
                  <c:v>250.01124999999996</c:v>
                </c:pt>
                <c:pt idx="72">
                  <c:v>250.01124999999996</c:v>
                </c:pt>
                <c:pt idx="73">
                  <c:v>274.87124999999997</c:v>
                </c:pt>
                <c:pt idx="74">
                  <c:v>295.67124999999999</c:v>
                </c:pt>
                <c:pt idx="75">
                  <c:v>316.35124999999999</c:v>
                </c:pt>
                <c:pt idx="76">
                  <c:v>316.35124999999999</c:v>
                </c:pt>
                <c:pt idx="77">
                  <c:v>325.53125</c:v>
                </c:pt>
                <c:pt idx="78">
                  <c:v>325.53125</c:v>
                </c:pt>
                <c:pt idx="79">
                  <c:v>325.53125</c:v>
                </c:pt>
                <c:pt idx="80">
                  <c:v>308.53125</c:v>
                </c:pt>
                <c:pt idx="81">
                  <c:v>318.65125</c:v>
                </c:pt>
                <c:pt idx="82">
                  <c:v>303.65125</c:v>
                </c:pt>
                <c:pt idx="83">
                  <c:v>280.65125</c:v>
                </c:pt>
                <c:pt idx="84">
                  <c:v>295.61625000000004</c:v>
                </c:pt>
                <c:pt idx="85">
                  <c:v>277.61625000000004</c:v>
                </c:pt>
                <c:pt idx="86">
                  <c:v>295.65625000000006</c:v>
                </c:pt>
                <c:pt idx="87">
                  <c:v>314.54325000000006</c:v>
                </c:pt>
                <c:pt idx="88">
                  <c:v>314.54325000000006</c:v>
                </c:pt>
                <c:pt idx="89">
                  <c:v>314.54325000000006</c:v>
                </c:pt>
                <c:pt idx="90">
                  <c:v>314.54325000000006</c:v>
                </c:pt>
                <c:pt idx="91">
                  <c:v>335.24325000000005</c:v>
                </c:pt>
                <c:pt idx="92">
                  <c:v>270.24325000000005</c:v>
                </c:pt>
                <c:pt idx="93">
                  <c:v>252.24325000000005</c:v>
                </c:pt>
                <c:pt idx="94">
                  <c:v>273.04325000000006</c:v>
                </c:pt>
                <c:pt idx="95">
                  <c:v>257.04325000000006</c:v>
                </c:pt>
                <c:pt idx="96">
                  <c:v>257.04325000000006</c:v>
                </c:pt>
                <c:pt idx="97">
                  <c:v>257.04325000000006</c:v>
                </c:pt>
                <c:pt idx="98">
                  <c:v>277.44325000000003</c:v>
                </c:pt>
                <c:pt idx="99">
                  <c:v>296.13325000000003</c:v>
                </c:pt>
                <c:pt idx="100">
                  <c:v>317.30325000000005</c:v>
                </c:pt>
                <c:pt idx="101">
                  <c:v>267.30325000000005</c:v>
                </c:pt>
                <c:pt idx="102">
                  <c:v>290.66325000000006</c:v>
                </c:pt>
                <c:pt idx="103">
                  <c:v>308.30325000000005</c:v>
                </c:pt>
                <c:pt idx="104">
                  <c:v>338.00325000000004</c:v>
                </c:pt>
                <c:pt idx="105">
                  <c:v>385.85325000000006</c:v>
                </c:pt>
                <c:pt idx="106">
                  <c:v>423.93325000000004</c:v>
                </c:pt>
                <c:pt idx="107">
                  <c:v>390.93325000000004</c:v>
                </c:pt>
                <c:pt idx="108">
                  <c:v>420.02125000000007</c:v>
                </c:pt>
                <c:pt idx="109">
                  <c:v>442.99225000000007</c:v>
                </c:pt>
                <c:pt idx="110">
                  <c:v>396.99225000000007</c:v>
                </c:pt>
                <c:pt idx="111">
                  <c:v>388.99225000000007</c:v>
                </c:pt>
                <c:pt idx="112">
                  <c:v>373.99225000000007</c:v>
                </c:pt>
                <c:pt idx="113">
                  <c:v>351.99225000000007</c:v>
                </c:pt>
                <c:pt idx="114">
                  <c:v>389.98225000000008</c:v>
                </c:pt>
                <c:pt idx="115">
                  <c:v>425.47225000000009</c:v>
                </c:pt>
                <c:pt idx="116">
                  <c:v>382.47225000000009</c:v>
                </c:pt>
                <c:pt idx="117">
                  <c:v>369.47225000000009</c:v>
                </c:pt>
                <c:pt idx="118">
                  <c:v>343.47225000000009</c:v>
                </c:pt>
                <c:pt idx="119">
                  <c:v>314.47225000000009</c:v>
                </c:pt>
                <c:pt idx="120">
                  <c:v>288.47225000000009</c:v>
                </c:pt>
                <c:pt idx="121">
                  <c:v>264.47225000000009</c:v>
                </c:pt>
                <c:pt idx="122">
                  <c:v>304.95225000000005</c:v>
                </c:pt>
                <c:pt idx="123">
                  <c:v>304.95225000000005</c:v>
                </c:pt>
                <c:pt idx="124">
                  <c:v>288.95225000000005</c:v>
                </c:pt>
                <c:pt idx="125">
                  <c:v>309.95225000000005</c:v>
                </c:pt>
                <c:pt idx="126">
                  <c:v>285.95225000000005</c:v>
                </c:pt>
                <c:pt idx="127">
                  <c:v>285.95225000000005</c:v>
                </c:pt>
                <c:pt idx="128">
                  <c:v>303.88225000000006</c:v>
                </c:pt>
                <c:pt idx="129">
                  <c:v>332.44225000000006</c:v>
                </c:pt>
                <c:pt idx="130">
                  <c:v>345.91725000000008</c:v>
                </c:pt>
                <c:pt idx="131">
                  <c:v>363.59725000000009</c:v>
                </c:pt>
                <c:pt idx="132">
                  <c:v>382.48425000000009</c:v>
                </c:pt>
                <c:pt idx="133">
                  <c:v>354.48425000000009</c:v>
                </c:pt>
                <c:pt idx="134">
                  <c:v>392.2242500000001</c:v>
                </c:pt>
                <c:pt idx="135">
                  <c:v>429.96425000000011</c:v>
                </c:pt>
                <c:pt idx="136">
                  <c:v>438.87425000000013</c:v>
                </c:pt>
                <c:pt idx="137">
                  <c:v>438.87425000000013</c:v>
                </c:pt>
                <c:pt idx="138">
                  <c:v>398.87425000000013</c:v>
                </c:pt>
                <c:pt idx="139">
                  <c:v>368.87425000000013</c:v>
                </c:pt>
                <c:pt idx="140">
                  <c:v>401.99425000000014</c:v>
                </c:pt>
                <c:pt idx="141">
                  <c:v>431.78625000000011</c:v>
                </c:pt>
                <c:pt idx="142">
                  <c:v>450.82625000000013</c:v>
                </c:pt>
                <c:pt idx="143">
                  <c:v>426.82625000000013</c:v>
                </c:pt>
                <c:pt idx="144">
                  <c:v>397.82625000000013</c:v>
                </c:pt>
                <c:pt idx="145">
                  <c:v>385.82625000000013</c:v>
                </c:pt>
                <c:pt idx="146">
                  <c:v>385.82625000000013</c:v>
                </c:pt>
                <c:pt idx="147">
                  <c:v>361.82625000000013</c:v>
                </c:pt>
                <c:pt idx="148">
                  <c:v>361.82625000000013</c:v>
                </c:pt>
                <c:pt idx="149">
                  <c:v>336.82625000000013</c:v>
                </c:pt>
                <c:pt idx="150">
                  <c:v>336.82625000000013</c:v>
                </c:pt>
                <c:pt idx="151">
                  <c:v>309.82625000000013</c:v>
                </c:pt>
                <c:pt idx="152">
                  <c:v>278.82625000000013</c:v>
                </c:pt>
                <c:pt idx="153">
                  <c:v>269.82625000000013</c:v>
                </c:pt>
                <c:pt idx="154">
                  <c:v>286.38625000000013</c:v>
                </c:pt>
                <c:pt idx="155">
                  <c:v>308.98625000000015</c:v>
                </c:pt>
                <c:pt idx="156">
                  <c:v>292.98625000000015</c:v>
                </c:pt>
                <c:pt idx="157">
                  <c:v>310.48625000000015</c:v>
                </c:pt>
                <c:pt idx="158">
                  <c:v>331.08625000000018</c:v>
                </c:pt>
                <c:pt idx="159">
                  <c:v>346.38625000000019</c:v>
                </c:pt>
                <c:pt idx="160">
                  <c:v>326.38625000000019</c:v>
                </c:pt>
                <c:pt idx="161">
                  <c:v>306.38625000000019</c:v>
                </c:pt>
                <c:pt idx="162">
                  <c:v>326.39625000000018</c:v>
                </c:pt>
                <c:pt idx="163">
                  <c:v>351.23625000000015</c:v>
                </c:pt>
                <c:pt idx="164">
                  <c:v>368.61625000000015</c:v>
                </c:pt>
                <c:pt idx="165">
                  <c:v>349.61625000000015</c:v>
                </c:pt>
                <c:pt idx="166">
                  <c:v>337.61625000000015</c:v>
                </c:pt>
                <c:pt idx="167">
                  <c:v>390.11625000000015</c:v>
                </c:pt>
                <c:pt idx="168">
                  <c:v>449.20125000000019</c:v>
                </c:pt>
                <c:pt idx="169">
                  <c:v>439.20125000000019</c:v>
                </c:pt>
                <c:pt idx="170">
                  <c:v>463.20125000000019</c:v>
                </c:pt>
                <c:pt idx="171">
                  <c:v>454.20125000000019</c:v>
                </c:pt>
                <c:pt idx="172">
                  <c:v>411.20125000000019</c:v>
                </c:pt>
                <c:pt idx="173">
                  <c:v>435.64125000000018</c:v>
                </c:pt>
                <c:pt idx="174">
                  <c:v>459.5612500000002</c:v>
                </c:pt>
                <c:pt idx="175">
                  <c:v>432.5612500000002</c:v>
                </c:pt>
                <c:pt idx="176">
                  <c:v>455.24125000000021</c:v>
                </c:pt>
                <c:pt idx="177">
                  <c:v>455.24125000000021</c:v>
                </c:pt>
                <c:pt idx="178">
                  <c:v>467.60125000000022</c:v>
                </c:pt>
                <c:pt idx="179">
                  <c:v>427.60125000000022</c:v>
                </c:pt>
                <c:pt idx="180">
                  <c:v>394.60125000000022</c:v>
                </c:pt>
                <c:pt idx="181">
                  <c:v>426.10125000000022</c:v>
                </c:pt>
                <c:pt idx="182">
                  <c:v>404.10125000000022</c:v>
                </c:pt>
                <c:pt idx="183">
                  <c:v>396.10125000000022</c:v>
                </c:pt>
                <c:pt idx="184">
                  <c:v>414.97125000000023</c:v>
                </c:pt>
                <c:pt idx="185">
                  <c:v>432.26125000000025</c:v>
                </c:pt>
                <c:pt idx="186">
                  <c:v>459.98125000000027</c:v>
                </c:pt>
                <c:pt idx="187">
                  <c:v>445.98125000000027</c:v>
                </c:pt>
                <c:pt idx="188">
                  <c:v>426.98125000000027</c:v>
                </c:pt>
                <c:pt idx="189">
                  <c:v>401.98125000000027</c:v>
                </c:pt>
                <c:pt idx="190">
                  <c:v>425.44125000000025</c:v>
                </c:pt>
                <c:pt idx="191">
                  <c:v>456.13125000000025</c:v>
                </c:pt>
                <c:pt idx="192">
                  <c:v>456.13125000000025</c:v>
                </c:pt>
                <c:pt idx="193">
                  <c:v>467.65125000000023</c:v>
                </c:pt>
                <c:pt idx="194">
                  <c:v>479.89625000000024</c:v>
                </c:pt>
                <c:pt idx="195">
                  <c:v>479.89625000000024</c:v>
                </c:pt>
                <c:pt idx="196">
                  <c:v>501.49625000000026</c:v>
                </c:pt>
                <c:pt idx="197">
                  <c:v>485.49625000000026</c:v>
                </c:pt>
                <c:pt idx="198">
                  <c:v>454.49625000000026</c:v>
                </c:pt>
                <c:pt idx="199">
                  <c:v>413.49625000000026</c:v>
                </c:pt>
                <c:pt idx="200">
                  <c:v>359.49625000000026</c:v>
                </c:pt>
                <c:pt idx="201">
                  <c:v>305.49625000000026</c:v>
                </c:pt>
                <c:pt idx="202">
                  <c:v>313.82625000000024</c:v>
                </c:pt>
                <c:pt idx="203">
                  <c:v>329.30625000000026</c:v>
                </c:pt>
                <c:pt idx="204">
                  <c:v>339.38625000000025</c:v>
                </c:pt>
                <c:pt idx="205">
                  <c:v>373.37625000000025</c:v>
                </c:pt>
                <c:pt idx="206">
                  <c:v>389.86625000000026</c:v>
                </c:pt>
                <c:pt idx="207">
                  <c:v>382.86625000000026</c:v>
                </c:pt>
                <c:pt idx="208">
                  <c:v>382.86625000000026</c:v>
                </c:pt>
                <c:pt idx="209">
                  <c:v>345.86625000000026</c:v>
                </c:pt>
                <c:pt idx="210">
                  <c:v>360.55625000000026</c:v>
                </c:pt>
                <c:pt idx="211">
                  <c:v>372.79625000000027</c:v>
                </c:pt>
                <c:pt idx="212">
                  <c:v>349.79625000000027</c:v>
                </c:pt>
                <c:pt idx="213">
                  <c:v>349.79625000000027</c:v>
                </c:pt>
                <c:pt idx="214">
                  <c:v>335.79625000000027</c:v>
                </c:pt>
                <c:pt idx="215">
                  <c:v>349.13625000000025</c:v>
                </c:pt>
                <c:pt idx="216">
                  <c:v>342.13625000000025</c:v>
                </c:pt>
                <c:pt idx="217">
                  <c:v>378.32625000000024</c:v>
                </c:pt>
                <c:pt idx="218">
                  <c:v>398.33625000000023</c:v>
                </c:pt>
                <c:pt idx="219">
                  <c:v>417.37625000000025</c:v>
                </c:pt>
                <c:pt idx="220">
                  <c:v>448.42625000000027</c:v>
                </c:pt>
                <c:pt idx="221">
                  <c:v>433.42625000000027</c:v>
                </c:pt>
                <c:pt idx="222">
                  <c:v>456.65625000000023</c:v>
                </c:pt>
                <c:pt idx="223">
                  <c:v>442.65625000000023</c:v>
                </c:pt>
                <c:pt idx="224">
                  <c:v>461.15625000000023</c:v>
                </c:pt>
                <c:pt idx="225">
                  <c:v>432.15625000000023</c:v>
                </c:pt>
                <c:pt idx="226">
                  <c:v>417.15625000000023</c:v>
                </c:pt>
                <c:pt idx="227">
                  <c:v>403.15625000000023</c:v>
                </c:pt>
                <c:pt idx="228">
                  <c:v>415.33625000000023</c:v>
                </c:pt>
                <c:pt idx="229">
                  <c:v>360.33625000000023</c:v>
                </c:pt>
                <c:pt idx="230">
                  <c:v>354.33625000000023</c:v>
                </c:pt>
                <c:pt idx="231">
                  <c:v>348.83625000000023</c:v>
                </c:pt>
                <c:pt idx="232">
                  <c:v>348.83625000000023</c:v>
                </c:pt>
                <c:pt idx="233">
                  <c:v>355.79625000000021</c:v>
                </c:pt>
                <c:pt idx="234">
                  <c:v>344.79625000000021</c:v>
                </c:pt>
                <c:pt idx="235">
                  <c:v>364.57625000000019</c:v>
                </c:pt>
                <c:pt idx="236">
                  <c:v>344.57625000000019</c:v>
                </c:pt>
                <c:pt idx="237">
                  <c:v>355.4962500000002</c:v>
                </c:pt>
                <c:pt idx="238">
                  <c:v>367.08625000000018</c:v>
                </c:pt>
                <c:pt idx="239">
                  <c:v>394.46625000000017</c:v>
                </c:pt>
                <c:pt idx="240">
                  <c:v>360.46625000000017</c:v>
                </c:pt>
                <c:pt idx="241">
                  <c:v>360.46625000000017</c:v>
                </c:pt>
                <c:pt idx="242">
                  <c:v>381.26625000000018</c:v>
                </c:pt>
                <c:pt idx="243">
                  <c:v>432.17025000000018</c:v>
                </c:pt>
                <c:pt idx="244">
                  <c:v>396.17025000000018</c:v>
                </c:pt>
                <c:pt idx="245">
                  <c:v>396.17025000000018</c:v>
                </c:pt>
                <c:pt idx="246">
                  <c:v>418.95025000000021</c:v>
                </c:pt>
                <c:pt idx="247">
                  <c:v>436.95025000000021</c:v>
                </c:pt>
                <c:pt idx="248">
                  <c:v>417.95025000000021</c:v>
                </c:pt>
                <c:pt idx="249">
                  <c:v>417.95025000000021</c:v>
                </c:pt>
                <c:pt idx="250">
                  <c:v>395.95025000000021</c:v>
                </c:pt>
                <c:pt idx="251">
                  <c:v>419.95025000000021</c:v>
                </c:pt>
                <c:pt idx="252">
                  <c:v>445.48025000000018</c:v>
                </c:pt>
                <c:pt idx="253">
                  <c:v>469.63025000000016</c:v>
                </c:pt>
                <c:pt idx="254">
                  <c:v>507.71025000000014</c:v>
                </c:pt>
                <c:pt idx="255">
                  <c:v>492.71025000000014</c:v>
                </c:pt>
                <c:pt idx="256">
                  <c:v>518.24025000000017</c:v>
                </c:pt>
                <c:pt idx="257">
                  <c:v>501.24025000000017</c:v>
                </c:pt>
                <c:pt idx="258">
                  <c:v>531.24025000000017</c:v>
                </c:pt>
                <c:pt idx="259">
                  <c:v>531.24025000000017</c:v>
                </c:pt>
                <c:pt idx="260">
                  <c:v>525.24025000000017</c:v>
                </c:pt>
                <c:pt idx="261">
                  <c:v>551.11225000000013</c:v>
                </c:pt>
                <c:pt idx="262">
                  <c:v>577.76825000000008</c:v>
                </c:pt>
                <c:pt idx="263">
                  <c:v>560.76825000000008</c:v>
                </c:pt>
                <c:pt idx="264">
                  <c:v>560.76825000000008</c:v>
                </c:pt>
                <c:pt idx="265">
                  <c:v>594.51825000000008</c:v>
                </c:pt>
                <c:pt idx="266">
                  <c:v>584.51825000000008</c:v>
                </c:pt>
                <c:pt idx="267">
                  <c:v>605.31825000000003</c:v>
                </c:pt>
                <c:pt idx="268">
                  <c:v>574.31825000000003</c:v>
                </c:pt>
                <c:pt idx="269">
                  <c:v>593.91825000000006</c:v>
                </c:pt>
                <c:pt idx="270">
                  <c:v>612.00625000000002</c:v>
                </c:pt>
                <c:pt idx="271">
                  <c:v>598.00625000000002</c:v>
                </c:pt>
                <c:pt idx="272">
                  <c:v>585.00625000000002</c:v>
                </c:pt>
                <c:pt idx="273">
                  <c:v>606.30624999999998</c:v>
                </c:pt>
                <c:pt idx="274">
                  <c:v>592.30624999999998</c:v>
                </c:pt>
                <c:pt idx="275">
                  <c:v>592.30624999999998</c:v>
                </c:pt>
                <c:pt idx="276">
                  <c:v>560.30624999999998</c:v>
                </c:pt>
                <c:pt idx="277">
                  <c:v>574.88625000000002</c:v>
                </c:pt>
                <c:pt idx="278">
                  <c:v>598.06625000000008</c:v>
                </c:pt>
                <c:pt idx="279">
                  <c:v>584.06625000000008</c:v>
                </c:pt>
                <c:pt idx="280">
                  <c:v>604.0462500000001</c:v>
                </c:pt>
                <c:pt idx="281">
                  <c:v>623.57625000000007</c:v>
                </c:pt>
                <c:pt idx="282">
                  <c:v>641.57625000000007</c:v>
                </c:pt>
                <c:pt idx="283">
                  <c:v>635.57625000000007</c:v>
                </c:pt>
                <c:pt idx="284">
                  <c:v>653.1762500000001</c:v>
                </c:pt>
                <c:pt idx="285">
                  <c:v>671.53625000000011</c:v>
                </c:pt>
                <c:pt idx="286">
                  <c:v>692.53625000000011</c:v>
                </c:pt>
                <c:pt idx="287">
                  <c:v>705.62625000000014</c:v>
                </c:pt>
                <c:pt idx="288">
                  <c:v>661.62625000000014</c:v>
                </c:pt>
                <c:pt idx="289">
                  <c:v>670.85625000000016</c:v>
                </c:pt>
                <c:pt idx="290">
                  <c:v>647.85625000000016</c:v>
                </c:pt>
                <c:pt idx="291">
                  <c:v>577.85625000000016</c:v>
                </c:pt>
                <c:pt idx="292">
                  <c:v>610.91625000000022</c:v>
                </c:pt>
                <c:pt idx="293">
                  <c:v>634.89625000000024</c:v>
                </c:pt>
                <c:pt idx="294">
                  <c:v>570.89625000000024</c:v>
                </c:pt>
                <c:pt idx="295">
                  <c:v>551.89625000000024</c:v>
                </c:pt>
                <c:pt idx="296">
                  <c:v>535.39625000000024</c:v>
                </c:pt>
                <c:pt idx="297">
                  <c:v>544.03625000000022</c:v>
                </c:pt>
                <c:pt idx="298">
                  <c:v>532.03625000000022</c:v>
                </c:pt>
                <c:pt idx="299">
                  <c:v>544.39625000000024</c:v>
                </c:pt>
                <c:pt idx="300">
                  <c:v>544.39625000000024</c:v>
                </c:pt>
                <c:pt idx="301">
                  <c:v>527.39625000000024</c:v>
                </c:pt>
                <c:pt idx="302">
                  <c:v>502.39625000000024</c:v>
                </c:pt>
                <c:pt idx="303">
                  <c:v>516.64625000000024</c:v>
                </c:pt>
                <c:pt idx="304">
                  <c:v>505.14625000000024</c:v>
                </c:pt>
                <c:pt idx="305">
                  <c:v>493.14625000000024</c:v>
                </c:pt>
                <c:pt idx="306">
                  <c:v>517.29625000000021</c:v>
                </c:pt>
                <c:pt idx="307">
                  <c:v>510.29625000000021</c:v>
                </c:pt>
                <c:pt idx="308">
                  <c:v>510.29625000000021</c:v>
                </c:pt>
                <c:pt idx="309">
                  <c:v>534.29625000000021</c:v>
                </c:pt>
                <c:pt idx="310">
                  <c:v>554.69625000000019</c:v>
                </c:pt>
                <c:pt idx="311">
                  <c:v>586.04625000000021</c:v>
                </c:pt>
                <c:pt idx="312">
                  <c:v>569.04625000000021</c:v>
                </c:pt>
                <c:pt idx="313">
                  <c:v>539.04625000000021</c:v>
                </c:pt>
                <c:pt idx="314">
                  <c:v>595.14625000000024</c:v>
                </c:pt>
                <c:pt idx="315">
                  <c:v>612.30425000000025</c:v>
                </c:pt>
                <c:pt idx="316">
                  <c:v>580.30425000000025</c:v>
                </c:pt>
                <c:pt idx="317">
                  <c:v>551.30425000000025</c:v>
                </c:pt>
                <c:pt idx="318">
                  <c:v>589.38425000000029</c:v>
                </c:pt>
                <c:pt idx="319">
                  <c:v>612.66425000000027</c:v>
                </c:pt>
                <c:pt idx="320">
                  <c:v>587.66425000000027</c:v>
                </c:pt>
                <c:pt idx="321">
                  <c:v>593.47425000000021</c:v>
                </c:pt>
                <c:pt idx="322">
                  <c:v>616.57425000000023</c:v>
                </c:pt>
                <c:pt idx="323">
                  <c:v>658.87425000000019</c:v>
                </c:pt>
                <c:pt idx="324">
                  <c:v>680.57425000000023</c:v>
                </c:pt>
                <c:pt idx="325">
                  <c:v>660.57425000000023</c:v>
                </c:pt>
                <c:pt idx="326">
                  <c:v>672.30425000000025</c:v>
                </c:pt>
                <c:pt idx="327">
                  <c:v>691.95425000000023</c:v>
                </c:pt>
                <c:pt idx="328">
                  <c:v>680.95425000000023</c:v>
                </c:pt>
                <c:pt idx="329">
                  <c:v>645.95425000000023</c:v>
                </c:pt>
                <c:pt idx="330">
                  <c:v>665.94625000000019</c:v>
                </c:pt>
                <c:pt idx="331">
                  <c:v>648.94625000000019</c:v>
                </c:pt>
                <c:pt idx="332">
                  <c:v>670.54625000000021</c:v>
                </c:pt>
                <c:pt idx="333">
                  <c:v>653.54625000000021</c:v>
                </c:pt>
                <c:pt idx="334">
                  <c:v>642.54625000000021</c:v>
                </c:pt>
                <c:pt idx="335">
                  <c:v>622.54625000000021</c:v>
                </c:pt>
                <c:pt idx="336">
                  <c:v>645.85625000000027</c:v>
                </c:pt>
                <c:pt idx="337">
                  <c:v>666.85625000000027</c:v>
                </c:pt>
                <c:pt idx="338">
                  <c:v>666.85625000000027</c:v>
                </c:pt>
                <c:pt idx="339">
                  <c:v>679.4562500000003</c:v>
                </c:pt>
                <c:pt idx="340">
                  <c:v>655.4562500000003</c:v>
                </c:pt>
                <c:pt idx="341">
                  <c:v>668.77625000000035</c:v>
                </c:pt>
                <c:pt idx="342">
                  <c:v>687.67625000000032</c:v>
                </c:pt>
                <c:pt idx="343">
                  <c:v>663.67625000000032</c:v>
                </c:pt>
                <c:pt idx="344">
                  <c:v>632.67625000000032</c:v>
                </c:pt>
                <c:pt idx="345">
                  <c:v>612.67625000000032</c:v>
                </c:pt>
                <c:pt idx="346">
                  <c:v>595.67625000000032</c:v>
                </c:pt>
                <c:pt idx="347">
                  <c:v>595.67625000000032</c:v>
                </c:pt>
                <c:pt idx="348">
                  <c:v>575.67625000000032</c:v>
                </c:pt>
                <c:pt idx="349">
                  <c:v>548.67625000000032</c:v>
                </c:pt>
                <c:pt idx="350">
                  <c:v>570.06625000000031</c:v>
                </c:pt>
                <c:pt idx="351">
                  <c:v>556.06625000000031</c:v>
                </c:pt>
                <c:pt idx="352">
                  <c:v>532.06625000000031</c:v>
                </c:pt>
                <c:pt idx="353">
                  <c:v>556.60925000000032</c:v>
                </c:pt>
                <c:pt idx="354">
                  <c:v>536.60925000000032</c:v>
                </c:pt>
                <c:pt idx="355">
                  <c:v>567.60925000000032</c:v>
                </c:pt>
                <c:pt idx="356">
                  <c:v>552.60925000000032</c:v>
                </c:pt>
                <c:pt idx="357">
                  <c:v>537.60925000000032</c:v>
                </c:pt>
                <c:pt idx="358">
                  <c:v>475.60925000000032</c:v>
                </c:pt>
                <c:pt idx="359">
                  <c:v>499.52925000000033</c:v>
                </c:pt>
                <c:pt idx="360">
                  <c:v>520.20925000000034</c:v>
                </c:pt>
                <c:pt idx="361">
                  <c:v>506.20925000000034</c:v>
                </c:pt>
                <c:pt idx="362">
                  <c:v>485.20925000000034</c:v>
                </c:pt>
                <c:pt idx="363">
                  <c:v>530.20925000000034</c:v>
                </c:pt>
                <c:pt idx="364">
                  <c:v>505.20925000000034</c:v>
                </c:pt>
                <c:pt idx="365">
                  <c:v>527.31925000000035</c:v>
                </c:pt>
                <c:pt idx="366">
                  <c:v>539.31925000000035</c:v>
                </c:pt>
                <c:pt idx="367">
                  <c:v>561.6202500000004</c:v>
                </c:pt>
                <c:pt idx="368">
                  <c:v>561.6202500000004</c:v>
                </c:pt>
                <c:pt idx="369">
                  <c:v>585.02025000000037</c:v>
                </c:pt>
                <c:pt idx="370">
                  <c:v>622.82025000000033</c:v>
                </c:pt>
                <c:pt idx="371">
                  <c:v>670.42025000000035</c:v>
                </c:pt>
                <c:pt idx="372">
                  <c:v>657.42025000000035</c:v>
                </c:pt>
                <c:pt idx="373">
                  <c:v>685.59925000000032</c:v>
                </c:pt>
                <c:pt idx="374">
                  <c:v>635.59925000000032</c:v>
                </c:pt>
                <c:pt idx="375">
                  <c:v>616.59925000000032</c:v>
                </c:pt>
                <c:pt idx="376">
                  <c:v>593.59925000000032</c:v>
                </c:pt>
                <c:pt idx="377">
                  <c:v>576.59925000000032</c:v>
                </c:pt>
                <c:pt idx="378">
                  <c:v>602.84925000000032</c:v>
                </c:pt>
                <c:pt idx="379">
                  <c:v>634.04925000000037</c:v>
                </c:pt>
                <c:pt idx="380">
                  <c:v>626.04925000000037</c:v>
                </c:pt>
                <c:pt idx="381">
                  <c:v>645.24925000000042</c:v>
                </c:pt>
                <c:pt idx="382">
                  <c:v>686.15425000000039</c:v>
                </c:pt>
                <c:pt idx="383">
                  <c:v>740.69425000000035</c:v>
                </c:pt>
                <c:pt idx="384">
                  <c:v>767.55425000000037</c:v>
                </c:pt>
                <c:pt idx="385">
                  <c:v>755.55425000000037</c:v>
                </c:pt>
                <c:pt idx="386">
                  <c:v>785.55425000000037</c:v>
                </c:pt>
                <c:pt idx="387">
                  <c:v>761.55425000000037</c:v>
                </c:pt>
                <c:pt idx="388">
                  <c:v>777.5142500000004</c:v>
                </c:pt>
                <c:pt idx="389">
                  <c:v>791.29425000000037</c:v>
                </c:pt>
                <c:pt idx="390">
                  <c:v>711.29425000000037</c:v>
                </c:pt>
                <c:pt idx="391">
                  <c:v>711.29425000000037</c:v>
                </c:pt>
                <c:pt idx="392">
                  <c:v>691.29425000000037</c:v>
                </c:pt>
                <c:pt idx="393">
                  <c:v>677.29425000000037</c:v>
                </c:pt>
                <c:pt idx="394">
                  <c:v>660.29425000000037</c:v>
                </c:pt>
                <c:pt idx="395">
                  <c:v>681.86425000000042</c:v>
                </c:pt>
                <c:pt idx="396">
                  <c:v>668.86425000000042</c:v>
                </c:pt>
                <c:pt idx="397">
                  <c:v>640.86425000000042</c:v>
                </c:pt>
                <c:pt idx="398">
                  <c:v>667.74425000000042</c:v>
                </c:pt>
                <c:pt idx="399">
                  <c:v>632.74425000000042</c:v>
                </c:pt>
                <c:pt idx="400">
                  <c:v>654.82425000000046</c:v>
                </c:pt>
                <c:pt idx="401">
                  <c:v>654.82425000000046</c:v>
                </c:pt>
                <c:pt idx="402">
                  <c:v>631.82425000000046</c:v>
                </c:pt>
                <c:pt idx="403">
                  <c:v>651.37425000000042</c:v>
                </c:pt>
                <c:pt idx="404">
                  <c:v>670.27425000000039</c:v>
                </c:pt>
                <c:pt idx="405">
                  <c:v>688.27425000000039</c:v>
                </c:pt>
                <c:pt idx="406">
                  <c:v>660.27425000000039</c:v>
                </c:pt>
                <c:pt idx="407">
                  <c:v>689.72425000000044</c:v>
                </c:pt>
                <c:pt idx="408">
                  <c:v>715.24425000000042</c:v>
                </c:pt>
                <c:pt idx="409">
                  <c:v>742.44425000000047</c:v>
                </c:pt>
                <c:pt idx="410">
                  <c:v>761.64425000000051</c:v>
                </c:pt>
                <c:pt idx="411">
                  <c:v>736.64425000000051</c:v>
                </c:pt>
                <c:pt idx="412">
                  <c:v>767.80425000000048</c:v>
                </c:pt>
                <c:pt idx="413">
                  <c:v>767.80425000000048</c:v>
                </c:pt>
                <c:pt idx="414">
                  <c:v>752.80425000000048</c:v>
                </c:pt>
                <c:pt idx="415">
                  <c:v>781.01425000000052</c:v>
                </c:pt>
                <c:pt idx="416">
                  <c:v>768.01425000000052</c:v>
                </c:pt>
                <c:pt idx="417">
                  <c:v>785.01425000000052</c:v>
                </c:pt>
                <c:pt idx="418">
                  <c:v>767.01425000000052</c:v>
                </c:pt>
                <c:pt idx="419">
                  <c:v>736.01425000000052</c:v>
                </c:pt>
                <c:pt idx="420">
                  <c:v>722.51425000000052</c:v>
                </c:pt>
                <c:pt idx="421">
                  <c:v>762.50425000000052</c:v>
                </c:pt>
                <c:pt idx="422">
                  <c:v>810.80425000000048</c:v>
                </c:pt>
                <c:pt idx="423">
                  <c:v>788.80425000000048</c:v>
                </c:pt>
                <c:pt idx="424">
                  <c:v>788.80425000000048</c:v>
                </c:pt>
                <c:pt idx="425">
                  <c:v>848.74425000000042</c:v>
                </c:pt>
                <c:pt idx="426">
                  <c:v>848.74425000000042</c:v>
                </c:pt>
                <c:pt idx="427">
                  <c:v>873.10425000000043</c:v>
                </c:pt>
                <c:pt idx="428">
                  <c:v>855.10425000000043</c:v>
                </c:pt>
                <c:pt idx="429">
                  <c:v>825.10425000000043</c:v>
                </c:pt>
                <c:pt idx="430">
                  <c:v>849.10425000000043</c:v>
                </c:pt>
                <c:pt idx="431">
                  <c:v>874.62425000000042</c:v>
                </c:pt>
                <c:pt idx="432">
                  <c:v>907.87425000000042</c:v>
                </c:pt>
                <c:pt idx="433">
                  <c:v>930.91425000000038</c:v>
                </c:pt>
                <c:pt idx="434">
                  <c:v>895.91425000000038</c:v>
                </c:pt>
                <c:pt idx="435">
                  <c:v>887.91425000000038</c:v>
                </c:pt>
                <c:pt idx="436">
                  <c:v>913.32425000000035</c:v>
                </c:pt>
                <c:pt idx="437">
                  <c:v>901.32425000000035</c:v>
                </c:pt>
                <c:pt idx="438">
                  <c:v>914.67425000000037</c:v>
                </c:pt>
                <c:pt idx="439">
                  <c:v>902.67425000000037</c:v>
                </c:pt>
                <c:pt idx="440">
                  <c:v>832.67425000000037</c:v>
                </c:pt>
                <c:pt idx="441">
                  <c:v>850.18425000000036</c:v>
                </c:pt>
                <c:pt idx="442">
                  <c:v>833.18425000000036</c:v>
                </c:pt>
                <c:pt idx="443">
                  <c:v>865.95425000000034</c:v>
                </c:pt>
                <c:pt idx="444">
                  <c:v>884.41425000000038</c:v>
                </c:pt>
                <c:pt idx="445">
                  <c:v>844.41425000000038</c:v>
                </c:pt>
                <c:pt idx="446">
                  <c:v>844.41425000000038</c:v>
                </c:pt>
                <c:pt idx="447">
                  <c:v>860.94425000000035</c:v>
                </c:pt>
                <c:pt idx="448">
                  <c:v>900.00425000000041</c:v>
                </c:pt>
                <c:pt idx="449">
                  <c:v>944.80425000000037</c:v>
                </c:pt>
                <c:pt idx="450">
                  <c:v>911.80425000000037</c:v>
                </c:pt>
                <c:pt idx="451">
                  <c:v>893.80425000000037</c:v>
                </c:pt>
                <c:pt idx="452">
                  <c:v>893.80425000000037</c:v>
                </c:pt>
                <c:pt idx="453">
                  <c:v>919.90425000000039</c:v>
                </c:pt>
                <c:pt idx="454">
                  <c:v>908.40425000000039</c:v>
                </c:pt>
                <c:pt idx="455">
                  <c:v>863.40425000000039</c:v>
                </c:pt>
                <c:pt idx="456">
                  <c:v>877.18425000000036</c:v>
                </c:pt>
                <c:pt idx="457">
                  <c:v>895.90425000000039</c:v>
                </c:pt>
                <c:pt idx="458">
                  <c:v>864.90425000000039</c:v>
                </c:pt>
                <c:pt idx="459">
                  <c:v>864.90425000000039</c:v>
                </c:pt>
                <c:pt idx="460">
                  <c:v>845.90425000000039</c:v>
                </c:pt>
                <c:pt idx="461">
                  <c:v>865.65425000000039</c:v>
                </c:pt>
                <c:pt idx="462">
                  <c:v>888.05425000000037</c:v>
                </c:pt>
                <c:pt idx="463">
                  <c:v>858.05425000000037</c:v>
                </c:pt>
                <c:pt idx="464">
                  <c:v>867.7692500000004</c:v>
                </c:pt>
                <c:pt idx="465">
                  <c:v>845.7692500000004</c:v>
                </c:pt>
                <c:pt idx="466">
                  <c:v>866.8892500000004</c:v>
                </c:pt>
                <c:pt idx="467">
                  <c:v>887.68925000000036</c:v>
                </c:pt>
                <c:pt idx="468">
                  <c:v>869.68925000000036</c:v>
                </c:pt>
                <c:pt idx="469">
                  <c:v>854.68925000000036</c:v>
                </c:pt>
                <c:pt idx="470">
                  <c:v>866.13425000000041</c:v>
                </c:pt>
                <c:pt idx="471">
                  <c:v>843.13425000000041</c:v>
                </c:pt>
                <c:pt idx="472">
                  <c:v>823.13425000000041</c:v>
                </c:pt>
                <c:pt idx="473">
                  <c:v>776.13425000000041</c:v>
                </c:pt>
                <c:pt idx="474">
                  <c:v>811.16225000000043</c:v>
                </c:pt>
                <c:pt idx="475">
                  <c:v>772.16225000000043</c:v>
                </c:pt>
                <c:pt idx="476">
                  <c:v>740.16225000000043</c:v>
                </c:pt>
                <c:pt idx="477">
                  <c:v>683.16225000000043</c:v>
                </c:pt>
                <c:pt idx="478">
                  <c:v>701.16225000000043</c:v>
                </c:pt>
                <c:pt idx="479">
                  <c:v>721.60225000000037</c:v>
                </c:pt>
                <c:pt idx="480">
                  <c:v>697.60225000000037</c:v>
                </c:pt>
                <c:pt idx="481">
                  <c:v>722.40225000000032</c:v>
                </c:pt>
                <c:pt idx="482">
                  <c:v>740.16225000000031</c:v>
                </c:pt>
                <c:pt idx="483">
                  <c:v>718.16225000000031</c:v>
                </c:pt>
                <c:pt idx="484">
                  <c:v>679.16225000000031</c:v>
                </c:pt>
                <c:pt idx="485">
                  <c:v>642.16225000000031</c:v>
                </c:pt>
                <c:pt idx="486">
                  <c:v>674.88625000000036</c:v>
                </c:pt>
                <c:pt idx="487">
                  <c:v>706.88625000000036</c:v>
                </c:pt>
                <c:pt idx="488">
                  <c:v>682.88625000000036</c:v>
                </c:pt>
                <c:pt idx="489">
                  <c:v>659.88625000000036</c:v>
                </c:pt>
                <c:pt idx="490">
                  <c:v>637.88625000000036</c:v>
                </c:pt>
                <c:pt idx="491">
                  <c:v>658.28625000000034</c:v>
                </c:pt>
                <c:pt idx="492">
                  <c:v>708.74225000000035</c:v>
                </c:pt>
                <c:pt idx="493">
                  <c:v>689.74225000000035</c:v>
                </c:pt>
                <c:pt idx="494">
                  <c:v>749.02225000000033</c:v>
                </c:pt>
                <c:pt idx="495">
                  <c:v>717.02225000000033</c:v>
                </c:pt>
                <c:pt idx="496">
                  <c:v>780.02225000000033</c:v>
                </c:pt>
                <c:pt idx="497">
                  <c:v>725.02225000000033</c:v>
                </c:pt>
                <c:pt idx="498">
                  <c:v>748.51225000000034</c:v>
                </c:pt>
                <c:pt idx="499">
                  <c:v>730.51225000000034</c:v>
                </c:pt>
                <c:pt idx="500">
                  <c:v>775.10225000000037</c:v>
                </c:pt>
                <c:pt idx="501">
                  <c:v>792.52225000000033</c:v>
                </c:pt>
                <c:pt idx="502">
                  <c:v>764.52225000000033</c:v>
                </c:pt>
                <c:pt idx="503">
                  <c:v>744.52225000000033</c:v>
                </c:pt>
                <c:pt idx="504">
                  <c:v>722.52225000000033</c:v>
                </c:pt>
                <c:pt idx="505">
                  <c:v>739.94225000000029</c:v>
                </c:pt>
                <c:pt idx="506">
                  <c:v>773.38225000000034</c:v>
                </c:pt>
                <c:pt idx="507">
                  <c:v>773.38225000000034</c:v>
                </c:pt>
                <c:pt idx="508">
                  <c:v>693.38225000000034</c:v>
                </c:pt>
                <c:pt idx="509">
                  <c:v>662.38225000000034</c:v>
                </c:pt>
                <c:pt idx="510">
                  <c:v>641.38225000000034</c:v>
                </c:pt>
                <c:pt idx="511">
                  <c:v>655.33225000000039</c:v>
                </c:pt>
                <c:pt idx="512">
                  <c:v>678.61225000000036</c:v>
                </c:pt>
                <c:pt idx="513">
                  <c:v>709.86225000000036</c:v>
                </c:pt>
                <c:pt idx="514">
                  <c:v>729.86225000000036</c:v>
                </c:pt>
                <c:pt idx="515">
                  <c:v>777.46225000000038</c:v>
                </c:pt>
                <c:pt idx="516">
                  <c:v>799.96225000000038</c:v>
                </c:pt>
                <c:pt idx="517">
                  <c:v>815.43225000000041</c:v>
                </c:pt>
                <c:pt idx="518">
                  <c:v>830.88225000000045</c:v>
                </c:pt>
                <c:pt idx="519">
                  <c:v>819.38225000000045</c:v>
                </c:pt>
                <c:pt idx="520">
                  <c:v>858.94225000000051</c:v>
                </c:pt>
                <c:pt idx="521">
                  <c:v>876.04225000000054</c:v>
                </c:pt>
                <c:pt idx="522">
                  <c:v>858.04225000000054</c:v>
                </c:pt>
                <c:pt idx="523">
                  <c:v>780.04225000000054</c:v>
                </c:pt>
                <c:pt idx="524">
                  <c:v>806.44225000000051</c:v>
                </c:pt>
                <c:pt idx="525">
                  <c:v>846.62225000000058</c:v>
                </c:pt>
                <c:pt idx="526">
                  <c:v>864.75225000000057</c:v>
                </c:pt>
                <c:pt idx="527">
                  <c:v>884.15225000000055</c:v>
                </c:pt>
                <c:pt idx="528">
                  <c:v>845.15225000000055</c:v>
                </c:pt>
                <c:pt idx="529">
                  <c:v>822.15225000000055</c:v>
                </c:pt>
                <c:pt idx="530">
                  <c:v>800.15225000000055</c:v>
                </c:pt>
                <c:pt idx="531">
                  <c:v>856.88225000000057</c:v>
                </c:pt>
                <c:pt idx="532">
                  <c:v>896.48225000000059</c:v>
                </c:pt>
                <c:pt idx="533">
                  <c:v>875.48225000000059</c:v>
                </c:pt>
                <c:pt idx="534">
                  <c:v>845.48225000000059</c:v>
                </c:pt>
                <c:pt idx="535">
                  <c:v>819.48225000000059</c:v>
                </c:pt>
                <c:pt idx="536">
                  <c:v>764.48225000000059</c:v>
                </c:pt>
                <c:pt idx="537">
                  <c:v>735.48225000000059</c:v>
                </c:pt>
                <c:pt idx="538">
                  <c:v>710.48225000000059</c:v>
                </c:pt>
                <c:pt idx="539">
                  <c:v>710.48225000000059</c:v>
                </c:pt>
                <c:pt idx="540">
                  <c:v>710.48225000000059</c:v>
                </c:pt>
                <c:pt idx="541">
                  <c:v>673.48225000000059</c:v>
                </c:pt>
                <c:pt idx="542">
                  <c:v>700.92225000000053</c:v>
                </c:pt>
                <c:pt idx="543">
                  <c:v>682.92225000000053</c:v>
                </c:pt>
                <c:pt idx="544">
                  <c:v>664.92225000000053</c:v>
                </c:pt>
                <c:pt idx="545">
                  <c:v>689.67225000000053</c:v>
                </c:pt>
                <c:pt idx="546">
                  <c:v>662.67225000000053</c:v>
                </c:pt>
                <c:pt idx="547">
                  <c:v>688.66225000000054</c:v>
                </c:pt>
                <c:pt idx="548">
                  <c:v>704.66225000000054</c:v>
                </c:pt>
                <c:pt idx="549">
                  <c:v>753.94225000000051</c:v>
                </c:pt>
                <c:pt idx="550">
                  <c:v>728.94225000000051</c:v>
                </c:pt>
                <c:pt idx="551">
                  <c:v>749.64225000000056</c:v>
                </c:pt>
                <c:pt idx="552">
                  <c:v>783.64225000000056</c:v>
                </c:pt>
                <c:pt idx="553">
                  <c:v>804.18225000000052</c:v>
                </c:pt>
                <c:pt idx="554">
                  <c:v>780.18225000000052</c:v>
                </c:pt>
                <c:pt idx="555">
                  <c:v>800.64225000000056</c:v>
                </c:pt>
                <c:pt idx="556">
                  <c:v>800.64225000000056</c:v>
                </c:pt>
                <c:pt idx="557">
                  <c:v>829.2022500000005</c:v>
                </c:pt>
                <c:pt idx="558">
                  <c:v>795.2022500000005</c:v>
                </c:pt>
                <c:pt idx="559">
                  <c:v>761.2022500000005</c:v>
                </c:pt>
                <c:pt idx="560">
                  <c:v>737.2022500000005</c:v>
                </c:pt>
                <c:pt idx="561">
                  <c:v>773.24225000000047</c:v>
                </c:pt>
                <c:pt idx="562">
                  <c:v>751.24225000000047</c:v>
                </c:pt>
                <c:pt idx="563">
                  <c:v>788.30225000000041</c:v>
                </c:pt>
                <c:pt idx="564">
                  <c:v>813.41225000000043</c:v>
                </c:pt>
                <c:pt idx="565">
                  <c:v>835.91225000000043</c:v>
                </c:pt>
                <c:pt idx="566">
                  <c:v>862.26225000000045</c:v>
                </c:pt>
                <c:pt idx="567">
                  <c:v>887.49225000000047</c:v>
                </c:pt>
                <c:pt idx="568">
                  <c:v>917.94225000000051</c:v>
                </c:pt>
                <c:pt idx="569">
                  <c:v>939.75825000000054</c:v>
                </c:pt>
                <c:pt idx="570">
                  <c:v>966.75825000000054</c:v>
                </c:pt>
                <c:pt idx="571">
                  <c:v>941.75825000000054</c:v>
                </c:pt>
                <c:pt idx="572">
                  <c:v>977.50625000000059</c:v>
                </c:pt>
                <c:pt idx="573">
                  <c:v>947.50625000000059</c:v>
                </c:pt>
                <c:pt idx="574">
                  <c:v>905.50625000000059</c:v>
                </c:pt>
                <c:pt idx="575">
                  <c:v>880.50625000000059</c:v>
                </c:pt>
                <c:pt idx="576">
                  <c:v>900.90625000000057</c:v>
                </c:pt>
                <c:pt idx="577">
                  <c:v>886.40625000000057</c:v>
                </c:pt>
                <c:pt idx="578">
                  <c:v>869.40625000000057</c:v>
                </c:pt>
                <c:pt idx="579">
                  <c:v>890.43925000000058</c:v>
                </c:pt>
                <c:pt idx="580">
                  <c:v>865.43925000000058</c:v>
                </c:pt>
                <c:pt idx="581">
                  <c:v>909.61925000000065</c:v>
                </c:pt>
                <c:pt idx="582">
                  <c:v>887.61925000000065</c:v>
                </c:pt>
                <c:pt idx="583">
                  <c:v>848.61925000000065</c:v>
                </c:pt>
                <c:pt idx="584">
                  <c:v>862.86925000000065</c:v>
                </c:pt>
                <c:pt idx="585">
                  <c:v>874.38925000000063</c:v>
                </c:pt>
                <c:pt idx="586">
                  <c:v>848.38925000000063</c:v>
                </c:pt>
                <c:pt idx="587">
                  <c:v>882.37925000000064</c:v>
                </c:pt>
                <c:pt idx="588">
                  <c:v>904.81925000000069</c:v>
                </c:pt>
                <c:pt idx="589">
                  <c:v>887.81925000000069</c:v>
                </c:pt>
                <c:pt idx="590">
                  <c:v>911.81925000000069</c:v>
                </c:pt>
                <c:pt idx="591">
                  <c:v>940.37925000000064</c:v>
                </c:pt>
                <c:pt idx="592">
                  <c:v>901.37925000000064</c:v>
                </c:pt>
                <c:pt idx="593">
                  <c:v>879.37925000000064</c:v>
                </c:pt>
                <c:pt idx="594">
                  <c:v>861.37925000000064</c:v>
                </c:pt>
                <c:pt idx="595">
                  <c:v>861.37925000000064</c:v>
                </c:pt>
                <c:pt idx="596">
                  <c:v>885.17925000000059</c:v>
                </c:pt>
                <c:pt idx="597">
                  <c:v>922.67925000000059</c:v>
                </c:pt>
                <c:pt idx="598">
                  <c:v>911.67925000000059</c:v>
                </c:pt>
                <c:pt idx="599">
                  <c:v>865.67925000000059</c:v>
                </c:pt>
                <c:pt idx="600">
                  <c:v>910.22025000000053</c:v>
                </c:pt>
                <c:pt idx="601">
                  <c:v>862.22025000000053</c:v>
                </c:pt>
                <c:pt idx="602">
                  <c:v>892.46025000000054</c:v>
                </c:pt>
                <c:pt idx="603">
                  <c:v>927.41625000000056</c:v>
                </c:pt>
                <c:pt idx="604">
                  <c:v>899.41625000000056</c:v>
                </c:pt>
                <c:pt idx="605">
                  <c:v>874.41625000000056</c:v>
                </c:pt>
                <c:pt idx="606">
                  <c:v>853.41625000000056</c:v>
                </c:pt>
                <c:pt idx="607">
                  <c:v>889.41625000000056</c:v>
                </c:pt>
                <c:pt idx="608">
                  <c:v>927.21625000000063</c:v>
                </c:pt>
                <c:pt idx="609">
                  <c:v>960.21625000000063</c:v>
                </c:pt>
                <c:pt idx="610">
                  <c:v>1012.1362500000006</c:v>
                </c:pt>
                <c:pt idx="611">
                  <c:v>1035.8962500000007</c:v>
                </c:pt>
                <c:pt idx="612">
                  <c:v>1059.3862500000007</c:v>
                </c:pt>
                <c:pt idx="613">
                  <c:v>1027.3862500000007</c:v>
                </c:pt>
                <c:pt idx="614">
                  <c:v>1066.0262500000008</c:v>
                </c:pt>
                <c:pt idx="615">
                  <c:v>1091.9462500000009</c:v>
                </c:pt>
                <c:pt idx="616">
                  <c:v>1055.9462500000009</c:v>
                </c:pt>
                <c:pt idx="617">
                  <c:v>1090.596250000001</c:v>
                </c:pt>
                <c:pt idx="618">
                  <c:v>1053.596250000001</c:v>
                </c:pt>
                <c:pt idx="619">
                  <c:v>1018.596250000001</c:v>
                </c:pt>
                <c:pt idx="620">
                  <c:v>991.59625000000096</c:v>
                </c:pt>
                <c:pt idx="621">
                  <c:v>1037.4962500000011</c:v>
                </c:pt>
                <c:pt idx="622">
                  <c:v>997.49625000000106</c:v>
                </c:pt>
                <c:pt idx="623">
                  <c:v>1030.4962500000011</c:v>
                </c:pt>
                <c:pt idx="624">
                  <c:v>1062.1762500000011</c:v>
                </c:pt>
                <c:pt idx="625">
                  <c:v>1112.1712500000012</c:v>
                </c:pt>
                <c:pt idx="626">
                  <c:v>1162.1662500000011</c:v>
                </c:pt>
                <c:pt idx="627">
                  <c:v>1212.161250000001</c:v>
                </c:pt>
                <c:pt idx="628">
                  <c:v>1176.161250000001</c:v>
                </c:pt>
                <c:pt idx="629">
                  <c:v>1219.0012500000009</c:v>
                </c:pt>
                <c:pt idx="630">
                  <c:v>1259.3212500000009</c:v>
                </c:pt>
                <c:pt idx="631">
                  <c:v>1293.721250000001</c:v>
                </c:pt>
                <c:pt idx="632">
                  <c:v>1267.721250000001</c:v>
                </c:pt>
                <c:pt idx="633">
                  <c:v>1300.931250000001</c:v>
                </c:pt>
                <c:pt idx="634">
                  <c:v>1333.9152500000009</c:v>
                </c:pt>
                <c:pt idx="635">
                  <c:v>1315.9152500000009</c:v>
                </c:pt>
                <c:pt idx="636">
                  <c:v>1347.7352500000009</c:v>
                </c:pt>
                <c:pt idx="637">
                  <c:v>1347.7352500000009</c:v>
                </c:pt>
                <c:pt idx="638">
                  <c:v>1308.7352500000009</c:v>
                </c:pt>
                <c:pt idx="639">
                  <c:v>1281.7352500000009</c:v>
                </c:pt>
                <c:pt idx="640">
                  <c:v>1281.7352500000009</c:v>
                </c:pt>
                <c:pt idx="641">
                  <c:v>1257.7352500000009</c:v>
                </c:pt>
                <c:pt idx="642">
                  <c:v>1288.0832500000008</c:v>
                </c:pt>
                <c:pt idx="643">
                  <c:v>1328.8832500000008</c:v>
                </c:pt>
                <c:pt idx="644">
                  <c:v>1380.4832500000007</c:v>
                </c:pt>
                <c:pt idx="645">
                  <c:v>1370.4832500000007</c:v>
                </c:pt>
                <c:pt idx="646">
                  <c:v>1333.4832500000007</c:v>
                </c:pt>
                <c:pt idx="647">
                  <c:v>1304.4832500000007</c:v>
                </c:pt>
                <c:pt idx="648">
                  <c:v>1329.0532500000006</c:v>
                </c:pt>
                <c:pt idx="649">
                  <c:v>1297.0532500000006</c:v>
                </c:pt>
                <c:pt idx="650">
                  <c:v>1262.0532500000006</c:v>
                </c:pt>
                <c:pt idx="651">
                  <c:v>1248.0532500000006</c:v>
                </c:pt>
                <c:pt idx="652">
                  <c:v>1182.0532500000006</c:v>
                </c:pt>
                <c:pt idx="653">
                  <c:v>1211.1932500000007</c:v>
                </c:pt>
                <c:pt idx="654">
                  <c:v>1118.6932500000007</c:v>
                </c:pt>
                <c:pt idx="655">
                  <c:v>1147.0432500000006</c:v>
                </c:pt>
                <c:pt idx="656">
                  <c:v>1172.3932500000005</c:v>
                </c:pt>
                <c:pt idx="657">
                  <c:v>1140.3932500000005</c:v>
                </c:pt>
                <c:pt idx="658">
                  <c:v>1108.3932500000005</c:v>
                </c:pt>
                <c:pt idx="659">
                  <c:v>1079.3932500000005</c:v>
                </c:pt>
                <c:pt idx="660">
                  <c:v>1054.3932500000005</c:v>
                </c:pt>
                <c:pt idx="661">
                  <c:v>1033.3932500000005</c:v>
                </c:pt>
                <c:pt idx="662">
                  <c:v>992.39325000000053</c:v>
                </c:pt>
                <c:pt idx="663">
                  <c:v>1039.1932500000005</c:v>
                </c:pt>
                <c:pt idx="664">
                  <c:v>1007.1932500000005</c:v>
                </c:pt>
                <c:pt idx="665">
                  <c:v>977.19325000000049</c:v>
                </c:pt>
                <c:pt idx="666">
                  <c:v>977.19325000000049</c:v>
                </c:pt>
                <c:pt idx="667">
                  <c:v>918.19325000000049</c:v>
                </c:pt>
                <c:pt idx="668">
                  <c:v>968.44325000000049</c:v>
                </c:pt>
                <c:pt idx="669">
                  <c:v>948.44325000000049</c:v>
                </c:pt>
                <c:pt idx="670">
                  <c:v>977.44325000000049</c:v>
                </c:pt>
                <c:pt idx="671">
                  <c:v>928.44325000000049</c:v>
                </c:pt>
                <c:pt idx="672">
                  <c:v>962.04325000000051</c:v>
                </c:pt>
                <c:pt idx="673">
                  <c:v>941.04325000000051</c:v>
                </c:pt>
                <c:pt idx="674">
                  <c:v>911.04325000000051</c:v>
                </c:pt>
                <c:pt idx="675">
                  <c:v>939.25325000000055</c:v>
                </c:pt>
                <c:pt idx="676">
                  <c:v>1041.0032500000007</c:v>
                </c:pt>
                <c:pt idx="677">
                  <c:v>1066.1632500000007</c:v>
                </c:pt>
                <c:pt idx="678">
                  <c:v>1109.6632500000007</c:v>
                </c:pt>
                <c:pt idx="679">
                  <c:v>1090.1632500000007</c:v>
                </c:pt>
                <c:pt idx="680">
                  <c:v>1115.6832500000007</c:v>
                </c:pt>
                <c:pt idx="681">
                  <c:v>1150.6832500000007</c:v>
                </c:pt>
                <c:pt idx="682">
                  <c:v>1095.6832500000007</c:v>
                </c:pt>
                <c:pt idx="683">
                  <c:v>1121.7532500000007</c:v>
                </c:pt>
                <c:pt idx="684">
                  <c:v>1102.7532500000007</c:v>
                </c:pt>
                <c:pt idx="685">
                  <c:v>1062.7532500000007</c:v>
                </c:pt>
                <c:pt idx="686">
                  <c:v>1110.7532500000007</c:v>
                </c:pt>
                <c:pt idx="687">
                  <c:v>1062.7532500000007</c:v>
                </c:pt>
                <c:pt idx="688">
                  <c:v>1098.4432500000007</c:v>
                </c:pt>
                <c:pt idx="689">
                  <c:v>1163.4432500000007</c:v>
                </c:pt>
                <c:pt idx="690">
                  <c:v>1137.4432500000007</c:v>
                </c:pt>
                <c:pt idx="691">
                  <c:v>1101.4432500000007</c:v>
                </c:pt>
                <c:pt idx="692">
                  <c:v>1126.7432500000007</c:v>
                </c:pt>
                <c:pt idx="693">
                  <c:v>1103.7432500000007</c:v>
                </c:pt>
                <c:pt idx="694">
                  <c:v>1178.1432500000008</c:v>
                </c:pt>
                <c:pt idx="695">
                  <c:v>1206.0432500000009</c:v>
                </c:pt>
                <c:pt idx="696">
                  <c:v>1171.0432500000009</c:v>
                </c:pt>
                <c:pt idx="697">
                  <c:v>1217.5032500000009</c:v>
                </c:pt>
                <c:pt idx="698">
                  <c:v>1179.5032500000009</c:v>
                </c:pt>
                <c:pt idx="699">
                  <c:v>1209.8632500000008</c:v>
                </c:pt>
                <c:pt idx="700">
                  <c:v>1261.0932500000008</c:v>
                </c:pt>
                <c:pt idx="701">
                  <c:v>1312.5732500000008</c:v>
                </c:pt>
                <c:pt idx="702">
                  <c:v>1345.4732500000009</c:v>
                </c:pt>
                <c:pt idx="703">
                  <c:v>1328.4732500000009</c:v>
                </c:pt>
                <c:pt idx="704">
                  <c:v>1367.5232500000009</c:v>
                </c:pt>
                <c:pt idx="705">
                  <c:v>1338.5232500000009</c:v>
                </c:pt>
                <c:pt idx="706">
                  <c:v>1393.2732500000009</c:v>
                </c:pt>
                <c:pt idx="707">
                  <c:v>1358.2732500000009</c:v>
                </c:pt>
                <c:pt idx="708">
                  <c:v>1334.2732500000009</c:v>
                </c:pt>
                <c:pt idx="709">
                  <c:v>1308.2732500000009</c:v>
                </c:pt>
                <c:pt idx="710">
                  <c:v>1272.2732500000009</c:v>
                </c:pt>
                <c:pt idx="711">
                  <c:v>1305.0732500000008</c:v>
                </c:pt>
                <c:pt idx="712">
                  <c:v>1305.0732500000008</c:v>
                </c:pt>
                <c:pt idx="713">
                  <c:v>1282.0732500000008</c:v>
                </c:pt>
                <c:pt idx="714">
                  <c:v>1282.0732500000008</c:v>
                </c:pt>
                <c:pt idx="715">
                  <c:v>1310.9332500000007</c:v>
                </c:pt>
                <c:pt idx="716">
                  <c:v>1348.7632500000007</c:v>
                </c:pt>
                <c:pt idx="717">
                  <c:v>1324.7632500000007</c:v>
                </c:pt>
                <c:pt idx="718">
                  <c:v>1295.7632500000007</c:v>
                </c:pt>
                <c:pt idx="719">
                  <c:v>1325.5272500000005</c:v>
                </c:pt>
                <c:pt idx="720">
                  <c:v>1352.4972500000006</c:v>
                </c:pt>
                <c:pt idx="721">
                  <c:v>1249.4972500000006</c:v>
                </c:pt>
                <c:pt idx="722">
                  <c:v>1288.6972500000006</c:v>
                </c:pt>
                <c:pt idx="723">
                  <c:v>1249.6972500000006</c:v>
                </c:pt>
                <c:pt idx="724">
                  <c:v>1218.6972500000006</c:v>
                </c:pt>
                <c:pt idx="725">
                  <c:v>1258.2972500000005</c:v>
                </c:pt>
                <c:pt idx="726">
                  <c:v>1213.2972500000005</c:v>
                </c:pt>
                <c:pt idx="727">
                  <c:v>1186.2972500000005</c:v>
                </c:pt>
                <c:pt idx="728">
                  <c:v>1186.2972500000005</c:v>
                </c:pt>
                <c:pt idx="729">
                  <c:v>1134.2972500000005</c:v>
                </c:pt>
                <c:pt idx="730">
                  <c:v>1134.2972500000005</c:v>
                </c:pt>
                <c:pt idx="731">
                  <c:v>1160.5572500000005</c:v>
                </c:pt>
                <c:pt idx="732">
                  <c:v>1189.9972500000006</c:v>
                </c:pt>
                <c:pt idx="733">
                  <c:v>1159.9972500000006</c:v>
                </c:pt>
                <c:pt idx="734">
                  <c:v>1126.9972500000006</c:v>
                </c:pt>
                <c:pt idx="735">
                  <c:v>1184.9972500000006</c:v>
                </c:pt>
                <c:pt idx="736">
                  <c:v>1210.3772500000005</c:v>
                </c:pt>
                <c:pt idx="737">
                  <c:v>1169.3772500000005</c:v>
                </c:pt>
                <c:pt idx="738">
                  <c:v>1228.0272500000005</c:v>
                </c:pt>
                <c:pt idx="739">
                  <c:v>1269.2772500000005</c:v>
                </c:pt>
                <c:pt idx="740">
                  <c:v>1300.4772500000006</c:v>
                </c:pt>
                <c:pt idx="741">
                  <c:v>1258.4772500000006</c:v>
                </c:pt>
                <c:pt idx="742">
                  <c:v>1284.6672500000006</c:v>
                </c:pt>
                <c:pt idx="743">
                  <c:v>1256.6672500000006</c:v>
                </c:pt>
                <c:pt idx="744">
                  <c:v>1306.6622500000008</c:v>
                </c:pt>
                <c:pt idx="745">
                  <c:v>1323.9122500000008</c:v>
                </c:pt>
                <c:pt idx="746">
                  <c:v>1323.9122500000008</c:v>
                </c:pt>
                <c:pt idx="747">
                  <c:v>1345.5122500000007</c:v>
                </c:pt>
                <c:pt idx="748">
                  <c:v>1390.5122500000007</c:v>
                </c:pt>
                <c:pt idx="749">
                  <c:v>1429.9922500000007</c:v>
                </c:pt>
                <c:pt idx="750">
                  <c:v>1457.5122500000007</c:v>
                </c:pt>
                <c:pt idx="751">
                  <c:v>1422.5122500000007</c:v>
                </c:pt>
                <c:pt idx="752">
                  <c:v>1472.3922500000008</c:v>
                </c:pt>
                <c:pt idx="753">
                  <c:v>1430.3922500000008</c:v>
                </c:pt>
                <c:pt idx="754">
                  <c:v>1461.7422500000007</c:v>
                </c:pt>
                <c:pt idx="755">
                  <c:v>1430.7422500000007</c:v>
                </c:pt>
                <c:pt idx="756">
                  <c:v>1416.7422500000007</c:v>
                </c:pt>
                <c:pt idx="757">
                  <c:v>1452.2322500000007</c:v>
                </c:pt>
                <c:pt idx="758">
                  <c:v>1413.2322500000007</c:v>
                </c:pt>
                <c:pt idx="759">
                  <c:v>1446.9022500000008</c:v>
                </c:pt>
                <c:pt idx="760">
                  <c:v>1430.9022500000008</c:v>
                </c:pt>
                <c:pt idx="761">
                  <c:v>1405.9022500000008</c:v>
                </c:pt>
                <c:pt idx="762">
                  <c:v>1432.5422500000009</c:v>
                </c:pt>
                <c:pt idx="763">
                  <c:v>1459.1022500000008</c:v>
                </c:pt>
                <c:pt idx="764">
                  <c:v>1449.1022500000008</c:v>
                </c:pt>
                <c:pt idx="765">
                  <c:v>1421.1022500000008</c:v>
                </c:pt>
                <c:pt idx="766">
                  <c:v>1450.8022500000009</c:v>
                </c:pt>
                <c:pt idx="767">
                  <c:v>1481.0422500000009</c:v>
                </c:pt>
                <c:pt idx="768">
                  <c:v>1527.1022500000008</c:v>
                </c:pt>
                <c:pt idx="769">
                  <c:v>1555.9022500000008</c:v>
                </c:pt>
                <c:pt idx="770">
                  <c:v>1579.4222500000008</c:v>
                </c:pt>
                <c:pt idx="771">
                  <c:v>1566.4222500000008</c:v>
                </c:pt>
                <c:pt idx="772">
                  <c:v>1617.0622500000009</c:v>
                </c:pt>
                <c:pt idx="773">
                  <c:v>1643.942250000001</c:v>
                </c:pt>
                <c:pt idx="774">
                  <c:v>1693.4462500000009</c:v>
                </c:pt>
                <c:pt idx="775">
                  <c:v>1738.135250000001</c:v>
                </c:pt>
                <c:pt idx="776">
                  <c:v>1762.5812500000009</c:v>
                </c:pt>
                <c:pt idx="777">
                  <c:v>1708.5812500000009</c:v>
                </c:pt>
                <c:pt idx="778">
                  <c:v>1670.5812500000009</c:v>
                </c:pt>
                <c:pt idx="779">
                  <c:v>1633.5812500000009</c:v>
                </c:pt>
                <c:pt idx="780">
                  <c:v>1589.5812500000009</c:v>
                </c:pt>
                <c:pt idx="781">
                  <c:v>1619.6112500000008</c:v>
                </c:pt>
                <c:pt idx="782">
                  <c:v>1590.6112500000008</c:v>
                </c:pt>
                <c:pt idx="783">
                  <c:v>1618.7412500000009</c:v>
                </c:pt>
                <c:pt idx="784">
                  <c:v>1567.7412500000009</c:v>
                </c:pt>
                <c:pt idx="785">
                  <c:v>1539.7412500000009</c:v>
                </c:pt>
                <c:pt idx="786">
                  <c:v>1484.7412500000009</c:v>
                </c:pt>
                <c:pt idx="787">
                  <c:v>1466.7412500000009</c:v>
                </c:pt>
                <c:pt idx="788">
                  <c:v>1491.7412500000009</c:v>
                </c:pt>
                <c:pt idx="789">
                  <c:v>1453.7412500000009</c:v>
                </c:pt>
                <c:pt idx="790">
                  <c:v>1373.7412500000009</c:v>
                </c:pt>
                <c:pt idx="791">
                  <c:v>1355.7412500000009</c:v>
                </c:pt>
                <c:pt idx="792">
                  <c:v>1407.4912500000009</c:v>
                </c:pt>
                <c:pt idx="793">
                  <c:v>1366.4912500000009</c:v>
                </c:pt>
                <c:pt idx="794">
                  <c:v>1397.431250000001</c:v>
                </c:pt>
                <c:pt idx="795">
                  <c:v>1450.981250000001</c:v>
                </c:pt>
                <c:pt idx="796">
                  <c:v>1486.981250000001</c:v>
                </c:pt>
                <c:pt idx="797">
                  <c:v>1486.981250000001</c:v>
                </c:pt>
                <c:pt idx="798">
                  <c:v>1510.981250000001</c:v>
                </c:pt>
                <c:pt idx="799">
                  <c:v>1461.981250000001</c:v>
                </c:pt>
                <c:pt idx="800">
                  <c:v>1513.4912500000009</c:v>
                </c:pt>
                <c:pt idx="801">
                  <c:v>1539.391250000001</c:v>
                </c:pt>
                <c:pt idx="802">
                  <c:v>1569.651250000001</c:v>
                </c:pt>
                <c:pt idx="803">
                  <c:v>1596.5312500000011</c:v>
                </c:pt>
                <c:pt idx="804">
                  <c:v>1611.9062500000011</c:v>
                </c:pt>
                <c:pt idx="805">
                  <c:v>1611.9062500000011</c:v>
                </c:pt>
                <c:pt idx="806">
                  <c:v>1672.3562500000012</c:v>
                </c:pt>
                <c:pt idx="807">
                  <c:v>1701.1562500000011</c:v>
                </c:pt>
                <c:pt idx="808">
                  <c:v>1653.1562500000011</c:v>
                </c:pt>
                <c:pt idx="809">
                  <c:v>1612.1562500000011</c:v>
                </c:pt>
                <c:pt idx="810">
                  <c:v>1639.756250000001</c:v>
                </c:pt>
                <c:pt idx="811">
                  <c:v>1639.756250000001</c:v>
                </c:pt>
                <c:pt idx="812">
                  <c:v>1626.756250000001</c:v>
                </c:pt>
                <c:pt idx="813">
                  <c:v>1613.756250000001</c:v>
                </c:pt>
                <c:pt idx="814">
                  <c:v>1641.806250000001</c:v>
                </c:pt>
                <c:pt idx="815">
                  <c:v>1614.806250000001</c:v>
                </c:pt>
                <c:pt idx="816">
                  <c:v>1602.806250000001</c:v>
                </c:pt>
                <c:pt idx="817">
                  <c:v>1631.606250000001</c:v>
                </c:pt>
                <c:pt idx="818">
                  <c:v>1678.874250000001</c:v>
                </c:pt>
                <c:pt idx="819">
                  <c:v>1728.874250000001</c:v>
                </c:pt>
                <c:pt idx="820">
                  <c:v>1753.2342500000009</c:v>
                </c:pt>
                <c:pt idx="821">
                  <c:v>1794.1392500000009</c:v>
                </c:pt>
                <c:pt idx="822">
                  <c:v>1719.1392500000009</c:v>
                </c:pt>
                <c:pt idx="823">
                  <c:v>1748.3892500000009</c:v>
                </c:pt>
                <c:pt idx="824">
                  <c:v>1765.8092500000009</c:v>
                </c:pt>
                <c:pt idx="825">
                  <c:v>1741.3092500000009</c:v>
                </c:pt>
                <c:pt idx="826">
                  <c:v>1697.3092500000009</c:v>
                </c:pt>
                <c:pt idx="827">
                  <c:v>1660.3092500000009</c:v>
                </c:pt>
                <c:pt idx="828">
                  <c:v>1690.199250000001</c:v>
                </c:pt>
                <c:pt idx="829">
                  <c:v>1636.199250000001</c:v>
                </c:pt>
                <c:pt idx="830">
                  <c:v>1536.199250000001</c:v>
                </c:pt>
                <c:pt idx="831">
                  <c:v>1465.199250000001</c:v>
                </c:pt>
                <c:pt idx="832">
                  <c:v>1404.199250000001</c:v>
                </c:pt>
                <c:pt idx="833">
                  <c:v>1440.8592500000011</c:v>
                </c:pt>
                <c:pt idx="834">
                  <c:v>1469.719250000001</c:v>
                </c:pt>
                <c:pt idx="835">
                  <c:v>1498.4192500000011</c:v>
                </c:pt>
                <c:pt idx="836">
                  <c:v>1529.5792500000011</c:v>
                </c:pt>
                <c:pt idx="837">
                  <c:v>1495.5792500000011</c:v>
                </c:pt>
                <c:pt idx="838">
                  <c:v>1469.0792500000011</c:v>
                </c:pt>
                <c:pt idx="839">
                  <c:v>1440.0792500000011</c:v>
                </c:pt>
                <c:pt idx="840">
                  <c:v>1412.0792500000011</c:v>
                </c:pt>
                <c:pt idx="841">
                  <c:v>1381.0792500000011</c:v>
                </c:pt>
                <c:pt idx="842">
                  <c:v>1346.0792500000011</c:v>
                </c:pt>
                <c:pt idx="843">
                  <c:v>1320.0792500000011</c:v>
                </c:pt>
                <c:pt idx="844">
                  <c:v>1289.0792500000011</c:v>
                </c:pt>
                <c:pt idx="845">
                  <c:v>1226.0792500000011</c:v>
                </c:pt>
                <c:pt idx="846">
                  <c:v>1258.9392500000013</c:v>
                </c:pt>
                <c:pt idx="847">
                  <c:v>1212.9392500000013</c:v>
                </c:pt>
                <c:pt idx="848">
                  <c:v>1176.9392500000013</c:v>
                </c:pt>
                <c:pt idx="849">
                  <c:v>1153.9392500000013</c:v>
                </c:pt>
                <c:pt idx="850">
                  <c:v>1183.5792500000014</c:v>
                </c:pt>
                <c:pt idx="851">
                  <c:v>1211.2992500000014</c:v>
                </c:pt>
                <c:pt idx="852">
                  <c:v>1245.1392500000013</c:v>
                </c:pt>
                <c:pt idx="853">
                  <c:v>1216.1392500000013</c:v>
                </c:pt>
                <c:pt idx="854">
                  <c:v>1179.1392500000013</c:v>
                </c:pt>
                <c:pt idx="855">
                  <c:v>1139.1392500000013</c:v>
                </c:pt>
                <c:pt idx="856">
                  <c:v>1119.1392500000013</c:v>
                </c:pt>
                <c:pt idx="857">
                  <c:v>1095.1392500000013</c:v>
                </c:pt>
                <c:pt idx="858">
                  <c:v>1143.8992500000013</c:v>
                </c:pt>
                <c:pt idx="859">
                  <c:v>1160.7092500000012</c:v>
                </c:pt>
                <c:pt idx="860">
                  <c:v>1185.0692500000011</c:v>
                </c:pt>
                <c:pt idx="861">
                  <c:v>1206.8192500000011</c:v>
                </c:pt>
                <c:pt idx="862">
                  <c:v>1258.1192500000011</c:v>
                </c:pt>
                <c:pt idx="863">
                  <c:v>1236.1192500000011</c:v>
                </c:pt>
                <c:pt idx="864">
                  <c:v>1173.1192500000011</c:v>
                </c:pt>
                <c:pt idx="865">
                  <c:v>1124.1192500000011</c:v>
                </c:pt>
                <c:pt idx="866">
                  <c:v>1089.1192500000011</c:v>
                </c:pt>
                <c:pt idx="867">
                  <c:v>1064.1192500000011</c:v>
                </c:pt>
                <c:pt idx="868">
                  <c:v>1027.1192500000011</c:v>
                </c:pt>
                <c:pt idx="869">
                  <c:v>1073.5792500000011</c:v>
                </c:pt>
                <c:pt idx="870">
                  <c:v>1053.5792500000011</c:v>
                </c:pt>
                <c:pt idx="871">
                  <c:v>1081.5792500000011</c:v>
                </c:pt>
                <c:pt idx="872">
                  <c:v>1112.5792500000011</c:v>
                </c:pt>
                <c:pt idx="873">
                  <c:v>1142.6592500000011</c:v>
                </c:pt>
                <c:pt idx="874">
                  <c:v>1129.6592500000011</c:v>
                </c:pt>
                <c:pt idx="875">
                  <c:v>1160.679250000001</c:v>
                </c:pt>
                <c:pt idx="876">
                  <c:v>1195.519250000001</c:v>
                </c:pt>
                <c:pt idx="877">
                  <c:v>1245.8892500000011</c:v>
                </c:pt>
                <c:pt idx="878">
                  <c:v>1212.8892500000011</c:v>
                </c:pt>
                <c:pt idx="879">
                  <c:v>1165.8892500000011</c:v>
                </c:pt>
                <c:pt idx="880">
                  <c:v>1141.8892500000011</c:v>
                </c:pt>
                <c:pt idx="881">
                  <c:v>1072.8892500000011</c:v>
                </c:pt>
                <c:pt idx="882">
                  <c:v>1122.566250000001</c:v>
                </c:pt>
                <c:pt idx="883">
                  <c:v>1146.9262500000009</c:v>
                </c:pt>
                <c:pt idx="884">
                  <c:v>1115.9262500000009</c:v>
                </c:pt>
                <c:pt idx="885">
                  <c:v>1060.9262500000009</c:v>
                </c:pt>
                <c:pt idx="886">
                  <c:v>1085.076250000001</c:v>
                </c:pt>
                <c:pt idx="887">
                  <c:v>1072.076250000001</c:v>
                </c:pt>
                <c:pt idx="888">
                  <c:v>1044.076250000001</c:v>
                </c:pt>
                <c:pt idx="889">
                  <c:v>980.07625000000098</c:v>
                </c:pt>
                <c:pt idx="890">
                  <c:v>942.07625000000098</c:v>
                </c:pt>
                <c:pt idx="891">
                  <c:v>898.07625000000098</c:v>
                </c:pt>
                <c:pt idx="892">
                  <c:v>950.01625000000104</c:v>
                </c:pt>
                <c:pt idx="893">
                  <c:v>929.01625000000104</c:v>
                </c:pt>
                <c:pt idx="894">
                  <c:v>954.936250000001</c:v>
                </c:pt>
                <c:pt idx="895">
                  <c:v>988.056250000001</c:v>
                </c:pt>
                <c:pt idx="896">
                  <c:v>965.056250000001</c:v>
                </c:pt>
                <c:pt idx="897">
                  <c:v>1010.106250000001</c:v>
                </c:pt>
                <c:pt idx="898">
                  <c:v>1039.8662500000009</c:v>
                </c:pt>
                <c:pt idx="899">
                  <c:v>1083.6582500000009</c:v>
                </c:pt>
                <c:pt idx="900">
                  <c:v>1117.9782500000008</c:v>
                </c:pt>
                <c:pt idx="901">
                  <c:v>1162.1382500000009</c:v>
                </c:pt>
                <c:pt idx="902">
                  <c:v>1127.1382500000009</c:v>
                </c:pt>
                <c:pt idx="903">
                  <c:v>1094.1382500000009</c:v>
                </c:pt>
                <c:pt idx="904">
                  <c:v>1131.9382500000008</c:v>
                </c:pt>
                <c:pt idx="905">
                  <c:v>1165.9282500000008</c:v>
                </c:pt>
                <c:pt idx="906">
                  <c:v>1121.9282500000008</c:v>
                </c:pt>
                <c:pt idx="907">
                  <c:v>1160.6282500000009</c:v>
                </c:pt>
                <c:pt idx="908">
                  <c:v>1210.778250000001</c:v>
                </c:pt>
                <c:pt idx="909">
                  <c:v>1238.0782500000009</c:v>
                </c:pt>
                <c:pt idx="910">
                  <c:v>1272.0782500000009</c:v>
                </c:pt>
                <c:pt idx="911">
                  <c:v>1240.0782500000009</c:v>
                </c:pt>
                <c:pt idx="912">
                  <c:v>1264.498250000001</c:v>
                </c:pt>
                <c:pt idx="913">
                  <c:v>1288.998250000001</c:v>
                </c:pt>
                <c:pt idx="914">
                  <c:v>1247.998250000001</c:v>
                </c:pt>
                <c:pt idx="915">
                  <c:v>1227.998250000001</c:v>
                </c:pt>
                <c:pt idx="916">
                  <c:v>1269.5782500000009</c:v>
                </c:pt>
                <c:pt idx="917">
                  <c:v>1207.5782500000009</c:v>
                </c:pt>
                <c:pt idx="918">
                  <c:v>1220.1182500000009</c:v>
                </c:pt>
                <c:pt idx="919">
                  <c:v>1246.7182500000008</c:v>
                </c:pt>
                <c:pt idx="920">
                  <c:v>1287.1822500000007</c:v>
                </c:pt>
                <c:pt idx="921">
                  <c:v>1259.1822500000007</c:v>
                </c:pt>
                <c:pt idx="922">
                  <c:v>1231.1822500000007</c:v>
                </c:pt>
                <c:pt idx="923">
                  <c:v>1281.1772500000006</c:v>
                </c:pt>
                <c:pt idx="924">
                  <c:v>1250.1772500000006</c:v>
                </c:pt>
                <c:pt idx="925">
                  <c:v>1285.2772500000005</c:v>
                </c:pt>
                <c:pt idx="926">
                  <c:v>1257.2772500000005</c:v>
                </c:pt>
                <c:pt idx="927">
                  <c:v>1247.2772500000005</c:v>
                </c:pt>
                <c:pt idx="928">
                  <c:v>1235.2772500000005</c:v>
                </c:pt>
                <c:pt idx="929">
                  <c:v>1261.5272500000005</c:v>
                </c:pt>
                <c:pt idx="930">
                  <c:v>1311.5222500000004</c:v>
                </c:pt>
                <c:pt idx="931">
                  <c:v>1339.9422500000005</c:v>
                </c:pt>
                <c:pt idx="932">
                  <c:v>1303.9422500000005</c:v>
                </c:pt>
                <c:pt idx="933">
                  <c:v>1358.6622500000005</c:v>
                </c:pt>
                <c:pt idx="934">
                  <c:v>1414.0422500000004</c:v>
                </c:pt>
                <c:pt idx="935">
                  <c:v>1453.5622500000004</c:v>
                </c:pt>
                <c:pt idx="936">
                  <c:v>1377.5622500000004</c:v>
                </c:pt>
                <c:pt idx="937">
                  <c:v>1324.5622500000004</c:v>
                </c:pt>
                <c:pt idx="938">
                  <c:v>1374.5572500000003</c:v>
                </c:pt>
                <c:pt idx="939">
                  <c:v>1334.5572500000003</c:v>
                </c:pt>
                <c:pt idx="940">
                  <c:v>1371.6372500000002</c:v>
                </c:pt>
                <c:pt idx="941">
                  <c:v>1394.3622500000001</c:v>
                </c:pt>
                <c:pt idx="942">
                  <c:v>1444.35725</c:v>
                </c:pt>
                <c:pt idx="943">
                  <c:v>1494.3522499999999</c:v>
                </c:pt>
                <c:pt idx="944">
                  <c:v>1466.3522499999999</c:v>
                </c:pt>
                <c:pt idx="945">
                  <c:v>1402.3522499999999</c:v>
                </c:pt>
                <c:pt idx="946">
                  <c:v>1299.3522499999999</c:v>
                </c:pt>
                <c:pt idx="947">
                  <c:v>1324.0742499999999</c:v>
                </c:pt>
                <c:pt idx="948">
                  <c:v>1293.0742499999999</c:v>
                </c:pt>
                <c:pt idx="949">
                  <c:v>1293.0742499999999</c:v>
                </c:pt>
                <c:pt idx="950">
                  <c:v>1238.0742499999999</c:v>
                </c:pt>
                <c:pt idx="951">
                  <c:v>1267.3342499999999</c:v>
                </c:pt>
                <c:pt idx="952">
                  <c:v>1315.1842499999998</c:v>
                </c:pt>
                <c:pt idx="953">
                  <c:v>1270.1842499999998</c:v>
                </c:pt>
                <c:pt idx="954">
                  <c:v>1309.9642499999998</c:v>
                </c:pt>
                <c:pt idx="955">
                  <c:v>1268.9642499999998</c:v>
                </c:pt>
                <c:pt idx="956">
                  <c:v>1232.9642499999998</c:v>
                </c:pt>
                <c:pt idx="957">
                  <c:v>1266.4442499999998</c:v>
                </c:pt>
                <c:pt idx="958">
                  <c:v>1289.7642499999997</c:v>
                </c:pt>
                <c:pt idx="959">
                  <c:v>1354.0242499999997</c:v>
                </c:pt>
                <c:pt idx="960">
                  <c:v>1314.0242499999997</c:v>
                </c:pt>
                <c:pt idx="961">
                  <c:v>1347.1442499999998</c:v>
                </c:pt>
                <c:pt idx="962">
                  <c:v>1314.1442499999998</c:v>
                </c:pt>
                <c:pt idx="963">
                  <c:v>1345.9442499999998</c:v>
                </c:pt>
                <c:pt idx="964">
                  <c:v>1317.9442499999998</c:v>
                </c:pt>
                <c:pt idx="965">
                  <c:v>1368.9442499999998</c:v>
                </c:pt>
                <c:pt idx="966">
                  <c:v>1401.8442499999999</c:v>
                </c:pt>
                <c:pt idx="967">
                  <c:v>1370.8442499999999</c:v>
                </c:pt>
                <c:pt idx="968">
                  <c:v>1325.8442499999999</c:v>
                </c:pt>
                <c:pt idx="969">
                  <c:v>1363.0492499999998</c:v>
                </c:pt>
                <c:pt idx="970">
                  <c:v>1400.6492499999997</c:v>
                </c:pt>
                <c:pt idx="971">
                  <c:v>1426.4492499999997</c:v>
                </c:pt>
                <c:pt idx="972">
                  <c:v>1469.0092499999996</c:v>
                </c:pt>
                <c:pt idx="973">
                  <c:v>1432.0092499999996</c:v>
                </c:pt>
                <c:pt idx="974">
                  <c:v>1461.1492499999997</c:v>
                </c:pt>
                <c:pt idx="975">
                  <c:v>1510.6532499999996</c:v>
                </c:pt>
                <c:pt idx="976">
                  <c:v>1552.0532499999997</c:v>
                </c:pt>
                <c:pt idx="977">
                  <c:v>1527.0532499999997</c:v>
                </c:pt>
                <c:pt idx="978">
                  <c:v>1467.0532499999997</c:v>
                </c:pt>
                <c:pt idx="979">
                  <c:v>1509.3482499999998</c:v>
                </c:pt>
                <c:pt idx="980">
                  <c:v>1533.1482499999997</c:v>
                </c:pt>
                <c:pt idx="981">
                  <c:v>1508.1482499999997</c:v>
                </c:pt>
                <c:pt idx="982">
                  <c:v>1558.1432499999996</c:v>
                </c:pt>
                <c:pt idx="983">
                  <c:v>1592.5432499999997</c:v>
                </c:pt>
                <c:pt idx="984">
                  <c:v>1618.3532499999997</c:v>
                </c:pt>
                <c:pt idx="985">
                  <c:v>1644.5932499999997</c:v>
                </c:pt>
                <c:pt idx="986">
                  <c:v>1626.5932499999997</c:v>
                </c:pt>
                <c:pt idx="987">
                  <c:v>1654.4332499999996</c:v>
                </c:pt>
                <c:pt idx="988">
                  <c:v>1635.4332499999996</c:v>
                </c:pt>
                <c:pt idx="989">
                  <c:v>1635.4332499999996</c:v>
                </c:pt>
                <c:pt idx="990">
                  <c:v>1663.2732499999995</c:v>
                </c:pt>
                <c:pt idx="991">
                  <c:v>1690.8732499999994</c:v>
                </c:pt>
                <c:pt idx="992">
                  <c:v>1657.8732499999994</c:v>
                </c:pt>
                <c:pt idx="993">
                  <c:v>1616.8732499999994</c:v>
                </c:pt>
                <c:pt idx="994">
                  <c:v>1644.5372499999994</c:v>
                </c:pt>
                <c:pt idx="995">
                  <c:v>1618.5372499999994</c:v>
                </c:pt>
                <c:pt idx="996">
                  <c:v>1607.5372499999994</c:v>
                </c:pt>
                <c:pt idx="997">
                  <c:v>1565.5372499999994</c:v>
                </c:pt>
                <c:pt idx="998">
                  <c:v>1551.0372499999994</c:v>
                </c:pt>
                <c:pt idx="999">
                  <c:v>1594.7172499999995</c:v>
                </c:pt>
                <c:pt idx="1000">
                  <c:v>1569.7172499999995</c:v>
                </c:pt>
                <c:pt idx="1001">
                  <c:v>1549.7172499999995</c:v>
                </c:pt>
                <c:pt idx="1002">
                  <c:v>1590.6222499999994</c:v>
                </c:pt>
                <c:pt idx="1003">
                  <c:v>1615.0752499999994</c:v>
                </c:pt>
                <c:pt idx="1004">
                  <c:v>1588.0752499999994</c:v>
                </c:pt>
                <c:pt idx="1005">
                  <c:v>1571.0752499999994</c:v>
                </c:pt>
                <c:pt idx="1006">
                  <c:v>1571.0752499999994</c:v>
                </c:pt>
                <c:pt idx="1007">
                  <c:v>1543.0752499999994</c:v>
                </c:pt>
                <c:pt idx="1008">
                  <c:v>1601.3752499999994</c:v>
                </c:pt>
                <c:pt idx="1009">
                  <c:v>1636.4752499999993</c:v>
                </c:pt>
                <c:pt idx="1010">
                  <c:v>1663.9152499999993</c:v>
                </c:pt>
                <c:pt idx="1011">
                  <c:v>1678.3152499999994</c:v>
                </c:pt>
                <c:pt idx="1012">
                  <c:v>1724.4252499999993</c:v>
                </c:pt>
                <c:pt idx="1013">
                  <c:v>1756.7252499999993</c:v>
                </c:pt>
                <c:pt idx="1014">
                  <c:v>1712.7252499999993</c:v>
                </c:pt>
                <c:pt idx="1015">
                  <c:v>1725.4352499999993</c:v>
                </c:pt>
                <c:pt idx="1016">
                  <c:v>1765.0352499999992</c:v>
                </c:pt>
                <c:pt idx="1017">
                  <c:v>1803.5752499999992</c:v>
                </c:pt>
                <c:pt idx="1018">
                  <c:v>1740.5752499999992</c:v>
                </c:pt>
                <c:pt idx="1019">
                  <c:v>1777.2352499999993</c:v>
                </c:pt>
                <c:pt idx="1020">
                  <c:v>1802.2192499999992</c:v>
                </c:pt>
                <c:pt idx="1021">
                  <c:v>1747.2192499999992</c:v>
                </c:pt>
                <c:pt idx="1022">
                  <c:v>1774.3392499999991</c:v>
                </c:pt>
                <c:pt idx="1023">
                  <c:v>1746.3392499999991</c:v>
                </c:pt>
                <c:pt idx="1024">
                  <c:v>1785.189249999999</c:v>
                </c:pt>
                <c:pt idx="1025">
                  <c:v>1763.189249999999</c:v>
                </c:pt>
                <c:pt idx="1026">
                  <c:v>1701.189249999999</c:v>
                </c:pt>
                <c:pt idx="1027">
                  <c:v>1730.419249999999</c:v>
                </c:pt>
                <c:pt idx="1028">
                  <c:v>1764.7392499999989</c:v>
                </c:pt>
                <c:pt idx="1029">
                  <c:v>1804.2992499999989</c:v>
                </c:pt>
                <c:pt idx="1030">
                  <c:v>1832.459249999999</c:v>
                </c:pt>
                <c:pt idx="1031">
                  <c:v>1864.459249999999</c:v>
                </c:pt>
                <c:pt idx="1032">
                  <c:v>1892.3592499999991</c:v>
                </c:pt>
                <c:pt idx="1033">
                  <c:v>1968.0192499999991</c:v>
                </c:pt>
                <c:pt idx="1034">
                  <c:v>1999.0192499999991</c:v>
                </c:pt>
                <c:pt idx="1035">
                  <c:v>2026.7942499999992</c:v>
                </c:pt>
                <c:pt idx="1036">
                  <c:v>2059.1942499999991</c:v>
                </c:pt>
                <c:pt idx="1037">
                  <c:v>2034.1942499999991</c:v>
                </c:pt>
                <c:pt idx="1038">
                  <c:v>1963.1942499999991</c:v>
                </c:pt>
                <c:pt idx="1039">
                  <c:v>1874.1942499999991</c:v>
                </c:pt>
                <c:pt idx="1040">
                  <c:v>1840.1942499999991</c:v>
                </c:pt>
                <c:pt idx="1041">
                  <c:v>1877.3942499999991</c:v>
                </c:pt>
                <c:pt idx="1042">
                  <c:v>1852.3942499999991</c:v>
                </c:pt>
                <c:pt idx="1043">
                  <c:v>1823.3942499999991</c:v>
                </c:pt>
                <c:pt idx="1044">
                  <c:v>1878.5942499999992</c:v>
                </c:pt>
                <c:pt idx="1045">
                  <c:v>1851.5942499999992</c:v>
                </c:pt>
                <c:pt idx="1046">
                  <c:v>1878.0542499999992</c:v>
                </c:pt>
                <c:pt idx="1047">
                  <c:v>1906.7642499999993</c:v>
                </c:pt>
                <c:pt idx="1048">
                  <c:v>1867.7642499999993</c:v>
                </c:pt>
                <c:pt idx="1049">
                  <c:v>1825.7642499999993</c:v>
                </c:pt>
                <c:pt idx="1050">
                  <c:v>1887.2642499999993</c:v>
                </c:pt>
                <c:pt idx="1051">
                  <c:v>1919.9442499999993</c:v>
                </c:pt>
                <c:pt idx="1052">
                  <c:v>1951.9442499999993</c:v>
                </c:pt>
                <c:pt idx="1053">
                  <c:v>1915.9442499999993</c:v>
                </c:pt>
                <c:pt idx="1054">
                  <c:v>1964.2442499999993</c:v>
                </c:pt>
                <c:pt idx="1055">
                  <c:v>1991.9082499999993</c:v>
                </c:pt>
                <c:pt idx="1056">
                  <c:v>2011.8882499999993</c:v>
                </c:pt>
                <c:pt idx="1057">
                  <c:v>2037.3152499999992</c:v>
                </c:pt>
                <c:pt idx="1058">
                  <c:v>2066.2012499999992</c:v>
                </c:pt>
                <c:pt idx="1059">
                  <c:v>2066.2012499999992</c:v>
                </c:pt>
                <c:pt idx="1060">
                  <c:v>2100.0412499999993</c:v>
                </c:pt>
                <c:pt idx="1061">
                  <c:v>2126.4412499999994</c:v>
                </c:pt>
                <c:pt idx="1062">
                  <c:v>2151.8812499999995</c:v>
                </c:pt>
                <c:pt idx="1063">
                  <c:v>2134.8812499999995</c:v>
                </c:pt>
                <c:pt idx="1064">
                  <c:v>2091.8812499999995</c:v>
                </c:pt>
                <c:pt idx="1065">
                  <c:v>2116.2412499999996</c:v>
                </c:pt>
                <c:pt idx="1066">
                  <c:v>2173.7412499999996</c:v>
                </c:pt>
                <c:pt idx="1067">
                  <c:v>2140.7412499999996</c:v>
                </c:pt>
                <c:pt idx="1068">
                  <c:v>2090.7412499999996</c:v>
                </c:pt>
                <c:pt idx="1069">
                  <c:v>2138.7912499999998</c:v>
                </c:pt>
                <c:pt idx="1070">
                  <c:v>2100.7912499999998</c:v>
                </c:pt>
                <c:pt idx="1071">
                  <c:v>2137.6412499999997</c:v>
                </c:pt>
                <c:pt idx="1072">
                  <c:v>2151.5597499999999</c:v>
                </c:pt>
                <c:pt idx="1073">
                  <c:v>2180.1597499999998</c:v>
                </c:pt>
                <c:pt idx="1074">
                  <c:v>2206.8897499999998</c:v>
                </c:pt>
                <c:pt idx="1075">
                  <c:v>2256.8847499999997</c:v>
                </c:pt>
                <c:pt idx="1076">
                  <c:v>2293.4047499999997</c:v>
                </c:pt>
                <c:pt idx="1077">
                  <c:v>2293.4047499999997</c:v>
                </c:pt>
                <c:pt idx="1078">
                  <c:v>2343.3997499999996</c:v>
                </c:pt>
                <c:pt idx="1079">
                  <c:v>2267.3997499999996</c:v>
                </c:pt>
                <c:pt idx="1080">
                  <c:v>2310.6897499999995</c:v>
                </c:pt>
                <c:pt idx="1081">
                  <c:v>2339.9197499999996</c:v>
                </c:pt>
                <c:pt idx="1082">
                  <c:v>2288.9197499999996</c:v>
                </c:pt>
                <c:pt idx="1083">
                  <c:v>2237.9197499999996</c:v>
                </c:pt>
                <c:pt idx="1084">
                  <c:v>2270.4797499999995</c:v>
                </c:pt>
                <c:pt idx="1085">
                  <c:v>2247.4797499999995</c:v>
                </c:pt>
                <c:pt idx="1086">
                  <c:v>2221.4797499999995</c:v>
                </c:pt>
                <c:pt idx="1087">
                  <c:v>2192.4797499999995</c:v>
                </c:pt>
                <c:pt idx="1088">
                  <c:v>2148.4797499999995</c:v>
                </c:pt>
                <c:pt idx="1089">
                  <c:v>2183.5917499999996</c:v>
                </c:pt>
                <c:pt idx="1090">
                  <c:v>2271.5917499999996</c:v>
                </c:pt>
                <c:pt idx="1091">
                  <c:v>2257.0917499999996</c:v>
                </c:pt>
                <c:pt idx="1092">
                  <c:v>2282.7117499999995</c:v>
                </c:pt>
                <c:pt idx="1093">
                  <c:v>2317.7117499999995</c:v>
                </c:pt>
                <c:pt idx="1094">
                  <c:v>2317.7117499999995</c:v>
                </c:pt>
                <c:pt idx="1095">
                  <c:v>2294.7117499999995</c:v>
                </c:pt>
                <c:pt idx="1096">
                  <c:v>2271.7117499999995</c:v>
                </c:pt>
                <c:pt idx="1097">
                  <c:v>2304.1117499999996</c:v>
                </c:pt>
                <c:pt idx="1098">
                  <c:v>2265.1117499999996</c:v>
                </c:pt>
                <c:pt idx="1099">
                  <c:v>2308.2317499999995</c:v>
                </c:pt>
                <c:pt idx="1100">
                  <c:v>2271.2317499999995</c:v>
                </c:pt>
                <c:pt idx="1101">
                  <c:v>2238.2317499999995</c:v>
                </c:pt>
                <c:pt idx="1102">
                  <c:v>2185.2317499999995</c:v>
                </c:pt>
                <c:pt idx="1103">
                  <c:v>2150.2317499999995</c:v>
                </c:pt>
                <c:pt idx="1104">
                  <c:v>2110.2317499999995</c:v>
                </c:pt>
                <c:pt idx="1105">
                  <c:v>2148.3117499999994</c:v>
                </c:pt>
                <c:pt idx="1106">
                  <c:v>2119.3117499999994</c:v>
                </c:pt>
                <c:pt idx="1107">
                  <c:v>2146.0417499999994</c:v>
                </c:pt>
                <c:pt idx="1108">
                  <c:v>2107.0417499999994</c:v>
                </c:pt>
                <c:pt idx="1109">
                  <c:v>2149.1617499999993</c:v>
                </c:pt>
                <c:pt idx="1110">
                  <c:v>2174.3617499999991</c:v>
                </c:pt>
                <c:pt idx="1111">
                  <c:v>2136.3617499999991</c:v>
                </c:pt>
                <c:pt idx="1112">
                  <c:v>2085.3617499999991</c:v>
                </c:pt>
                <c:pt idx="1113">
                  <c:v>2120.461749999999</c:v>
                </c:pt>
                <c:pt idx="1114">
                  <c:v>2165.0117499999992</c:v>
                </c:pt>
                <c:pt idx="1115">
                  <c:v>2144.0117499999992</c:v>
                </c:pt>
                <c:pt idx="1116">
                  <c:v>2100.0117499999992</c:v>
                </c:pt>
                <c:pt idx="1117">
                  <c:v>2125.5317499999992</c:v>
                </c:pt>
                <c:pt idx="1118">
                  <c:v>2093.5317499999992</c:v>
                </c:pt>
                <c:pt idx="1119">
                  <c:v>2046.5317499999992</c:v>
                </c:pt>
                <c:pt idx="1120">
                  <c:v>2097.2467499999993</c:v>
                </c:pt>
                <c:pt idx="1121">
                  <c:v>2042.2467499999993</c:v>
                </c:pt>
                <c:pt idx="1122">
                  <c:v>2068.8867499999992</c:v>
                </c:pt>
                <c:pt idx="1123">
                  <c:v>2040.8867499999992</c:v>
                </c:pt>
                <c:pt idx="1124">
                  <c:v>2008.8867499999992</c:v>
                </c:pt>
                <c:pt idx="1125">
                  <c:v>2039.0467499999993</c:v>
                </c:pt>
                <c:pt idx="1126">
                  <c:v>1999.0467499999993</c:v>
                </c:pt>
                <c:pt idx="1127">
                  <c:v>2055.4047499999992</c:v>
                </c:pt>
                <c:pt idx="1128">
                  <c:v>2102.7047499999994</c:v>
                </c:pt>
                <c:pt idx="1129">
                  <c:v>2149.6247499999995</c:v>
                </c:pt>
                <c:pt idx="1130">
                  <c:v>2187.8027499999994</c:v>
                </c:pt>
                <c:pt idx="1131">
                  <c:v>2132.8027499999994</c:v>
                </c:pt>
                <c:pt idx="1132">
                  <c:v>2077.8027499999994</c:v>
                </c:pt>
                <c:pt idx="1133">
                  <c:v>2141.7027499999995</c:v>
                </c:pt>
                <c:pt idx="1134">
                  <c:v>2086.7027499999995</c:v>
                </c:pt>
                <c:pt idx="1135">
                  <c:v>2061.7027499999995</c:v>
                </c:pt>
                <c:pt idx="1136">
                  <c:v>2012.7027499999995</c:v>
                </c:pt>
                <c:pt idx="1137">
                  <c:v>2038.9527499999995</c:v>
                </c:pt>
                <c:pt idx="1138">
                  <c:v>1983.9527499999995</c:v>
                </c:pt>
                <c:pt idx="1139">
                  <c:v>2014.8927499999995</c:v>
                </c:pt>
                <c:pt idx="1140">
                  <c:v>1966.8927499999995</c:v>
                </c:pt>
                <c:pt idx="1141">
                  <c:v>1956.8927499999995</c:v>
                </c:pt>
                <c:pt idx="1142">
                  <c:v>1928.8927499999995</c:v>
                </c:pt>
                <c:pt idx="1143">
                  <c:v>1958.5327499999996</c:v>
                </c:pt>
                <c:pt idx="1144">
                  <c:v>1947.5327499999996</c:v>
                </c:pt>
                <c:pt idx="1145">
                  <c:v>1994.1427499999995</c:v>
                </c:pt>
                <c:pt idx="1146">
                  <c:v>1994.1427499999995</c:v>
                </c:pt>
                <c:pt idx="1147">
                  <c:v>2046.0127499999994</c:v>
                </c:pt>
                <c:pt idx="1148">
                  <c:v>2046.0127499999994</c:v>
                </c:pt>
                <c:pt idx="1149">
                  <c:v>2097.7127499999992</c:v>
                </c:pt>
                <c:pt idx="1150">
                  <c:v>2147.932749999999</c:v>
                </c:pt>
                <c:pt idx="1151">
                  <c:v>2132.932749999999</c:v>
                </c:pt>
                <c:pt idx="1152">
                  <c:v>2091.932749999999</c:v>
                </c:pt>
                <c:pt idx="1153">
                  <c:v>2143.2327499999992</c:v>
                </c:pt>
                <c:pt idx="1154">
                  <c:v>2186.6627499999991</c:v>
                </c:pt>
                <c:pt idx="1155">
                  <c:v>2216.5827499999991</c:v>
                </c:pt>
                <c:pt idx="1156">
                  <c:v>2187.5827499999991</c:v>
                </c:pt>
                <c:pt idx="1157">
                  <c:v>2227.5427499999992</c:v>
                </c:pt>
                <c:pt idx="1158">
                  <c:v>2258.262749999999</c:v>
                </c:pt>
                <c:pt idx="1159">
                  <c:v>2291.9227499999988</c:v>
                </c:pt>
                <c:pt idx="1160">
                  <c:v>2256.9227499999988</c:v>
                </c:pt>
                <c:pt idx="1161">
                  <c:v>2256.9227499999988</c:v>
                </c:pt>
                <c:pt idx="1162">
                  <c:v>2288.512749999999</c:v>
                </c:pt>
                <c:pt idx="1163">
                  <c:v>2349.6127499999989</c:v>
                </c:pt>
                <c:pt idx="1164">
                  <c:v>2318.6127499999989</c:v>
                </c:pt>
                <c:pt idx="1165">
                  <c:v>2318.6127499999989</c:v>
                </c:pt>
                <c:pt idx="1166">
                  <c:v>2280.6127499999989</c:v>
                </c:pt>
                <c:pt idx="1167">
                  <c:v>2325.262749999999</c:v>
                </c:pt>
                <c:pt idx="1168">
                  <c:v>2291.262749999999</c:v>
                </c:pt>
                <c:pt idx="1169">
                  <c:v>2344.5427499999992</c:v>
                </c:pt>
                <c:pt idx="1170">
                  <c:v>2302.5427499999992</c:v>
                </c:pt>
                <c:pt idx="1171">
                  <c:v>2373.0927499999993</c:v>
                </c:pt>
                <c:pt idx="1172">
                  <c:v>2413.6927499999993</c:v>
                </c:pt>
                <c:pt idx="1173">
                  <c:v>2380.6927499999993</c:v>
                </c:pt>
                <c:pt idx="1174">
                  <c:v>2417.2327499999992</c:v>
                </c:pt>
                <c:pt idx="1175">
                  <c:v>2468.2327499999992</c:v>
                </c:pt>
                <c:pt idx="1176">
                  <c:v>2468.2327499999992</c:v>
                </c:pt>
                <c:pt idx="1177">
                  <c:v>2507.7127499999992</c:v>
                </c:pt>
                <c:pt idx="1178">
                  <c:v>2540.5127499999994</c:v>
                </c:pt>
                <c:pt idx="1179">
                  <c:v>2506.5127499999994</c:v>
                </c:pt>
                <c:pt idx="1180">
                  <c:v>2539.2727499999996</c:v>
                </c:pt>
                <c:pt idx="1181">
                  <c:v>2500.2727499999996</c:v>
                </c:pt>
                <c:pt idx="1182">
                  <c:v>2469.2727499999996</c:v>
                </c:pt>
                <c:pt idx="1183">
                  <c:v>2448.2727499999996</c:v>
                </c:pt>
                <c:pt idx="1184">
                  <c:v>2481.8727499999995</c:v>
                </c:pt>
                <c:pt idx="1185">
                  <c:v>2528.7427499999994</c:v>
                </c:pt>
                <c:pt idx="1186">
                  <c:v>2482.7427499999994</c:v>
                </c:pt>
                <c:pt idx="1187">
                  <c:v>2436.7427499999994</c:v>
                </c:pt>
                <c:pt idx="1188">
                  <c:v>2474.3427499999993</c:v>
                </c:pt>
                <c:pt idx="1189">
                  <c:v>2462.3427499999993</c:v>
                </c:pt>
                <c:pt idx="1190">
                  <c:v>2397.3427499999993</c:v>
                </c:pt>
                <c:pt idx="1191">
                  <c:v>2357.3427499999993</c:v>
                </c:pt>
                <c:pt idx="1192">
                  <c:v>2288.3427499999993</c:v>
                </c:pt>
                <c:pt idx="1193">
                  <c:v>2269.3427499999993</c:v>
                </c:pt>
                <c:pt idx="1194">
                  <c:v>2313.0227499999992</c:v>
                </c:pt>
                <c:pt idx="1195">
                  <c:v>2279.0227499999992</c:v>
                </c:pt>
                <c:pt idx="1196">
                  <c:v>2229.0227499999992</c:v>
                </c:pt>
                <c:pt idx="1197">
                  <c:v>2194.0227499999992</c:v>
                </c:pt>
                <c:pt idx="1198">
                  <c:v>2246.3127499999991</c:v>
                </c:pt>
                <c:pt idx="1199">
                  <c:v>2274.5227499999992</c:v>
                </c:pt>
                <c:pt idx="1200">
                  <c:v>2217.5227499999992</c:v>
                </c:pt>
                <c:pt idx="1201">
                  <c:v>2197.0227499999992</c:v>
                </c:pt>
                <c:pt idx="1202">
                  <c:v>2227.0927499999993</c:v>
                </c:pt>
                <c:pt idx="1203">
                  <c:v>2194.0927499999993</c:v>
                </c:pt>
                <c:pt idx="1204">
                  <c:v>2144.0927499999993</c:v>
                </c:pt>
                <c:pt idx="1205">
                  <c:v>2204.0927499999993</c:v>
                </c:pt>
                <c:pt idx="1206">
                  <c:v>2239.3427499999993</c:v>
                </c:pt>
                <c:pt idx="1207">
                  <c:v>2294.3827499999993</c:v>
                </c:pt>
                <c:pt idx="1208">
                  <c:v>2294.3827499999993</c:v>
                </c:pt>
                <c:pt idx="1209">
                  <c:v>2314.4827499999992</c:v>
                </c:pt>
                <c:pt idx="1210">
                  <c:v>2281.4827499999992</c:v>
                </c:pt>
                <c:pt idx="1211">
                  <c:v>2315.0227499999992</c:v>
                </c:pt>
                <c:pt idx="1212">
                  <c:v>2379.0227499999992</c:v>
                </c:pt>
                <c:pt idx="1213">
                  <c:v>2379.0227499999992</c:v>
                </c:pt>
                <c:pt idx="1214">
                  <c:v>2416.8627499999993</c:v>
                </c:pt>
                <c:pt idx="1215">
                  <c:v>2464.3627499999993</c:v>
                </c:pt>
                <c:pt idx="1216">
                  <c:v>2492.7427499999994</c:v>
                </c:pt>
                <c:pt idx="1217">
                  <c:v>2460.7427499999994</c:v>
                </c:pt>
                <c:pt idx="1218">
                  <c:v>2435.7427499999994</c:v>
                </c:pt>
                <c:pt idx="1219">
                  <c:v>2470.8427499999993</c:v>
                </c:pt>
                <c:pt idx="1220">
                  <c:v>2526.3027499999994</c:v>
                </c:pt>
                <c:pt idx="1221">
                  <c:v>2591.9627499999992</c:v>
                </c:pt>
                <c:pt idx="1222">
                  <c:v>2548.9627499999992</c:v>
                </c:pt>
                <c:pt idx="1223">
                  <c:v>2581.1627499999991</c:v>
                </c:pt>
                <c:pt idx="1224">
                  <c:v>2536.1627499999991</c:v>
                </c:pt>
                <c:pt idx="1225">
                  <c:v>2595.3127499999991</c:v>
                </c:pt>
                <c:pt idx="1226">
                  <c:v>2563.3127499999991</c:v>
                </c:pt>
                <c:pt idx="1227">
                  <c:v>2596.4827499999992</c:v>
                </c:pt>
                <c:pt idx="1228">
                  <c:v>2628.1927499999993</c:v>
                </c:pt>
                <c:pt idx="1229">
                  <c:v>2664.9127499999991</c:v>
                </c:pt>
                <c:pt idx="1230">
                  <c:v>2631.9127499999991</c:v>
                </c:pt>
                <c:pt idx="1231">
                  <c:v>2593.9127499999991</c:v>
                </c:pt>
                <c:pt idx="1232">
                  <c:v>2562.9127499999991</c:v>
                </c:pt>
                <c:pt idx="1233">
                  <c:v>2599.1627499999991</c:v>
                </c:pt>
                <c:pt idx="1234">
                  <c:v>2544.1627499999991</c:v>
                </c:pt>
                <c:pt idx="1235">
                  <c:v>2518.1627499999991</c:v>
                </c:pt>
                <c:pt idx="1236">
                  <c:v>2581.8627499999989</c:v>
                </c:pt>
                <c:pt idx="1237">
                  <c:v>2553.8627499999989</c:v>
                </c:pt>
                <c:pt idx="1238">
                  <c:v>2526.8627499999989</c:v>
                </c:pt>
                <c:pt idx="1239">
                  <c:v>2452.8627499999989</c:v>
                </c:pt>
                <c:pt idx="1240">
                  <c:v>2399.8627499999989</c:v>
                </c:pt>
                <c:pt idx="1241">
                  <c:v>2353.8627499999989</c:v>
                </c:pt>
                <c:pt idx="1242">
                  <c:v>2369.4427499999988</c:v>
                </c:pt>
                <c:pt idx="1243">
                  <c:v>2431.6627499999986</c:v>
                </c:pt>
                <c:pt idx="1244">
                  <c:v>2373.6627499999986</c:v>
                </c:pt>
                <c:pt idx="1245">
                  <c:v>2420.1427499999986</c:v>
                </c:pt>
                <c:pt idx="1246">
                  <c:v>2445.2127499999988</c:v>
                </c:pt>
                <c:pt idx="1247">
                  <c:v>2492.8127499999987</c:v>
                </c:pt>
                <c:pt idx="1248">
                  <c:v>2440.8127499999987</c:v>
                </c:pt>
                <c:pt idx="1249">
                  <c:v>2406.8127499999987</c:v>
                </c:pt>
                <c:pt idx="1250">
                  <c:v>2447.5527499999989</c:v>
                </c:pt>
                <c:pt idx="1251">
                  <c:v>2480.992749999999</c:v>
                </c:pt>
                <c:pt idx="1252">
                  <c:v>2501.3927499999991</c:v>
                </c:pt>
                <c:pt idx="1253">
                  <c:v>2437.3927499999991</c:v>
                </c:pt>
                <c:pt idx="1254">
                  <c:v>2416.8927499999991</c:v>
                </c:pt>
                <c:pt idx="1255">
                  <c:v>2453.992749999999</c:v>
                </c:pt>
                <c:pt idx="1256">
                  <c:v>2486.1927499999988</c:v>
                </c:pt>
                <c:pt idx="1257">
                  <c:v>2519.6327499999989</c:v>
                </c:pt>
                <c:pt idx="1258">
                  <c:v>2565.7827499999989</c:v>
                </c:pt>
                <c:pt idx="1259">
                  <c:v>2535.7827499999989</c:v>
                </c:pt>
                <c:pt idx="1260">
                  <c:v>2517.7827499999989</c:v>
                </c:pt>
                <c:pt idx="1261">
                  <c:v>2561.1327499999989</c:v>
                </c:pt>
                <c:pt idx="1262">
                  <c:v>2497.1327499999989</c:v>
                </c:pt>
                <c:pt idx="1263">
                  <c:v>2529.5327499999989</c:v>
                </c:pt>
                <c:pt idx="1264">
                  <c:v>2562.0927499999989</c:v>
                </c:pt>
                <c:pt idx="1265">
                  <c:v>2529.0927499999989</c:v>
                </c:pt>
                <c:pt idx="1266">
                  <c:v>2488.0927499999989</c:v>
                </c:pt>
                <c:pt idx="1267">
                  <c:v>2560.0327499999989</c:v>
                </c:pt>
                <c:pt idx="1268">
                  <c:v>2595.222749999999</c:v>
                </c:pt>
                <c:pt idx="1269">
                  <c:v>2629.4227499999988</c:v>
                </c:pt>
                <c:pt idx="1270">
                  <c:v>2662.1027499999987</c:v>
                </c:pt>
                <c:pt idx="1271">
                  <c:v>2624.1027499999987</c:v>
                </c:pt>
                <c:pt idx="1272">
                  <c:v>2588.1027499999987</c:v>
                </c:pt>
                <c:pt idx="1273">
                  <c:v>2631.2227499999985</c:v>
                </c:pt>
                <c:pt idx="1274">
                  <c:v>2592.2227499999985</c:v>
                </c:pt>
                <c:pt idx="1275">
                  <c:v>2630.0627499999987</c:v>
                </c:pt>
                <c:pt idx="1276">
                  <c:v>2630.0627499999987</c:v>
                </c:pt>
                <c:pt idx="1277">
                  <c:v>2630.0627499999987</c:v>
                </c:pt>
                <c:pt idx="1278">
                  <c:v>2661.3427499999989</c:v>
                </c:pt>
                <c:pt idx="1279">
                  <c:v>2697.8227499999989</c:v>
                </c:pt>
                <c:pt idx="1280">
                  <c:v>2737.6027499999991</c:v>
                </c:pt>
                <c:pt idx="1281">
                  <c:v>2770.0027499999992</c:v>
                </c:pt>
                <c:pt idx="1282">
                  <c:v>2729.0027499999992</c:v>
                </c:pt>
                <c:pt idx="1283">
                  <c:v>2769.5027499999992</c:v>
                </c:pt>
                <c:pt idx="1284">
                  <c:v>2837.3327499999991</c:v>
                </c:pt>
                <c:pt idx="1285">
                  <c:v>2867.6927499999993</c:v>
                </c:pt>
                <c:pt idx="1286">
                  <c:v>2828.6927499999993</c:v>
                </c:pt>
                <c:pt idx="1287">
                  <c:v>2828.6927499999993</c:v>
                </c:pt>
                <c:pt idx="1288">
                  <c:v>2756.6927499999993</c:v>
                </c:pt>
                <c:pt idx="1289">
                  <c:v>2776.6727499999993</c:v>
                </c:pt>
                <c:pt idx="1290">
                  <c:v>2724.6727499999993</c:v>
                </c:pt>
                <c:pt idx="1291">
                  <c:v>2754.1927499999993</c:v>
                </c:pt>
                <c:pt idx="1292">
                  <c:v>2721.1927499999993</c:v>
                </c:pt>
                <c:pt idx="1293">
                  <c:v>2750.432749999999</c:v>
                </c:pt>
                <c:pt idx="1294">
                  <c:v>2711.432749999999</c:v>
                </c:pt>
                <c:pt idx="1295">
                  <c:v>2646.432749999999</c:v>
                </c:pt>
                <c:pt idx="1296">
                  <c:v>2688.2327499999992</c:v>
                </c:pt>
                <c:pt idx="1297">
                  <c:v>2724.1127499999993</c:v>
                </c:pt>
                <c:pt idx="1298">
                  <c:v>2660.1127499999993</c:v>
                </c:pt>
                <c:pt idx="1299">
                  <c:v>2705.8727499999995</c:v>
                </c:pt>
                <c:pt idx="1300">
                  <c:v>2737.2227499999995</c:v>
                </c:pt>
                <c:pt idx="1301">
                  <c:v>2799.2227499999995</c:v>
                </c:pt>
                <c:pt idx="1302">
                  <c:v>2765.2227499999995</c:v>
                </c:pt>
                <c:pt idx="1303">
                  <c:v>2735.2227499999995</c:v>
                </c:pt>
                <c:pt idx="1304">
                  <c:v>2689.2227499999995</c:v>
                </c:pt>
                <c:pt idx="1305">
                  <c:v>2657.2227499999995</c:v>
                </c:pt>
                <c:pt idx="1306">
                  <c:v>2630.2227499999995</c:v>
                </c:pt>
                <c:pt idx="1307">
                  <c:v>2602.2227499999995</c:v>
                </c:pt>
                <c:pt idx="1308">
                  <c:v>2568.2227499999995</c:v>
                </c:pt>
                <c:pt idx="1309">
                  <c:v>2601.8227499999994</c:v>
                </c:pt>
                <c:pt idx="1310">
                  <c:v>2638.4827499999992</c:v>
                </c:pt>
                <c:pt idx="1311">
                  <c:v>2638.4827499999992</c:v>
                </c:pt>
                <c:pt idx="1312">
                  <c:v>2630.4827499999992</c:v>
                </c:pt>
                <c:pt idx="1313">
                  <c:v>2584.4827499999992</c:v>
                </c:pt>
                <c:pt idx="1314">
                  <c:v>2611.9227499999993</c:v>
                </c:pt>
                <c:pt idx="1315">
                  <c:v>2644.2227499999995</c:v>
                </c:pt>
                <c:pt idx="1316">
                  <c:v>2694.2177499999993</c:v>
                </c:pt>
                <c:pt idx="1317">
                  <c:v>2726.6177499999994</c:v>
                </c:pt>
                <c:pt idx="1318">
                  <c:v>2772.0577499999995</c:v>
                </c:pt>
                <c:pt idx="1319">
                  <c:v>2812.9777499999996</c:v>
                </c:pt>
                <c:pt idx="1320">
                  <c:v>2873.8777499999997</c:v>
                </c:pt>
                <c:pt idx="1321">
                  <c:v>2915.6077499999997</c:v>
                </c:pt>
                <c:pt idx="1322">
                  <c:v>2878.6077499999997</c:v>
                </c:pt>
                <c:pt idx="1323">
                  <c:v>2863.6077499999997</c:v>
                </c:pt>
                <c:pt idx="1324">
                  <c:v>2820.6077499999997</c:v>
                </c:pt>
                <c:pt idx="1325">
                  <c:v>2856.7977499999997</c:v>
                </c:pt>
                <c:pt idx="1326">
                  <c:v>2896.5777499999999</c:v>
                </c:pt>
                <c:pt idx="1327">
                  <c:v>2868.5777499999999</c:v>
                </c:pt>
                <c:pt idx="1328">
                  <c:v>2868.5777499999999</c:v>
                </c:pt>
                <c:pt idx="1329">
                  <c:v>2915.6177499999999</c:v>
                </c:pt>
                <c:pt idx="1330">
                  <c:v>2882.6177499999999</c:v>
                </c:pt>
                <c:pt idx="1331">
                  <c:v>2845.6177499999999</c:v>
                </c:pt>
                <c:pt idx="1332">
                  <c:v>2781.6177499999999</c:v>
                </c:pt>
                <c:pt idx="1333">
                  <c:v>2819.6877500000001</c:v>
                </c:pt>
                <c:pt idx="1334">
                  <c:v>2783.6877500000001</c:v>
                </c:pt>
                <c:pt idx="1335">
                  <c:v>2725.6877500000001</c:v>
                </c:pt>
                <c:pt idx="1336">
                  <c:v>2725.6877500000001</c:v>
                </c:pt>
                <c:pt idx="1337">
                  <c:v>2759.22775</c:v>
                </c:pt>
                <c:pt idx="1338">
                  <c:v>2721.22775</c:v>
                </c:pt>
                <c:pt idx="1339">
                  <c:v>2753.79475</c:v>
                </c:pt>
                <c:pt idx="1340">
                  <c:v>2698.79475</c:v>
                </c:pt>
                <c:pt idx="1341">
                  <c:v>2678.29475</c:v>
                </c:pt>
                <c:pt idx="1342">
                  <c:v>2740.3747499999999</c:v>
                </c:pt>
                <c:pt idx="1343">
                  <c:v>2676.3747499999999</c:v>
                </c:pt>
                <c:pt idx="1344">
                  <c:v>2615.3747499999999</c:v>
                </c:pt>
                <c:pt idx="1345">
                  <c:v>2554.3747499999999</c:v>
                </c:pt>
                <c:pt idx="1346">
                  <c:v>2586.8747499999999</c:v>
                </c:pt>
                <c:pt idx="1347">
                  <c:v>2628.27475</c:v>
                </c:pt>
                <c:pt idx="1348">
                  <c:v>2584.27475</c:v>
                </c:pt>
                <c:pt idx="1349">
                  <c:v>2623.2147500000001</c:v>
                </c:pt>
                <c:pt idx="1350">
                  <c:v>2572.2147500000001</c:v>
                </c:pt>
                <c:pt idx="1351">
                  <c:v>2534.2147500000001</c:v>
                </c:pt>
                <c:pt idx="1352">
                  <c:v>2496.2147500000001</c:v>
                </c:pt>
                <c:pt idx="1353">
                  <c:v>2432.2147500000001</c:v>
                </c:pt>
                <c:pt idx="1354">
                  <c:v>2480.54675</c:v>
                </c:pt>
                <c:pt idx="1355">
                  <c:v>2547.77675</c:v>
                </c:pt>
                <c:pt idx="1356">
                  <c:v>2486.77675</c:v>
                </c:pt>
                <c:pt idx="1357">
                  <c:v>2419.77675</c:v>
                </c:pt>
                <c:pt idx="1358">
                  <c:v>2454.4267500000001</c:v>
                </c:pt>
                <c:pt idx="1359">
                  <c:v>2502.3967499999999</c:v>
                </c:pt>
                <c:pt idx="1360">
                  <c:v>2549.75675</c:v>
                </c:pt>
                <c:pt idx="1361">
                  <c:v>2581.9167499999999</c:v>
                </c:pt>
                <c:pt idx="1362">
                  <c:v>2623.0767499999997</c:v>
                </c:pt>
                <c:pt idx="1363">
                  <c:v>2577.0767499999997</c:v>
                </c:pt>
                <c:pt idx="1364">
                  <c:v>2611.4767499999998</c:v>
                </c:pt>
                <c:pt idx="1365">
                  <c:v>2652.8767499999999</c:v>
                </c:pt>
                <c:pt idx="1366">
                  <c:v>2599.8767499999999</c:v>
                </c:pt>
                <c:pt idx="1367">
                  <c:v>2640.1967500000001</c:v>
                </c:pt>
                <c:pt idx="1368">
                  <c:v>2600.1967500000001</c:v>
                </c:pt>
                <c:pt idx="1369">
                  <c:v>2545.1967500000001</c:v>
                </c:pt>
                <c:pt idx="1370">
                  <c:v>2545.1967500000001</c:v>
                </c:pt>
                <c:pt idx="1371">
                  <c:v>2579.5967500000002</c:v>
                </c:pt>
                <c:pt idx="1372">
                  <c:v>2625.3867500000001</c:v>
                </c:pt>
                <c:pt idx="1373">
                  <c:v>2610.3867500000001</c:v>
                </c:pt>
                <c:pt idx="1374">
                  <c:v>2593.3867500000001</c:v>
                </c:pt>
                <c:pt idx="1375">
                  <c:v>2625.06675</c:v>
                </c:pt>
                <c:pt idx="1376">
                  <c:v>2562.06675</c:v>
                </c:pt>
                <c:pt idx="1377">
                  <c:v>2498.06675</c:v>
                </c:pt>
                <c:pt idx="1378">
                  <c:v>2453.06675</c:v>
                </c:pt>
                <c:pt idx="1379">
                  <c:v>2490.8067499999997</c:v>
                </c:pt>
                <c:pt idx="1380">
                  <c:v>2523.8667499999997</c:v>
                </c:pt>
                <c:pt idx="1381">
                  <c:v>2583.3867499999997</c:v>
                </c:pt>
                <c:pt idx="1382">
                  <c:v>2551.3867499999997</c:v>
                </c:pt>
                <c:pt idx="1383">
                  <c:v>2522.3867499999997</c:v>
                </c:pt>
                <c:pt idx="1384">
                  <c:v>2572.3817499999996</c:v>
                </c:pt>
                <c:pt idx="1385">
                  <c:v>2520.3817499999996</c:v>
                </c:pt>
                <c:pt idx="1386">
                  <c:v>2490.3817499999996</c:v>
                </c:pt>
                <c:pt idx="1387">
                  <c:v>2532.5017499999994</c:v>
                </c:pt>
                <c:pt idx="1388">
                  <c:v>2532.5017499999994</c:v>
                </c:pt>
                <c:pt idx="1389">
                  <c:v>2590.8017499999996</c:v>
                </c:pt>
                <c:pt idx="1390">
                  <c:v>2553.8017499999996</c:v>
                </c:pt>
                <c:pt idx="1391">
                  <c:v>2534.8017499999996</c:v>
                </c:pt>
                <c:pt idx="1392">
                  <c:v>2470.8017499999996</c:v>
                </c:pt>
                <c:pt idx="1393">
                  <c:v>2415.8017499999996</c:v>
                </c:pt>
                <c:pt idx="1394">
                  <c:v>2465.3227499999998</c:v>
                </c:pt>
                <c:pt idx="1395">
                  <c:v>2414.3227499999998</c:v>
                </c:pt>
                <c:pt idx="1396">
                  <c:v>2375.3227499999998</c:v>
                </c:pt>
                <c:pt idx="1397">
                  <c:v>2426.5227499999996</c:v>
                </c:pt>
                <c:pt idx="1398">
                  <c:v>2366.5227499999996</c:v>
                </c:pt>
                <c:pt idx="1399">
                  <c:v>2339.0227499999996</c:v>
                </c:pt>
                <c:pt idx="1400">
                  <c:v>2295.0227499999996</c:v>
                </c:pt>
                <c:pt idx="1401">
                  <c:v>2226.0227499999996</c:v>
                </c:pt>
                <c:pt idx="1402">
                  <c:v>2265.7827499999994</c:v>
                </c:pt>
                <c:pt idx="1403">
                  <c:v>2315.4627499999992</c:v>
                </c:pt>
                <c:pt idx="1404">
                  <c:v>2290.4627499999992</c:v>
                </c:pt>
                <c:pt idx="1405">
                  <c:v>2252.4627499999992</c:v>
                </c:pt>
                <c:pt idx="1406">
                  <c:v>2188.4627499999992</c:v>
                </c:pt>
                <c:pt idx="1407">
                  <c:v>2188.4627499999992</c:v>
                </c:pt>
                <c:pt idx="1408">
                  <c:v>2161.4627499999992</c:v>
                </c:pt>
                <c:pt idx="1409">
                  <c:v>2196.4227499999993</c:v>
                </c:pt>
                <c:pt idx="1410">
                  <c:v>2158.4227499999993</c:v>
                </c:pt>
                <c:pt idx="1411">
                  <c:v>2117.4227499999993</c:v>
                </c:pt>
                <c:pt idx="1412">
                  <c:v>2087.9227499999993</c:v>
                </c:pt>
                <c:pt idx="1413">
                  <c:v>2041.9227499999993</c:v>
                </c:pt>
                <c:pt idx="1414">
                  <c:v>2041.9227499999993</c:v>
                </c:pt>
                <c:pt idx="1415">
                  <c:v>2085.6627499999995</c:v>
                </c:pt>
                <c:pt idx="1416">
                  <c:v>2142.6027499999996</c:v>
                </c:pt>
                <c:pt idx="1417">
                  <c:v>2094.6027499999996</c:v>
                </c:pt>
                <c:pt idx="1418">
                  <c:v>2094.6027499999996</c:v>
                </c:pt>
                <c:pt idx="1419">
                  <c:v>2094.6027499999996</c:v>
                </c:pt>
                <c:pt idx="1420">
                  <c:v>2049.6027499999996</c:v>
                </c:pt>
                <c:pt idx="1421">
                  <c:v>2098.0527499999994</c:v>
                </c:pt>
                <c:pt idx="1422">
                  <c:v>2011.0527499999994</c:v>
                </c:pt>
                <c:pt idx="1423">
                  <c:v>2036.6527499999993</c:v>
                </c:pt>
                <c:pt idx="1424">
                  <c:v>2071.2127499999992</c:v>
                </c:pt>
                <c:pt idx="1425">
                  <c:v>2116.0127499999994</c:v>
                </c:pt>
                <c:pt idx="1426">
                  <c:v>2161.9127499999995</c:v>
                </c:pt>
                <c:pt idx="1427">
                  <c:v>2226.1727499999997</c:v>
                </c:pt>
                <c:pt idx="1428">
                  <c:v>2263.4127499999995</c:v>
                </c:pt>
                <c:pt idx="1429">
                  <c:v>2246.9127499999995</c:v>
                </c:pt>
                <c:pt idx="1430">
                  <c:v>2196.9127499999995</c:v>
                </c:pt>
                <c:pt idx="1431">
                  <c:v>2232.7927499999996</c:v>
                </c:pt>
                <c:pt idx="1432">
                  <c:v>2264.4727499999995</c:v>
                </c:pt>
                <c:pt idx="1433">
                  <c:v>2216.4727499999995</c:v>
                </c:pt>
                <c:pt idx="1434">
                  <c:v>2280.8727499999995</c:v>
                </c:pt>
                <c:pt idx="1435">
                  <c:v>2280.8727499999995</c:v>
                </c:pt>
                <c:pt idx="1436">
                  <c:v>2318.6727499999997</c:v>
                </c:pt>
                <c:pt idx="1437">
                  <c:v>2300.6727499999997</c:v>
                </c:pt>
                <c:pt idx="1438">
                  <c:v>2259.6727499999997</c:v>
                </c:pt>
                <c:pt idx="1439">
                  <c:v>2314.9227499999997</c:v>
                </c:pt>
                <c:pt idx="1440">
                  <c:v>2392.6227499999995</c:v>
                </c:pt>
                <c:pt idx="1441">
                  <c:v>2392.6227499999995</c:v>
                </c:pt>
                <c:pt idx="1442">
                  <c:v>2359.6227499999995</c:v>
                </c:pt>
                <c:pt idx="1443">
                  <c:v>2394.4227499999997</c:v>
                </c:pt>
                <c:pt idx="1444">
                  <c:v>2438.4227499999997</c:v>
                </c:pt>
                <c:pt idx="1445">
                  <c:v>2475.3827499999998</c:v>
                </c:pt>
                <c:pt idx="1446">
                  <c:v>2510.3627499999998</c:v>
                </c:pt>
                <c:pt idx="1447">
                  <c:v>2459.3627499999998</c:v>
                </c:pt>
                <c:pt idx="1448">
                  <c:v>2412.3627499999998</c:v>
                </c:pt>
                <c:pt idx="1449">
                  <c:v>2412.3627499999998</c:v>
                </c:pt>
                <c:pt idx="1450">
                  <c:v>2442.7427499999999</c:v>
                </c:pt>
                <c:pt idx="1451">
                  <c:v>2404.7427499999999</c:v>
                </c:pt>
                <c:pt idx="1452">
                  <c:v>2467.9227499999997</c:v>
                </c:pt>
                <c:pt idx="1453">
                  <c:v>2507.0827499999996</c:v>
                </c:pt>
                <c:pt idx="1454">
                  <c:v>2548.4827499999997</c:v>
                </c:pt>
                <c:pt idx="1455">
                  <c:v>2590.8227499999998</c:v>
                </c:pt>
                <c:pt idx="1456">
                  <c:v>2638.4227499999997</c:v>
                </c:pt>
                <c:pt idx="1457">
                  <c:v>2684.3227499999998</c:v>
                </c:pt>
                <c:pt idx="1458">
                  <c:v>2627.3227499999998</c:v>
                </c:pt>
                <c:pt idx="1459">
                  <c:v>2580.3227499999998</c:v>
                </c:pt>
                <c:pt idx="1460">
                  <c:v>2550.3227499999998</c:v>
                </c:pt>
                <c:pt idx="1461">
                  <c:v>2530.3227499999998</c:v>
                </c:pt>
                <c:pt idx="1462">
                  <c:v>2530.3227499999998</c:v>
                </c:pt>
                <c:pt idx="1463">
                  <c:v>2434.3227499999998</c:v>
                </c:pt>
                <c:pt idx="1464">
                  <c:v>2377.3227499999998</c:v>
                </c:pt>
                <c:pt idx="1465">
                  <c:v>2418.7327499999997</c:v>
                </c:pt>
                <c:pt idx="1466">
                  <c:v>2498.5327499999999</c:v>
                </c:pt>
                <c:pt idx="1467">
                  <c:v>2443.5327499999999</c:v>
                </c:pt>
                <c:pt idx="1468">
                  <c:v>2483.4927499999999</c:v>
                </c:pt>
                <c:pt idx="1469">
                  <c:v>2541.0927499999998</c:v>
                </c:pt>
                <c:pt idx="1470">
                  <c:v>2586.9727499999999</c:v>
                </c:pt>
                <c:pt idx="1471">
                  <c:v>2630.0927499999998</c:v>
                </c:pt>
                <c:pt idx="1472">
                  <c:v>2671.4927499999999</c:v>
                </c:pt>
                <c:pt idx="1473">
                  <c:v>2706.5927499999998</c:v>
                </c:pt>
                <c:pt idx="1474">
                  <c:v>2752.7927499999996</c:v>
                </c:pt>
                <c:pt idx="1475">
                  <c:v>2720.7927499999996</c:v>
                </c:pt>
                <c:pt idx="1476">
                  <c:v>2756.1327499999998</c:v>
                </c:pt>
                <c:pt idx="1477">
                  <c:v>2796.4327499999999</c:v>
                </c:pt>
                <c:pt idx="1478">
                  <c:v>2740.4327499999999</c:v>
                </c:pt>
                <c:pt idx="1479">
                  <c:v>2688.4327499999999</c:v>
                </c:pt>
                <c:pt idx="1480">
                  <c:v>2655.4327499999999</c:v>
                </c:pt>
                <c:pt idx="1481">
                  <c:v>2693.6527499999997</c:v>
                </c:pt>
                <c:pt idx="1482">
                  <c:v>2652.6527499999997</c:v>
                </c:pt>
                <c:pt idx="1483">
                  <c:v>2601.6527499999997</c:v>
                </c:pt>
                <c:pt idx="1484">
                  <c:v>2573.6527499999997</c:v>
                </c:pt>
                <c:pt idx="1485">
                  <c:v>2611.0927499999998</c:v>
                </c:pt>
                <c:pt idx="1486">
                  <c:v>2549.0927499999998</c:v>
                </c:pt>
                <c:pt idx="1487">
                  <c:v>2602.85275</c:v>
                </c:pt>
                <c:pt idx="1488">
                  <c:v>2641.2727500000001</c:v>
                </c:pt>
                <c:pt idx="1489">
                  <c:v>2600.2727500000001</c:v>
                </c:pt>
                <c:pt idx="1490">
                  <c:v>2562.2727500000001</c:v>
                </c:pt>
                <c:pt idx="1491">
                  <c:v>2506.2727500000001</c:v>
                </c:pt>
                <c:pt idx="1492">
                  <c:v>2541.9227500000002</c:v>
                </c:pt>
                <c:pt idx="1493">
                  <c:v>2576.9027500000002</c:v>
                </c:pt>
                <c:pt idx="1494">
                  <c:v>2512.9027500000002</c:v>
                </c:pt>
                <c:pt idx="1495">
                  <c:v>2559.9027500000002</c:v>
                </c:pt>
                <c:pt idx="1496">
                  <c:v>2495.9027500000002</c:v>
                </c:pt>
                <c:pt idx="1497">
                  <c:v>2495.9027500000002</c:v>
                </c:pt>
                <c:pt idx="1498">
                  <c:v>2426.9027500000002</c:v>
                </c:pt>
                <c:pt idx="1499">
                  <c:v>2454.2777500000002</c:v>
                </c:pt>
                <c:pt idx="1500">
                  <c:v>2403.2777500000002</c:v>
                </c:pt>
                <c:pt idx="1501">
                  <c:v>2403.2777500000002</c:v>
                </c:pt>
                <c:pt idx="1502">
                  <c:v>2329.2777500000002</c:v>
                </c:pt>
                <c:pt idx="1503">
                  <c:v>2378.7777500000002</c:v>
                </c:pt>
                <c:pt idx="1504">
                  <c:v>2415.7377500000002</c:v>
                </c:pt>
                <c:pt idx="1505">
                  <c:v>2453.1777500000003</c:v>
                </c:pt>
                <c:pt idx="1506">
                  <c:v>2484.1177500000003</c:v>
                </c:pt>
                <c:pt idx="1507">
                  <c:v>2587.7177500000003</c:v>
                </c:pt>
                <c:pt idx="1508">
                  <c:v>2542.7177500000003</c:v>
                </c:pt>
                <c:pt idx="1509">
                  <c:v>2598.22775</c:v>
                </c:pt>
                <c:pt idx="1510">
                  <c:v>2548.22775</c:v>
                </c:pt>
                <c:pt idx="1511">
                  <c:v>2500.22775</c:v>
                </c:pt>
                <c:pt idx="1512">
                  <c:v>2413.22775</c:v>
                </c:pt>
                <c:pt idx="1513">
                  <c:v>2439.4177500000001</c:v>
                </c:pt>
                <c:pt idx="1514">
                  <c:v>2402.4177500000001</c:v>
                </c:pt>
                <c:pt idx="1515">
                  <c:v>2446.6377499999999</c:v>
                </c:pt>
                <c:pt idx="1516">
                  <c:v>2396.6377499999999</c:v>
                </c:pt>
                <c:pt idx="1517">
                  <c:v>2369.6377499999999</c:v>
                </c:pt>
                <c:pt idx="1518">
                  <c:v>2416.78775</c:v>
                </c:pt>
                <c:pt idx="1519">
                  <c:v>2388.78775</c:v>
                </c:pt>
                <c:pt idx="1520">
                  <c:v>2413.7777499999997</c:v>
                </c:pt>
                <c:pt idx="1521">
                  <c:v>2339.7777499999997</c:v>
                </c:pt>
                <c:pt idx="1522">
                  <c:v>2315.7777499999997</c:v>
                </c:pt>
                <c:pt idx="1523">
                  <c:v>2369.3577499999997</c:v>
                </c:pt>
                <c:pt idx="1524">
                  <c:v>2318.3577499999997</c:v>
                </c:pt>
                <c:pt idx="1525">
                  <c:v>2318.3577499999997</c:v>
                </c:pt>
                <c:pt idx="1526">
                  <c:v>2366.1477499999996</c:v>
                </c:pt>
                <c:pt idx="1527">
                  <c:v>2411.2277499999996</c:v>
                </c:pt>
                <c:pt idx="1528">
                  <c:v>2411.2277499999996</c:v>
                </c:pt>
                <c:pt idx="1529">
                  <c:v>2372.2277499999996</c:v>
                </c:pt>
                <c:pt idx="1530">
                  <c:v>2409.6677499999996</c:v>
                </c:pt>
                <c:pt idx="1531">
                  <c:v>2484.8677499999994</c:v>
                </c:pt>
                <c:pt idx="1532">
                  <c:v>2464.8677499999994</c:v>
                </c:pt>
                <c:pt idx="1533">
                  <c:v>2376.8677499999994</c:v>
                </c:pt>
                <c:pt idx="1534">
                  <c:v>2347.8677499999994</c:v>
                </c:pt>
                <c:pt idx="1535">
                  <c:v>2396.0077499999993</c:v>
                </c:pt>
                <c:pt idx="1536">
                  <c:v>2360.0077499999993</c:v>
                </c:pt>
                <c:pt idx="1537">
                  <c:v>2313.0077499999993</c:v>
                </c:pt>
                <c:pt idx="1538">
                  <c:v>2367.9077499999994</c:v>
                </c:pt>
                <c:pt idx="1539">
                  <c:v>2431.3477499999995</c:v>
                </c:pt>
                <c:pt idx="1540">
                  <c:v>2466.8377499999992</c:v>
                </c:pt>
                <c:pt idx="1541">
                  <c:v>2402.8377499999992</c:v>
                </c:pt>
                <c:pt idx="1542">
                  <c:v>2363.8377499999992</c:v>
                </c:pt>
                <c:pt idx="1543">
                  <c:v>2407.1877499999991</c:v>
                </c:pt>
                <c:pt idx="1544">
                  <c:v>2449.077749999999</c:v>
                </c:pt>
                <c:pt idx="1545">
                  <c:v>2396.077749999999</c:v>
                </c:pt>
                <c:pt idx="1546">
                  <c:v>2434.1577499999989</c:v>
                </c:pt>
                <c:pt idx="1547">
                  <c:v>2377.1577499999989</c:v>
                </c:pt>
                <c:pt idx="1548">
                  <c:v>2328.1577499999989</c:v>
                </c:pt>
                <c:pt idx="1549">
                  <c:v>2248.1577499999989</c:v>
                </c:pt>
                <c:pt idx="1550">
                  <c:v>2227.6577499999989</c:v>
                </c:pt>
                <c:pt idx="1551">
                  <c:v>2264.057749999999</c:v>
                </c:pt>
                <c:pt idx="1552">
                  <c:v>2225.057749999999</c:v>
                </c:pt>
                <c:pt idx="1553">
                  <c:v>2179.057749999999</c:v>
                </c:pt>
                <c:pt idx="1554">
                  <c:v>2109.057749999999</c:v>
                </c:pt>
                <c:pt idx="1555">
                  <c:v>2067.057749999999</c:v>
                </c:pt>
                <c:pt idx="1556">
                  <c:v>2006.057749999999</c:v>
                </c:pt>
                <c:pt idx="1557">
                  <c:v>1974.057749999999</c:v>
                </c:pt>
                <c:pt idx="1558">
                  <c:v>1942.057749999999</c:v>
                </c:pt>
                <c:pt idx="1559">
                  <c:v>1903.057749999999</c:v>
                </c:pt>
                <c:pt idx="1560">
                  <c:v>1937.377749999999</c:v>
                </c:pt>
                <c:pt idx="1561">
                  <c:v>1891.377749999999</c:v>
                </c:pt>
                <c:pt idx="1562">
                  <c:v>1831.377749999999</c:v>
                </c:pt>
                <c:pt idx="1563">
                  <c:v>1855.7377499999989</c:v>
                </c:pt>
                <c:pt idx="1564">
                  <c:v>1827.7377499999989</c:v>
                </c:pt>
                <c:pt idx="1565">
                  <c:v>1772.7377499999989</c:v>
                </c:pt>
                <c:pt idx="1566">
                  <c:v>1792.4777499999989</c:v>
                </c:pt>
                <c:pt idx="1567">
                  <c:v>1754.4777499999989</c:v>
                </c:pt>
                <c:pt idx="1568">
                  <c:v>1690.4777499999989</c:v>
                </c:pt>
                <c:pt idx="1569">
                  <c:v>1723.2377499999989</c:v>
                </c:pt>
                <c:pt idx="1570">
                  <c:v>1652.2377499999989</c:v>
                </c:pt>
                <c:pt idx="1571">
                  <c:v>1652.2377499999989</c:v>
                </c:pt>
                <c:pt idx="1572">
                  <c:v>1685.7777499999988</c:v>
                </c:pt>
                <c:pt idx="1573">
                  <c:v>1649.7777499999988</c:v>
                </c:pt>
                <c:pt idx="1574">
                  <c:v>1624.7777499999988</c:v>
                </c:pt>
                <c:pt idx="1575">
                  <c:v>1677.5577499999988</c:v>
                </c:pt>
                <c:pt idx="1576">
                  <c:v>1638.5577499999988</c:v>
                </c:pt>
                <c:pt idx="1577">
                  <c:v>1567.5577499999988</c:v>
                </c:pt>
                <c:pt idx="1578">
                  <c:v>1605.3977499999987</c:v>
                </c:pt>
                <c:pt idx="1579">
                  <c:v>1651.2977499999988</c:v>
                </c:pt>
                <c:pt idx="1580">
                  <c:v>1618.2977499999988</c:v>
                </c:pt>
                <c:pt idx="1581">
                  <c:v>1664.4977499999989</c:v>
                </c:pt>
                <c:pt idx="1582">
                  <c:v>1687.2977499999988</c:v>
                </c:pt>
                <c:pt idx="1583">
                  <c:v>1720.2977499999988</c:v>
                </c:pt>
                <c:pt idx="1584">
                  <c:v>1757.9177499999987</c:v>
                </c:pt>
                <c:pt idx="1585">
                  <c:v>1794.4077499999987</c:v>
                </c:pt>
                <c:pt idx="1586">
                  <c:v>1837.4077499999987</c:v>
                </c:pt>
                <c:pt idx="1587">
                  <c:v>1878.4477499999987</c:v>
                </c:pt>
                <c:pt idx="1588">
                  <c:v>1916.2877499999986</c:v>
                </c:pt>
                <c:pt idx="1589">
                  <c:v>1866.2877499999986</c:v>
                </c:pt>
                <c:pt idx="1590">
                  <c:v>1930.3077499999986</c:v>
                </c:pt>
                <c:pt idx="1591">
                  <c:v>1891.3077499999986</c:v>
                </c:pt>
                <c:pt idx="1592">
                  <c:v>1859.3077499999986</c:v>
                </c:pt>
                <c:pt idx="1593">
                  <c:v>1888.7577499999986</c:v>
                </c:pt>
                <c:pt idx="1594">
                  <c:v>1951.6457499999985</c:v>
                </c:pt>
                <c:pt idx="1595">
                  <c:v>1936.6457499999985</c:v>
                </c:pt>
                <c:pt idx="1596">
                  <c:v>1905.6457499999985</c:v>
                </c:pt>
                <c:pt idx="1597">
                  <c:v>1940.4757499999985</c:v>
                </c:pt>
                <c:pt idx="1598">
                  <c:v>1970.9257499999985</c:v>
                </c:pt>
                <c:pt idx="1599">
                  <c:v>2002.5157499999984</c:v>
                </c:pt>
                <c:pt idx="1600">
                  <c:v>1963.5157499999984</c:v>
                </c:pt>
                <c:pt idx="1601">
                  <c:v>1999.7757499999984</c:v>
                </c:pt>
                <c:pt idx="1602">
                  <c:v>1972.7757499999984</c:v>
                </c:pt>
                <c:pt idx="1603">
                  <c:v>2029.4757499999985</c:v>
                </c:pt>
                <c:pt idx="1604">
                  <c:v>2061.2957499999984</c:v>
                </c:pt>
                <c:pt idx="1605">
                  <c:v>2085.0457499999984</c:v>
                </c:pt>
                <c:pt idx="1606">
                  <c:v>2050.0457499999984</c:v>
                </c:pt>
                <c:pt idx="1607">
                  <c:v>2081.7257499999982</c:v>
                </c:pt>
                <c:pt idx="1608">
                  <c:v>2016.7257499999982</c:v>
                </c:pt>
                <c:pt idx="1609">
                  <c:v>1942.7257499999982</c:v>
                </c:pt>
                <c:pt idx="1610">
                  <c:v>1998.4057499999983</c:v>
                </c:pt>
                <c:pt idx="1611">
                  <c:v>2055.4057499999981</c:v>
                </c:pt>
                <c:pt idx="1612">
                  <c:v>2055.4057499999981</c:v>
                </c:pt>
                <c:pt idx="1613">
                  <c:v>2055.4057499999981</c:v>
                </c:pt>
                <c:pt idx="1614">
                  <c:v>2055.4057499999981</c:v>
                </c:pt>
                <c:pt idx="1615">
                  <c:v>2055.4057499999981</c:v>
                </c:pt>
                <c:pt idx="1616">
                  <c:v>2055.4057499999981</c:v>
                </c:pt>
                <c:pt idx="1617">
                  <c:v>2055.4057499999981</c:v>
                </c:pt>
                <c:pt idx="1618">
                  <c:v>2055.4057499999981</c:v>
                </c:pt>
                <c:pt idx="1619">
                  <c:v>2055.4057499999981</c:v>
                </c:pt>
                <c:pt idx="1620">
                  <c:v>2055.4057499999981</c:v>
                </c:pt>
                <c:pt idx="1621">
                  <c:v>2055.4057499999981</c:v>
                </c:pt>
                <c:pt idx="1622">
                  <c:v>2055.4057499999981</c:v>
                </c:pt>
                <c:pt idx="1623">
                  <c:v>2055.4057499999981</c:v>
                </c:pt>
                <c:pt idx="1624">
                  <c:v>2055.4057499999981</c:v>
                </c:pt>
                <c:pt idx="1625">
                  <c:v>2055.4057499999981</c:v>
                </c:pt>
                <c:pt idx="1626">
                  <c:v>2055.4057499999981</c:v>
                </c:pt>
                <c:pt idx="1627">
                  <c:v>2055.4057499999981</c:v>
                </c:pt>
                <c:pt idx="1628">
                  <c:v>2055.4057499999981</c:v>
                </c:pt>
                <c:pt idx="1629">
                  <c:v>2055.4057499999981</c:v>
                </c:pt>
                <c:pt idx="1630">
                  <c:v>2055.4057499999981</c:v>
                </c:pt>
                <c:pt idx="1631">
                  <c:v>2055.4057499999981</c:v>
                </c:pt>
                <c:pt idx="1632">
                  <c:v>2055.4057499999981</c:v>
                </c:pt>
                <c:pt idx="1633">
                  <c:v>2055.4057499999981</c:v>
                </c:pt>
                <c:pt idx="1634">
                  <c:v>2055.4057499999981</c:v>
                </c:pt>
                <c:pt idx="1635">
                  <c:v>2055.4057499999981</c:v>
                </c:pt>
                <c:pt idx="1636">
                  <c:v>2055.4057499999981</c:v>
                </c:pt>
                <c:pt idx="1637">
                  <c:v>2055.4057499999981</c:v>
                </c:pt>
                <c:pt idx="1638">
                  <c:v>2055.4057499999981</c:v>
                </c:pt>
                <c:pt idx="1639">
                  <c:v>2055.4057499999981</c:v>
                </c:pt>
                <c:pt idx="1640">
                  <c:v>2055.4057499999981</c:v>
                </c:pt>
                <c:pt idx="1641">
                  <c:v>2055.4057499999981</c:v>
                </c:pt>
                <c:pt idx="1642">
                  <c:v>2055.4057499999981</c:v>
                </c:pt>
                <c:pt idx="1643">
                  <c:v>2055.4057499999981</c:v>
                </c:pt>
              </c:numCache>
            </c:numRef>
          </c:val>
          <c:smooth val="0"/>
          <c:extLst xmlns:c16r2="http://schemas.microsoft.com/office/drawing/2015/06/chart">
            <c:ext xmlns:c16="http://schemas.microsoft.com/office/drawing/2014/chart" uri="{C3380CC4-5D6E-409C-BE32-E72D297353CC}">
              <c16:uniqueId val="{00000000-E32A-4AD3-A067-7500C39B1091}"/>
            </c:ext>
          </c:extLst>
        </c:ser>
        <c:dLbls>
          <c:showLegendKey val="0"/>
          <c:showVal val="0"/>
          <c:showCatName val="0"/>
          <c:showSerName val="0"/>
          <c:showPercent val="0"/>
          <c:showBubbleSize val="0"/>
        </c:dLbls>
        <c:marker val="1"/>
        <c:smooth val="0"/>
        <c:axId val="190487168"/>
        <c:axId val="190488960"/>
        <c:extLst xmlns:c16r2="http://schemas.microsoft.com/office/drawing/2015/06/chart">
          <c:ext xmlns:c15="http://schemas.microsoft.com/office/drawing/2012/chart" uri="{02D57815-91ED-43cb-92C2-25804820EDAC}">
            <c15:filteredLineSeries>
              <c15:ser>
                <c:idx val="1"/>
                <c:order val="1"/>
                <c:tx>
                  <c:v>LayBets</c:v>
                </c:tx>
                <c:marker>
                  <c:symbol val="none"/>
                </c:marker>
                <c:val>
                  <c:numRef>
                    <c:extLst>
                      <c:ext uri="{02D57815-91ED-43cb-92C2-25804820EDAC}">
                        <c15:formulaRef>
                          <c15:sqref>LogLayBets!$AB$1:$AB$500</c15:sqref>
                        </c15:formulaRef>
                      </c:ext>
                    </c:extLst>
                    <c:numCache>
                      <c:formatCode>0.00</c:formatCode>
                      <c:ptCount val="500"/>
                      <c:pt idx="0" formatCode="General">
                        <c:v>0</c:v>
                      </c:pt>
                      <c:pt idx="1">
                        <c:v>0</c:v>
                      </c:pt>
                      <c:pt idx="2">
                        <c:v>0</c:v>
                      </c:pt>
                      <c:pt idx="3">
                        <c:v>0</c:v>
                      </c:pt>
                      <c:pt idx="4">
                        <c:v>0</c:v>
                      </c:pt>
                    </c:numCache>
                  </c:numRef>
                </c:val>
                <c:smooth val="0"/>
                <c:extLst>
                  <c:ext xmlns:c16="http://schemas.microsoft.com/office/drawing/2014/chart" uri="{C3380CC4-5D6E-409C-BE32-E72D297353CC}">
                    <c16:uniqueId val="{00000001-E32A-4AD3-A067-7500C39B1091}"/>
                  </c:ext>
                </c:extLst>
              </c15:ser>
            </c15:filteredLineSeries>
          </c:ext>
        </c:extLst>
      </c:lineChart>
      <c:catAx>
        <c:axId val="190487168"/>
        <c:scaling>
          <c:orientation val="minMax"/>
        </c:scaling>
        <c:delete val="1"/>
        <c:axPos val="b"/>
        <c:majorTickMark val="none"/>
        <c:minorTickMark val="none"/>
        <c:tickLblPos val="none"/>
        <c:crossAx val="190488960"/>
        <c:crossesAt val="0"/>
        <c:auto val="1"/>
        <c:lblAlgn val="ctr"/>
        <c:lblOffset val="100"/>
        <c:noMultiLvlLbl val="0"/>
      </c:catAx>
      <c:valAx>
        <c:axId val="190488960"/>
        <c:scaling>
          <c:orientation val="minMax"/>
        </c:scaling>
        <c:delete val="0"/>
        <c:axPos val="l"/>
        <c:majorGridlines/>
        <c:numFmt formatCode="0" sourceLinked="0"/>
        <c:majorTickMark val="none"/>
        <c:minorTickMark val="none"/>
        <c:tickLblPos val="nextTo"/>
        <c:txPr>
          <a:bodyPr/>
          <a:lstStyle/>
          <a:p>
            <a:pPr>
              <a:defRPr lang="en-US"/>
            </a:pPr>
            <a:endParaRPr lang="sr-Latn-RS"/>
          </a:p>
        </c:txPr>
        <c:crossAx val="190487168"/>
        <c:crosses val="autoZero"/>
        <c:crossBetween val="midCat"/>
      </c:valAx>
    </c:plotArea>
    <c:plotVisOnly val="0"/>
    <c:dispBlanksAs val="gap"/>
    <c:showDLblsOverMax val="0"/>
  </c:chart>
  <c:printSettings>
    <c:headerFooter/>
    <c:pageMargins b="0.75000000000000855" l="0.70000000000000062" r="0.70000000000000062" t="0.75000000000000855" header="0.30000000000000032" footer="0.30000000000000032"/>
    <c:pageSetup/>
  </c:printSettings>
  <c:userShapes r:id="rId1"/>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34</xdr:col>
      <xdr:colOff>571500</xdr:colOff>
      <xdr:row>0</xdr:row>
      <xdr:rowOff>19050</xdr:rowOff>
    </xdr:from>
    <xdr:to>
      <xdr:col>38</xdr:col>
      <xdr:colOff>133350</xdr:colOff>
      <xdr:row>6</xdr:row>
      <xdr:rowOff>19050</xdr:rowOff>
    </xdr:to>
    <xdr:sp macro="" textlink="">
      <xdr:nvSpPr>
        <xdr:cNvPr id="17420" name="Text Box 12" hidden="1">
          <a:extLst>
            <a:ext uri="{FF2B5EF4-FFF2-40B4-BE49-F238E27FC236}">
              <a16:creationId xmlns="" xmlns:a16="http://schemas.microsoft.com/office/drawing/2014/main" id="{6B380CAA-A3C6-47F5-8E8B-9DCFEE442028}"/>
            </a:ext>
          </a:extLst>
        </xdr:cNvPr>
        <xdr:cNvSpPr txBox="1">
          <a:spLocks noChangeArrowheads="1"/>
        </xdr:cNvSpPr>
      </xdr:nvSpPr>
      <xdr:spPr bwMode="auto">
        <a:xfrm>
          <a:off x="10915650" y="19050"/>
          <a:ext cx="3429000" cy="8572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495300</xdr:colOff>
      <xdr:row>2</xdr:row>
      <xdr:rowOff>19050</xdr:rowOff>
    </xdr:from>
    <xdr:to>
      <xdr:col>17</xdr:col>
      <xdr:colOff>361950</xdr:colOff>
      <xdr:row>25</xdr:row>
      <xdr:rowOff>152400</xdr:rowOff>
    </xdr:to>
    <xdr:graphicFrame macro="">
      <xdr:nvGraphicFramePr>
        <xdr:cNvPr id="6" name="Diagram 5">
          <a:extLst>
            <a:ext uri="{FF2B5EF4-FFF2-40B4-BE49-F238E27FC236}">
              <a16:creationId xmlns="" xmlns:a16="http://schemas.microsoft.com/office/drawing/2014/main" id="{00000000-0008-0000-05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0.09901</cdr:x>
      <cdr:y>0.01758</cdr:y>
    </cdr:from>
    <cdr:to>
      <cdr:x>0.31502</cdr:x>
      <cdr:y>0.12272</cdr:y>
    </cdr:to>
    <cdr:pic>
      <cdr:nvPicPr>
        <cdr:cNvPr id="2" name="Bildobjekt 3">
          <a:extLst xmlns:a="http://schemas.openxmlformats.org/drawingml/2006/main">
            <a:ext uri="{FF2B5EF4-FFF2-40B4-BE49-F238E27FC236}">
              <a16:creationId xmlns="" xmlns:a16="http://schemas.microsoft.com/office/drawing/2014/main" id="{2507B35D-A605-4341-BB1C-B3D0E4C7FBB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012825" y="79375"/>
          <a:ext cx="2209800" cy="474698"/>
        </a:xfrm>
        <a:prstGeom xmlns:a="http://schemas.openxmlformats.org/drawingml/2006/main" prst="rect">
          <a:avLst/>
        </a:prstGeom>
      </cdr:spPr>
    </cdr:pic>
  </cdr:relSizeAnchor>
</c:userShapes>
</file>

<file path=xl/drawings/drawing4.xml><?xml version="1.0" encoding="utf-8"?>
<xdr:wsDr xmlns:xdr="http://schemas.openxmlformats.org/drawingml/2006/spreadsheetDrawing" xmlns:a="http://schemas.openxmlformats.org/drawingml/2006/main">
  <xdr:twoCellAnchor>
    <xdr:from>
      <xdr:col>1</xdr:col>
      <xdr:colOff>47625</xdr:colOff>
      <xdr:row>13</xdr:row>
      <xdr:rowOff>66675</xdr:rowOff>
    </xdr:from>
    <xdr:to>
      <xdr:col>1</xdr:col>
      <xdr:colOff>209550</xdr:colOff>
      <xdr:row>13</xdr:row>
      <xdr:rowOff>142875</xdr:rowOff>
    </xdr:to>
    <xdr:sp macro="" textlink="">
      <xdr:nvSpPr>
        <xdr:cNvPr id="3" name="Höger 2">
          <a:extLst>
            <a:ext uri="{FF2B5EF4-FFF2-40B4-BE49-F238E27FC236}">
              <a16:creationId xmlns="" xmlns:a16="http://schemas.microsoft.com/office/drawing/2014/main" id="{00000000-0008-0000-0700-000003000000}"/>
            </a:ext>
          </a:extLst>
        </xdr:cNvPr>
        <xdr:cNvSpPr/>
      </xdr:nvSpPr>
      <xdr:spPr>
        <a:xfrm>
          <a:off x="47625" y="2390775"/>
          <a:ext cx="161925" cy="76200"/>
        </a:xfrm>
        <a:prstGeom prst="rightArrow">
          <a:avLst/>
        </a:prstGeom>
        <a:solidFill>
          <a:srgbClr val="FF0000"/>
        </a:solidFill>
      </xdr:spPr>
      <xdr:style>
        <a:lnRef idx="1">
          <a:schemeClr val="accent2"/>
        </a:lnRef>
        <a:fillRef idx="3">
          <a:schemeClr val="accent2"/>
        </a:fillRef>
        <a:effectRef idx="2">
          <a:schemeClr val="accent2"/>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sv-SE" sz="1100"/>
        </a:p>
      </xdr:txBody>
    </xdr:sp>
    <xdr:clientData/>
  </xdr:twoCellAnchor>
  <xdr:twoCellAnchor>
    <xdr:from>
      <xdr:col>1</xdr:col>
      <xdr:colOff>57150</xdr:colOff>
      <xdr:row>18</xdr:row>
      <xdr:rowOff>57150</xdr:rowOff>
    </xdr:from>
    <xdr:to>
      <xdr:col>1</xdr:col>
      <xdr:colOff>219075</xdr:colOff>
      <xdr:row>18</xdr:row>
      <xdr:rowOff>133350</xdr:rowOff>
    </xdr:to>
    <xdr:sp macro="" textlink="">
      <xdr:nvSpPr>
        <xdr:cNvPr id="4" name="Höger 3">
          <a:extLst>
            <a:ext uri="{FF2B5EF4-FFF2-40B4-BE49-F238E27FC236}">
              <a16:creationId xmlns="" xmlns:a16="http://schemas.microsoft.com/office/drawing/2014/main" id="{00000000-0008-0000-0700-000004000000}"/>
            </a:ext>
          </a:extLst>
        </xdr:cNvPr>
        <xdr:cNvSpPr/>
      </xdr:nvSpPr>
      <xdr:spPr>
        <a:xfrm>
          <a:off x="57150" y="3333750"/>
          <a:ext cx="161925" cy="76200"/>
        </a:xfrm>
        <a:prstGeom prst="rightArrow">
          <a:avLst/>
        </a:prstGeom>
        <a:solidFill>
          <a:srgbClr val="FF0000"/>
        </a:solidFill>
      </xdr:spPr>
      <xdr:style>
        <a:lnRef idx="1">
          <a:schemeClr val="accent2"/>
        </a:lnRef>
        <a:fillRef idx="3">
          <a:schemeClr val="accent2"/>
        </a:fillRef>
        <a:effectRef idx="2">
          <a:schemeClr val="accent2"/>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sv-SE" sz="1100"/>
        </a:p>
      </xdr:txBody>
    </xdr:sp>
    <xdr:clientData/>
  </xdr:twoCellAnchor>
  <xdr:twoCellAnchor>
    <xdr:from>
      <xdr:col>1</xdr:col>
      <xdr:colOff>57150</xdr:colOff>
      <xdr:row>22</xdr:row>
      <xdr:rowOff>57150</xdr:rowOff>
    </xdr:from>
    <xdr:to>
      <xdr:col>1</xdr:col>
      <xdr:colOff>219075</xdr:colOff>
      <xdr:row>22</xdr:row>
      <xdr:rowOff>133350</xdr:rowOff>
    </xdr:to>
    <xdr:sp macro="" textlink="">
      <xdr:nvSpPr>
        <xdr:cNvPr id="5" name="Höger 4">
          <a:extLst>
            <a:ext uri="{FF2B5EF4-FFF2-40B4-BE49-F238E27FC236}">
              <a16:creationId xmlns="" xmlns:a16="http://schemas.microsoft.com/office/drawing/2014/main" id="{00000000-0008-0000-0700-000005000000}"/>
            </a:ext>
          </a:extLst>
        </xdr:cNvPr>
        <xdr:cNvSpPr/>
      </xdr:nvSpPr>
      <xdr:spPr>
        <a:xfrm>
          <a:off x="57150" y="3914775"/>
          <a:ext cx="161925" cy="76200"/>
        </a:xfrm>
        <a:prstGeom prst="rightArrow">
          <a:avLst/>
        </a:prstGeom>
        <a:solidFill>
          <a:srgbClr val="FF0000"/>
        </a:solidFill>
      </xdr:spPr>
      <xdr:style>
        <a:lnRef idx="1">
          <a:schemeClr val="accent2"/>
        </a:lnRef>
        <a:fillRef idx="3">
          <a:schemeClr val="accent2"/>
        </a:fillRef>
        <a:effectRef idx="2">
          <a:schemeClr val="accent2"/>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sv-SE" sz="1100"/>
        </a:p>
      </xdr:txBody>
    </xdr:sp>
    <xdr:clientData/>
  </xdr:twoCellAnchor>
  <xdr:twoCellAnchor>
    <xdr:from>
      <xdr:col>1</xdr:col>
      <xdr:colOff>95250</xdr:colOff>
      <xdr:row>73</xdr:row>
      <xdr:rowOff>66675</xdr:rowOff>
    </xdr:from>
    <xdr:to>
      <xdr:col>1</xdr:col>
      <xdr:colOff>257175</xdr:colOff>
      <xdr:row>73</xdr:row>
      <xdr:rowOff>142875</xdr:rowOff>
    </xdr:to>
    <xdr:sp macro="" textlink="">
      <xdr:nvSpPr>
        <xdr:cNvPr id="8" name="Höger 7">
          <a:extLst>
            <a:ext uri="{FF2B5EF4-FFF2-40B4-BE49-F238E27FC236}">
              <a16:creationId xmlns="" xmlns:a16="http://schemas.microsoft.com/office/drawing/2014/main" id="{00000000-0008-0000-0700-000008000000}"/>
            </a:ext>
          </a:extLst>
        </xdr:cNvPr>
        <xdr:cNvSpPr/>
      </xdr:nvSpPr>
      <xdr:spPr>
        <a:xfrm>
          <a:off x="95250" y="11439525"/>
          <a:ext cx="161925" cy="76200"/>
        </a:xfrm>
        <a:prstGeom prst="rightArrow">
          <a:avLst/>
        </a:prstGeom>
        <a:solidFill>
          <a:srgbClr val="FF0000"/>
        </a:solidFill>
      </xdr:spPr>
      <xdr:style>
        <a:lnRef idx="1">
          <a:schemeClr val="accent2"/>
        </a:lnRef>
        <a:fillRef idx="3">
          <a:schemeClr val="accent2"/>
        </a:fillRef>
        <a:effectRef idx="2">
          <a:schemeClr val="accent2"/>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sv-SE" sz="1100"/>
        </a:p>
      </xdr:txBody>
    </xdr:sp>
    <xdr:clientData/>
  </xdr:twoCellAnchor>
  <xdr:twoCellAnchor>
    <xdr:from>
      <xdr:col>1</xdr:col>
      <xdr:colOff>66675</xdr:colOff>
      <xdr:row>28</xdr:row>
      <xdr:rowOff>66675</xdr:rowOff>
    </xdr:from>
    <xdr:to>
      <xdr:col>1</xdr:col>
      <xdr:colOff>228600</xdr:colOff>
      <xdr:row>28</xdr:row>
      <xdr:rowOff>142875</xdr:rowOff>
    </xdr:to>
    <xdr:sp macro="" textlink="">
      <xdr:nvSpPr>
        <xdr:cNvPr id="10" name="Höger 9">
          <a:extLst>
            <a:ext uri="{FF2B5EF4-FFF2-40B4-BE49-F238E27FC236}">
              <a16:creationId xmlns="" xmlns:a16="http://schemas.microsoft.com/office/drawing/2014/main" id="{00000000-0008-0000-0700-00000A000000}"/>
            </a:ext>
          </a:extLst>
        </xdr:cNvPr>
        <xdr:cNvSpPr/>
      </xdr:nvSpPr>
      <xdr:spPr>
        <a:xfrm>
          <a:off x="66675" y="5067300"/>
          <a:ext cx="161925" cy="76200"/>
        </a:xfrm>
        <a:prstGeom prst="rightArrow">
          <a:avLst/>
        </a:prstGeom>
        <a:solidFill>
          <a:srgbClr val="FF0000"/>
        </a:solidFill>
      </xdr:spPr>
      <xdr:style>
        <a:lnRef idx="1">
          <a:schemeClr val="accent2"/>
        </a:lnRef>
        <a:fillRef idx="3">
          <a:schemeClr val="accent2"/>
        </a:fillRef>
        <a:effectRef idx="2">
          <a:schemeClr val="accent2"/>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sv-SE" sz="1100"/>
        </a:p>
      </xdr:txBody>
    </xdr:sp>
    <xdr:clientData/>
  </xdr:twoCellAnchor>
  <xdr:twoCellAnchor editAs="oneCell">
    <xdr:from>
      <xdr:col>1</xdr:col>
      <xdr:colOff>266699</xdr:colOff>
      <xdr:row>1</xdr:row>
      <xdr:rowOff>1</xdr:rowOff>
    </xdr:from>
    <xdr:to>
      <xdr:col>6</xdr:col>
      <xdr:colOff>1466850</xdr:colOff>
      <xdr:row>5</xdr:row>
      <xdr:rowOff>67869</xdr:rowOff>
    </xdr:to>
    <xdr:pic>
      <xdr:nvPicPr>
        <xdr:cNvPr id="6" name="Picture 5">
          <a:extLst>
            <a:ext uri="{FF2B5EF4-FFF2-40B4-BE49-F238E27FC236}">
              <a16:creationId xmlns="" xmlns:a16="http://schemas.microsoft.com/office/drawing/2014/main" id="{66A90D78-9C3F-4771-B093-ED4AA67F21A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49" y="190501"/>
          <a:ext cx="3905251" cy="829868"/>
        </a:xfrm>
        <a:prstGeom prst="rect">
          <a:avLst/>
        </a:prstGeom>
      </xdr:spPr>
    </xdr:pic>
    <xdr:clientData/>
  </xdr:twoCellAnchor>
  <xdr:twoCellAnchor editAs="oneCell">
    <xdr:from>
      <xdr:col>1</xdr:col>
      <xdr:colOff>0</xdr:colOff>
      <xdr:row>51</xdr:row>
      <xdr:rowOff>0</xdr:rowOff>
    </xdr:from>
    <xdr:to>
      <xdr:col>11</xdr:col>
      <xdr:colOff>54890</xdr:colOff>
      <xdr:row>54</xdr:row>
      <xdr:rowOff>85725</xdr:rowOff>
    </xdr:to>
    <xdr:pic>
      <xdr:nvPicPr>
        <xdr:cNvPr id="11" name="Picture 10">
          <a:extLst>
            <a:ext uri="{FF2B5EF4-FFF2-40B4-BE49-F238E27FC236}">
              <a16:creationId xmlns="" xmlns:a16="http://schemas.microsoft.com/office/drawing/2014/main" id="{53DEDD1D-C074-4DE8-8B32-3AECFA99C24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9550" y="9229725"/>
          <a:ext cx="13447040" cy="657225"/>
        </a:xfrm>
        <a:prstGeom prst="rect">
          <a:avLst/>
        </a:prstGeom>
      </xdr:spPr>
    </xdr:pic>
    <xdr:clientData/>
  </xdr:twoCellAnchor>
  <xdr:twoCellAnchor>
    <xdr:from>
      <xdr:col>1</xdr:col>
      <xdr:colOff>95250</xdr:colOff>
      <xdr:row>70</xdr:row>
      <xdr:rowOff>66675</xdr:rowOff>
    </xdr:from>
    <xdr:to>
      <xdr:col>1</xdr:col>
      <xdr:colOff>257175</xdr:colOff>
      <xdr:row>70</xdr:row>
      <xdr:rowOff>142875</xdr:rowOff>
    </xdr:to>
    <xdr:sp macro="" textlink="">
      <xdr:nvSpPr>
        <xdr:cNvPr id="15" name="Höger 7">
          <a:extLst>
            <a:ext uri="{FF2B5EF4-FFF2-40B4-BE49-F238E27FC236}">
              <a16:creationId xmlns="" xmlns:a16="http://schemas.microsoft.com/office/drawing/2014/main" id="{C7356DF7-5853-43ED-A034-484665531BC5}"/>
            </a:ext>
          </a:extLst>
        </xdr:cNvPr>
        <xdr:cNvSpPr/>
      </xdr:nvSpPr>
      <xdr:spPr>
        <a:xfrm>
          <a:off x="304800" y="13296900"/>
          <a:ext cx="161925" cy="76200"/>
        </a:xfrm>
        <a:prstGeom prst="rightArrow">
          <a:avLst/>
        </a:prstGeom>
        <a:solidFill>
          <a:srgbClr val="FF0000"/>
        </a:solidFill>
      </xdr:spPr>
      <xdr:style>
        <a:lnRef idx="1">
          <a:schemeClr val="accent2"/>
        </a:lnRef>
        <a:fillRef idx="3">
          <a:schemeClr val="accent2"/>
        </a:fillRef>
        <a:effectRef idx="2">
          <a:schemeClr val="accent2"/>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sv-SE" sz="1100"/>
        </a:p>
      </xdr:txBody>
    </xdr:sp>
    <xdr:clientData/>
  </xdr:twoCellAnchor>
  <xdr:twoCellAnchor>
    <xdr:from>
      <xdr:col>1</xdr:col>
      <xdr:colOff>0</xdr:colOff>
      <xdr:row>119</xdr:row>
      <xdr:rowOff>66675</xdr:rowOff>
    </xdr:from>
    <xdr:to>
      <xdr:col>1</xdr:col>
      <xdr:colOff>161925</xdr:colOff>
      <xdr:row>119</xdr:row>
      <xdr:rowOff>142875</xdr:rowOff>
    </xdr:to>
    <xdr:sp macro="" textlink="">
      <xdr:nvSpPr>
        <xdr:cNvPr id="12" name="Höger 7">
          <a:extLst>
            <a:ext uri="{FF2B5EF4-FFF2-40B4-BE49-F238E27FC236}">
              <a16:creationId xmlns="" xmlns:a16="http://schemas.microsoft.com/office/drawing/2014/main" id="{769D462C-7C20-4372-8B10-295D4F8915A9}"/>
            </a:ext>
          </a:extLst>
        </xdr:cNvPr>
        <xdr:cNvSpPr/>
      </xdr:nvSpPr>
      <xdr:spPr>
        <a:xfrm>
          <a:off x="209550" y="22345650"/>
          <a:ext cx="161925" cy="76200"/>
        </a:xfrm>
        <a:prstGeom prst="rightArrow">
          <a:avLst/>
        </a:prstGeom>
        <a:solidFill>
          <a:srgbClr val="FF0000"/>
        </a:solidFill>
      </xdr:spPr>
      <xdr:style>
        <a:lnRef idx="1">
          <a:schemeClr val="accent2"/>
        </a:lnRef>
        <a:fillRef idx="3">
          <a:schemeClr val="accent2"/>
        </a:fillRef>
        <a:effectRef idx="2">
          <a:schemeClr val="accent2"/>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lang="sv-SE" sz="1100"/>
        </a:p>
      </xdr:txBody>
    </xdr:sp>
    <xdr:clientData/>
  </xdr:twoCellAnchor>
</xdr:wsDr>
</file>

<file path=xl/tables/table1.xml><?xml version="1.0" encoding="utf-8"?>
<table xmlns="http://schemas.openxmlformats.org/spreadsheetml/2006/main" id="14" name="BetTable" displayName="BetTable" ref="A1:AJ1644" headerRowDxfId="183" dataDxfId="181" totalsRowDxfId="179" headerRowBorderDxfId="182" tableBorderDxfId="180">
  <tableColumns count="36">
    <tableColumn id="1" name="Date" totalsRowLabel="Totalt" dataDxfId="178"/>
    <tableColumn id="2" name="Sport" dataDxfId="177"/>
    <tableColumn id="3" name="Bookie" dataDxfId="176"/>
    <tableColumn id="4" name="B2" dataDxfId="175"/>
    <tableColumn id="5" name="B3" dataDxfId="174"/>
    <tableColumn id="38" name="Comm %" dataDxfId="173"/>
    <tableColumn id="40" name="C% 2" dataDxfId="172"/>
    <tableColumn id="41" name="C% 3" dataDxfId="171"/>
    <tableColumn id="6" name="Participants" dataDxfId="170"/>
    <tableColumn id="8" name="Odds" dataDxfId="169"/>
    <tableColumn id="9" name="O2" dataDxfId="168"/>
    <tableColumn id="10" name="O3" dataDxfId="167"/>
    <tableColumn id="11" name="Stake" dataDxfId="166"/>
    <tableColumn id="12" name="S2" dataDxfId="165"/>
    <tableColumn id="13" name="S3" dataDxfId="164"/>
    <tableColumn id="7" name="Bet on" dataDxfId="163"/>
    <tableColumn id="16" name="Start time" dataDxfId="162"/>
    <tableColumn id="20" name="Id" dataDxfId="161"/>
    <tableColumn id="17" name="Value" dataDxfId="160"/>
    <tableColumn id="39" name="Outcome" dataDxfId="159"/>
    <tableColumn id="42" name="Outcome2" dataDxfId="158"/>
    <tableColumn id="43" name="Outcome3" dataDxfId="157"/>
    <tableColumn id="14" name="TS" dataDxfId="156">
      <calculatedColumnFormula>IF(BetTable[Sport]="","",BetTable[Stake]+BetTable[S2]+BetTable[S3])</calculatedColumnFormula>
    </tableColumn>
    <tableColumn id="15" name="R1" dataDxfId="155">
      <calculatedColumnFormula>IF(BetTable[Odds]="","",(BetTable[WBA1-Commission])-BetTable[TS])</calculatedColumnFormula>
    </tableColumn>
    <tableColumn id="24" name="Result" dataDxfId="154">
      <calculatedColumnFormula>IF(BetTable[Outcome]="","",BetTable[WBA1]+BetTable[WBA2]+BetTable[WBA3]-BetTable[TS])</calculatedColumnFormula>
    </tableColumn>
    <tableColumn id="18" name="WBA1-Commission" dataDxfId="153">
      <calculatedColumnFormula>(((BetTable[Odds]-1)*BetTable[Stake])*(1-(BetTable[Comm %]))+BetTable[Stake])</calculatedColumnFormula>
    </tableColumn>
    <tableColumn id="26" name="WBA2-Commission" dataDxfId="152">
      <calculatedColumnFormula>(((BetTable[O2]-1)*BetTable[S2])*(1-(BetTable[C% 2]))+BetTable[S2])</calculatedColumnFormula>
    </tableColumn>
    <tableColumn id="28" name="WBA3-Commission" dataDxfId="151">
      <calculatedColumnFormula>(((BetTable[O3]-1)*BetTable[S3])*(1-(BetTable[C% 3]))+BetTable[S3])</calculatedColumnFormula>
    </tableColumn>
    <tableColumn id="21" name="% if 1" dataDxfId="150">
      <calculatedColumnFormula>IFERROR(IF(BetTable[Sport]="","",BetTable[R1]/BetTable[TS]),"")</calculatedColumnFormula>
    </tableColumn>
    <tableColumn id="22" name="% if 2" dataDxfId="149">
      <calculatedColumnFormula>IF(BetTable[O2]="","",#REF!/BetTable[TS])</calculatedColumnFormula>
    </tableColumn>
    <tableColumn id="23" name="% if 3" dataDxfId="148">
      <calculatedColumnFormula>IFERROR(IF(BetTable[Sport]="","",#REF!/BetTable[TS]),"")</calculatedColumnFormula>
    </tableColumn>
    <tableColumn id="25" name="WBA1" dataDxfId="147">
      <calculatedColumnFormula>IF(BetTable[Outcome]="Win",BetTable[WBA1-Commission],IF(BetTable[Outcome]="Win Half Stake",(BetTable[Stake]/2)+BetTable[WBA1-Commission]/2,IF(BetTable[Outcome]="Lose Half Stake",BetTable[Stake]/2,IF(BetTable[Outcome]="Lose",0,IF(BetTable[Outcome]="Void",BetTable[Stake],)))))</calculatedColumnFormula>
    </tableColumn>
    <tableColumn id="45" name="WBA2" dataDxfId="146">
      <calculatedColumnFormula>IF(BetTable[Outcome2]="Win",BetTable[WBA2-Commission],IF(BetTable[Outcome2]="Win Half Stake",(BetTable[S2]/2)+BetTable[WBA2-Commission]/2,IF(BetTable[Outcome2]="Lose Half Stake",BetTable[S2]/2,IF(BetTable[Outcome2]="Lose",0,IF(BetTable[Outcome2]="Void",BetTable[S2],)))))</calculatedColumnFormula>
    </tableColumn>
    <tableColumn id="46" name="WBA3" dataDxfId="145">
      <calculatedColumnFormula>IF(BetTable[Outcome3]="Win",BetTable[WBA3-Commission],IF(BetTable[Outcome3]="Win Half Stake",(BetTable[S3]/2)+BetTable[WBA3-Commission]/2,IF(BetTable[Outcome3]="Lose Half Stake",BetTable[S3]/2,IF(BetTable[Outcome3]="Lose",0,IF(BetTable[Outcome3]="Void",BetTable[S3],)))))</calculatedColumnFormula>
    </tableColumn>
    <tableColumn id="27" name="0" dataDxfId="144">
      <calculatedColumnFormula>IF(BetTable[Outcome]="",AI1,BetTable[Result]+AI1)</calculatedColumnFormula>
    </tableColumn>
    <tableColumn id="19" name="Comments" totalsRowFunction="count" dataDxfId="143"/>
  </tableColumns>
  <tableStyleInfo name="TableStyleLight16" showFirstColumn="0" showLastColumn="0" showRowStripes="1" showColumnStripes="0"/>
</table>
</file>

<file path=xl/tables/table10.xml><?xml version="1.0" encoding="utf-8"?>
<table xmlns="http://schemas.openxmlformats.org/spreadsheetml/2006/main" id="6" name="BookieName" displayName="BookieName" ref="G1:I93" totalsRowShown="0">
  <sortState ref="G2:I32">
    <sortCondition ref="H1"/>
  </sortState>
  <tableColumns count="3">
    <tableColumn id="3" name="Key" dataDxfId="72">
      <calculatedColumnFormula>ROW()-1</calculatedColumnFormula>
    </tableColumn>
    <tableColumn id="1" name="Bookmaker"/>
    <tableColumn id="2" name="Name"/>
  </tableColumns>
  <tableStyleInfo name="TableStyleMedium9" showFirstColumn="0" showLastColumn="0" showRowStripes="1" showColumnStripes="0"/>
</table>
</file>

<file path=xl/tables/table11.xml><?xml version="1.0" encoding="utf-8"?>
<table xmlns="http://schemas.openxmlformats.org/spreadsheetml/2006/main" id="16" name="DW" displayName="DW" ref="K1:K3" totalsRowShown="0">
  <tableColumns count="1">
    <tableColumn id="1" name="Type"/>
  </tableColumns>
  <tableStyleInfo name="TableStyleMedium9" showFirstColumn="0" showLastColumn="0" showRowStripes="1" showColumnStripes="0"/>
</table>
</file>

<file path=xl/tables/table12.xml><?xml version="1.0" encoding="utf-8"?>
<table xmlns="http://schemas.openxmlformats.org/spreadsheetml/2006/main" id="19" name="bonus" displayName="bonus" ref="M1:M3" totalsRowShown="0">
  <autoFilter ref="M1:M3"/>
  <tableColumns count="1">
    <tableColumn id="1" name="Type"/>
  </tableColumns>
  <tableStyleInfo name="TableStyleMedium9" showFirstColumn="0" showLastColumn="0" showRowStripes="1" showColumnStripes="0"/>
</table>
</file>

<file path=xl/tables/table13.xml><?xml version="1.0" encoding="utf-8"?>
<table xmlns="http://schemas.openxmlformats.org/spreadsheetml/2006/main" id="15" name="LayBetOutcome" displayName="LayBetOutcome" ref="O1:O11" totalsRowShown="0">
  <autoFilter ref="O1:O11"/>
  <tableColumns count="1">
    <tableColumn id="1" name="LayBet outcome"/>
  </tableColumns>
  <tableStyleInfo name="TableStyleMedium2" showFirstColumn="0" showLastColumn="0" showRowStripes="1" showColumnStripes="0"/>
</table>
</file>

<file path=xl/tables/table14.xml><?xml version="1.0" encoding="utf-8"?>
<table xmlns="http://schemas.openxmlformats.org/spreadsheetml/2006/main" id="11" name="Month2009" displayName="Month2009" ref="C3:F15" totalsRowShown="0">
  <autoFilter ref="C3:F15"/>
  <tableColumns count="4">
    <tableColumn id="1" name="Month"/>
    <tableColumn id="2" name="Amount" dataDxfId="71"/>
    <tableColumn id="3" name="LayAmount" dataDxfId="70">
      <calculatedColumnFormula>SUMPRODUCT(--(LEFT(LayTable[Date],2)="09"),--(MID(LayTable[Date],3,2)="11"),LayTable[AR])</calculatedColumnFormula>
    </tableColumn>
    <tableColumn id="5" name="BackAmount" dataDxfId="69"/>
  </tableColumns>
  <tableStyleInfo name="TableStyleMedium2" showFirstColumn="0" showLastColumn="0" showRowStripes="1" showColumnStripes="0"/>
</table>
</file>

<file path=xl/tables/table15.xml><?xml version="1.0" encoding="utf-8"?>
<table xmlns="http://schemas.openxmlformats.org/spreadsheetml/2006/main" id="7" name="Month2010" displayName="Month2010" ref="H3:K15" totalsRowShown="0">
  <autoFilter ref="H3:K15"/>
  <tableColumns count="4">
    <tableColumn id="1" name="Month"/>
    <tableColumn id="2" name="Amount" dataDxfId="68">
      <calculatedColumnFormula>Month2010[[#This Row],[LayAmount]]+Month2010[[#This Row],[BackAmount]]</calculatedColumnFormula>
    </tableColumn>
    <tableColumn id="3" name="LayAmount" dataDxfId="67"/>
    <tableColumn id="5" name="BackAmount" dataDxfId="66"/>
  </tableColumns>
  <tableStyleInfo name="TableStyleMedium2" showFirstColumn="0" showLastColumn="0" showRowStripes="1" showColumnStripes="0"/>
</table>
</file>

<file path=xl/tables/table16.xml><?xml version="1.0" encoding="utf-8"?>
<table xmlns="http://schemas.openxmlformats.org/spreadsheetml/2006/main" id="9" name="Month2011" displayName="Month2011" ref="M3:P15" totalsRowShown="0">
  <autoFilter ref="M3:P15"/>
  <tableColumns count="4">
    <tableColumn id="1" name="Month"/>
    <tableColumn id="2" name="Amount" dataDxfId="65">
      <calculatedColumnFormula>Month2011[[#This Row],[LayAmount]]+Month2011[[#This Row],[BackAmount]]</calculatedColumnFormula>
    </tableColumn>
    <tableColumn id="3" name="LayAmount" dataDxfId="64"/>
    <tableColumn id="5" name="BackAmount" dataDxfId="63"/>
  </tableColumns>
  <tableStyleInfo name="TableStyleMedium2" showFirstColumn="0" showLastColumn="0" showRowStripes="1" showColumnStripes="0"/>
</table>
</file>

<file path=xl/tables/table17.xml><?xml version="1.0" encoding="utf-8"?>
<table xmlns="http://schemas.openxmlformats.org/spreadsheetml/2006/main" id="13" name="Month2012" displayName="Month2012" ref="R3:U15" totalsRowShown="0">
  <autoFilter ref="R3:U15"/>
  <tableColumns count="4">
    <tableColumn id="1" name="Month"/>
    <tableColumn id="2" name="Amount" dataDxfId="62">
      <calculatedColumnFormula>Month2012[[#This Row],[LayAmount]]+Month2012[[#This Row],[BackAmount]]</calculatedColumnFormula>
    </tableColumn>
    <tableColumn id="3" name="LayAmount" dataDxfId="61"/>
    <tableColumn id="5" name="BackAmount" dataDxfId="60"/>
  </tableColumns>
  <tableStyleInfo name="TableStyleMedium2" showFirstColumn="0" showLastColumn="0" showRowStripes="1" showColumnStripes="0"/>
</table>
</file>

<file path=xl/tables/table18.xml><?xml version="1.0" encoding="utf-8"?>
<table xmlns="http://schemas.openxmlformats.org/spreadsheetml/2006/main" id="1" name="Month20122" displayName="Month20122" ref="W3:Z15" totalsRowShown="0">
  <autoFilter ref="W3:Z15"/>
  <tableColumns count="4">
    <tableColumn id="1" name="Month"/>
    <tableColumn id="2" name="Amount" dataDxfId="59">
      <calculatedColumnFormula>Month20122[[#This Row],[LayAmount]]+Month20122[[#This Row],[BackAmount]]</calculatedColumnFormula>
    </tableColumn>
    <tableColumn id="3" name="LayAmount" dataDxfId="58"/>
    <tableColumn id="5" name="BackAmount" dataDxfId="57"/>
  </tableColumns>
  <tableStyleInfo name="TableStyleMedium2" showFirstColumn="0" showLastColumn="0" showRowStripes="1" showColumnStripes="0"/>
</table>
</file>

<file path=xl/tables/table19.xml><?xml version="1.0" encoding="utf-8"?>
<table xmlns="http://schemas.openxmlformats.org/spreadsheetml/2006/main" id="2" name="Month201223" displayName="Month201223" ref="AB3:AE15" totalsRowShown="0">
  <autoFilter ref="AB3:AE15"/>
  <tableColumns count="4">
    <tableColumn id="1" name="Month"/>
    <tableColumn id="2" name="Amount" dataDxfId="56">
      <calculatedColumnFormula>Month201223[[#This Row],[LayAmount]]+Month201223[[#This Row],[BackAmount]]</calculatedColumnFormula>
    </tableColumn>
    <tableColumn id="3" name="LayAmount" dataDxfId="55"/>
    <tableColumn id="5" name="BackAmount" dataDxfId="54"/>
  </tableColumns>
  <tableStyleInfo name="TableStyleMedium2" showFirstColumn="0" showLastColumn="0" showRowStripes="1" showColumnStripes="0"/>
</table>
</file>

<file path=xl/tables/table2.xml><?xml version="1.0" encoding="utf-8"?>
<table xmlns="http://schemas.openxmlformats.org/spreadsheetml/2006/main" id="23" name="LayTable" displayName="LayTable" ref="A1:AE5" headerRowDxfId="140" dataDxfId="139" totalsRowDxfId="138">
  <tableColumns count="31">
    <tableColumn id="1" name="Date" totalsRowLabel="Totalt" dataDxfId="137"/>
    <tableColumn id="3" name="SP" dataDxfId="136"/>
    <tableColumn id="4" name="BackBook" dataDxfId="135"/>
    <tableColumn id="38" name="C% Back" dataDxfId="134"/>
    <tableColumn id="6" name="LayBook" dataDxfId="133"/>
    <tableColumn id="26" name="C% Lay" dataDxfId="132"/>
    <tableColumn id="8" name="Participants" dataDxfId="131"/>
    <tableColumn id="25" name="Played on" dataDxfId="130"/>
    <tableColumn id="9" name="BackOdds" dataDxfId="129"/>
    <tableColumn id="11" name="LayOdds" dataDxfId="128"/>
    <tableColumn id="12" name="BackStake" dataDxfId="127"/>
    <tableColumn id="14" name="LayStake" dataDxfId="126"/>
    <tableColumn id="7" name="LayLiability" dataDxfId="125">
      <calculatedColumnFormula>IF(LayTable[SP]="","",LayTable[LayStake]*(LayTable[LayOdds]-1))</calculatedColumnFormula>
    </tableColumn>
    <tableColumn id="39" name="Arb%" dataDxfId="124">
      <calculatedColumnFormula>IF(LayTable[SP]="","",1/((1/LayTable[BackOdds])+(1/((1/((1+((LayTable[LayOdds]-1)*(1+LayTable[C% Lay])))-1))+1)))-1)</calculatedColumnFormula>
    </tableColumn>
    <tableColumn id="41" name="OutcomeBack" dataDxfId="123"/>
    <tableColumn id="42" name="OutcomeLay" dataDxfId="122"/>
    <tableColumn id="16" name="TS" dataDxfId="121">
      <calculatedColumnFormula>IF(LayTable[SP]="","",LayTable[BackStake]+LayTable[LayLiability])</calculatedColumnFormula>
    </tableColumn>
    <tableColumn id="17" name="Rback" dataDxfId="120">
      <calculatedColumnFormula>IFERROR(IF(LayTable[C% Back]="",LayTable[BackWin-Commission]-LayTable[LayLiability],(IF(LayTable[BackStake]&lt;=LayTable[LayStake],((LayTable[BackOdds]*LayTable[BackStake]-LayTable[BackStake])-LayTable[LayLiability]),((LayTable[BackOdds]*LayTable[BackStake]-LayTable[BackStake])-LayTable[LayLiability])*(1-LayTable[C% Lay])))),"")</calculatedColumnFormula>
    </tableColumn>
    <tableColumn id="19" name="Rlay" dataDxfId="119">
      <calculatedColumnFormula>IF(LayTable[SP]="","",IF(LayTable[C% Back]="",((LayTable[LayWin-Commission]))-LayTable[BackStake],(IF(LayTable[LayStake]&lt;=LayTable[BackStake],LayTable[LayStake]-LayTable[BackStake],(LayTable[LayStake]-LayTable[BackStake])*(1-LayTable[C% Lay])))))</calculatedColumnFormula>
    </tableColumn>
    <tableColumn id="20" name="AR" dataDxfId="118">
      <calculatedColumnFormula>IF(LayTable[OutcomeBack]="","",LayTable[WBABack]+LayTable[WBALay]-LayTable[TS])</calculatedColumnFormula>
    </tableColumn>
    <tableColumn id="43" name="WBABack" dataDxfId="117">
      <calculatedColumnFormula>IF(LayTable[OutcomeBack]="Win",LayTable[IfBack],IF(LayTable[OutcomeBack]="Win Half Stake",(LayTable[BackStake])+(LayTable[BackWin-Commission]/2),IF(LayTable[OutcomeBack]="Lose Half Stake",LayTable[BackStake]/2,IF(LayTable[OutcomeBack]="Lose",0,IF(LayTable[OutcomeBack]="Void",LayTable[BackStake],"")))))</calculatedColumnFormula>
    </tableColumn>
    <tableColumn id="44" name="WBALay" dataDxfId="116">
      <calculatedColumnFormula>IF(LayTable[OutcomeLay]="Win",LayTable[IfLay],IF(LayTable[OutcomeLay]="Win Half Stake",(LayTable[LayLiability])+(LayTable[LayWin-Commission]/2),IF(LayTable[OutcomeLay]="Lose Half Stake",LayTable[LayLiability]/2,IF(LayTable[OutcomeLay]="Lose",0,IF(LayTable[OutcomeLay]="Void",LayTable[LayLiability],"")))))</calculatedColumnFormula>
    </tableColumn>
    <tableColumn id="21" name="% if back" dataDxfId="115">
      <calculatedColumnFormula>IFERROR(IF(LayTable[TS]="","",LayTable[Rback]/LayTable[TS]),"")</calculatedColumnFormula>
    </tableColumn>
    <tableColumn id="23" name="% if lay" dataDxfId="114">
      <calculatedColumnFormula>IFERROR(IF(LayTable[TS]="","",LayTable[Rlay]/LayTable[TS]),"")</calculatedColumnFormula>
    </tableColumn>
    <tableColumn id="24" name="A%" dataDxfId="113">
      <calculatedColumnFormula>IFERROR(LayTable[AR]/LayTable[TS],"")</calculatedColumnFormula>
    </tableColumn>
    <tableColumn id="40" name="BackWin-Commission" dataDxfId="112">
      <calculatedColumnFormula>(LayTable[BackStake]*LayTable[BackOdds]-LayTable[BackStake])*(1-LayTable[C% Back])</calculatedColumnFormula>
    </tableColumn>
    <tableColumn id="30" name="LayWin-Commission" dataDxfId="111">
      <calculatedColumnFormula>LayTable[LayStake]*(1-LayTable[C% Lay])</calculatedColumnFormula>
    </tableColumn>
    <tableColumn id="29" name="0" dataDxfId="110">
      <calculatedColumnFormula>IFERROR(IF(LayTable[SP]="",AB1,LayTable[AR]+AB1),"")</calculatedColumnFormula>
    </tableColumn>
    <tableColumn id="2" name="IfBack" dataDxfId="109">
      <calculatedColumnFormula>(LayTable[BackWin-Commission]+LayTable[BackStake])</calculatedColumnFormula>
    </tableColumn>
    <tableColumn id="5" name="IfLay" dataDxfId="108">
      <calculatedColumnFormula>(LayTable[LayWin-Commission])+LayTable[LayLiability]</calculatedColumnFormula>
    </tableColumn>
    <tableColumn id="37" name="Comments" dataDxfId="107"/>
  </tableColumns>
  <tableStyleInfo name="TableStyleMedium24" showFirstColumn="0" showLastColumn="0" showRowStripes="1" showColumnStripes="0"/>
</table>
</file>

<file path=xl/tables/table20.xml><?xml version="1.0" encoding="utf-8"?>
<table xmlns="http://schemas.openxmlformats.org/spreadsheetml/2006/main" id="8" name="Month201229" displayName="Month201229" ref="AG3:AJ15" totalsRowShown="0">
  <autoFilter ref="AG3:AJ15"/>
  <tableColumns count="4">
    <tableColumn id="1" name="Month"/>
    <tableColumn id="2" name="Amount" dataDxfId="53">
      <calculatedColumnFormula>Month201229[[#This Row],[LayAmount]]+Month201229[[#This Row],[BackAmount]]</calculatedColumnFormula>
    </tableColumn>
    <tableColumn id="3" name="LayAmount" dataDxfId="52"/>
    <tableColumn id="5" name="BackAmount" dataDxfId="51"/>
  </tableColumns>
  <tableStyleInfo name="TableStyleMedium2" showFirstColumn="0" showLastColumn="0" showRowStripes="1" showColumnStripes="0"/>
</table>
</file>

<file path=xl/tables/table21.xml><?xml version="1.0" encoding="utf-8"?>
<table xmlns="http://schemas.openxmlformats.org/spreadsheetml/2006/main" id="10" name="Month20122911" displayName="Month20122911" ref="C18:F30" totalsRowShown="0">
  <autoFilter ref="C18:F30"/>
  <tableColumns count="4">
    <tableColumn id="1" name="Month"/>
    <tableColumn id="2" name="Amount" dataDxfId="50">
      <calculatedColumnFormula>IFERROR(Month20122911[[#This Row],[LayAmount]]+Month20122911[[#This Row],[BackAmount]],"")</calculatedColumnFormula>
    </tableColumn>
    <tableColumn id="3" name="LayAmount" dataDxfId="49"/>
    <tableColumn id="5" name="BackAmount" dataDxfId="48"/>
  </tableColumns>
  <tableStyleInfo name="TableStyleMedium2" showFirstColumn="0" showLastColumn="0" showRowStripes="1" showColumnStripes="0"/>
</table>
</file>

<file path=xl/tables/table22.xml><?xml version="1.0" encoding="utf-8"?>
<table xmlns="http://schemas.openxmlformats.org/spreadsheetml/2006/main" id="12" name="Month2012291113" displayName="Month2012291113" ref="H18:K30" totalsRowShown="0">
  <autoFilter ref="H18:K30"/>
  <tableColumns count="4">
    <tableColumn id="1" name="Month"/>
    <tableColumn id="2" name="Amount" dataDxfId="47">
      <calculatedColumnFormula>IFERROR(Month2012291113[[#This Row],[LayAmount]]+Month2012291113[[#This Row],[BackAmount]],"")</calculatedColumnFormula>
    </tableColumn>
    <tableColumn id="3" name="LayAmount" dataDxfId="46"/>
    <tableColumn id="5" name="BackAmount" dataDxfId="45"/>
  </tableColumns>
  <tableStyleInfo name="TableStyleMedium2" showFirstColumn="0" showLastColumn="0" showRowStripes="1" showColumnStripes="0"/>
</table>
</file>

<file path=xl/tables/table23.xml><?xml version="1.0" encoding="utf-8"?>
<table xmlns="http://schemas.openxmlformats.org/spreadsheetml/2006/main" id="24" name="Month201229111325" displayName="Month201229111325" ref="M18:P30" totalsRowShown="0">
  <autoFilter ref="M18:P30"/>
  <tableColumns count="4">
    <tableColumn id="1" name="Month"/>
    <tableColumn id="2" name="Amount" dataDxfId="44">
      <calculatedColumnFormula>IFERROR(Month201229111325[[#This Row],[LayAmount]]+Month201229111325[[#This Row],[BackAmount]],"")</calculatedColumnFormula>
    </tableColumn>
    <tableColumn id="3" name="LayAmount" dataDxfId="43"/>
    <tableColumn id="5" name="BackAmount" dataDxfId="42"/>
  </tableColumns>
  <tableStyleInfo name="TableStyleMedium2" showFirstColumn="0" showLastColumn="0" showRowStripes="1" showColumnStripes="0"/>
</table>
</file>

<file path=xl/tables/table24.xml><?xml version="1.0" encoding="utf-8"?>
<table xmlns="http://schemas.openxmlformats.org/spreadsheetml/2006/main" id="25" name="Month201229111326" displayName="Month201229111326" ref="R18:U30" totalsRowShown="0">
  <autoFilter ref="R18:U30"/>
  <tableColumns count="4">
    <tableColumn id="1" name="Month"/>
    <tableColumn id="2" name="Amount" dataDxfId="41">
      <calculatedColumnFormula>IFERROR(Month201229111326[[#This Row],[LayAmount]]+Month201229111326[[#This Row],[BackAmount]],"")</calculatedColumnFormula>
    </tableColumn>
    <tableColumn id="3" name="LayAmount" dataDxfId="40"/>
    <tableColumn id="5" name="BackAmount" dataDxfId="39"/>
  </tableColumns>
  <tableStyleInfo name="TableStyleMedium2" showFirstColumn="0" showLastColumn="0" showRowStripes="1" showColumnStripes="0"/>
</table>
</file>

<file path=xl/tables/table25.xml><?xml version="1.0" encoding="utf-8"?>
<table xmlns="http://schemas.openxmlformats.org/spreadsheetml/2006/main" id="26" name="Month201229111327" displayName="Month201229111327" ref="W18:Z30" totalsRowShown="0">
  <autoFilter ref="W18:Z30"/>
  <tableColumns count="4">
    <tableColumn id="1" name="Month"/>
    <tableColumn id="2" name="Amount" dataDxfId="38">
      <calculatedColumnFormula>IFERROR(Month201229111327[[#This Row],[LayAmount]]+Month201229111327[[#This Row],[BackAmount]],"")</calculatedColumnFormula>
    </tableColumn>
    <tableColumn id="3" name="LayAmount" dataDxfId="37"/>
    <tableColumn id="5" name="BackAmount" dataDxfId="36"/>
  </tableColumns>
  <tableStyleInfo name="TableStyleMedium2" showFirstColumn="0" showLastColumn="0" showRowStripes="1" showColumnStripes="0"/>
</table>
</file>

<file path=xl/tables/table26.xml><?xml version="1.0" encoding="utf-8"?>
<table xmlns="http://schemas.openxmlformats.org/spreadsheetml/2006/main" id="22" name="Data" displayName="Data" ref="A3:U123" totalsRowShown="0" headerRowDxfId="35" dataDxfId="33" headerRowBorderDxfId="34" tableBorderDxfId="32">
  <autoFilter ref="A3:U123"/>
  <tableColumns count="21">
    <tableColumn id="1" name="Key" dataDxfId="31">
      <calculatedColumnFormula>ROW()-3</calculatedColumnFormula>
    </tableColumn>
    <tableColumn id="2" name="Bookie" dataDxfId="30">
      <calculatedColumnFormula>IFERROR(VLOOKUP(ROW()-3,BookieName[],2,FALSE),"")</calculatedColumnFormula>
    </tableColumn>
    <tableColumn id="3" name="BR" dataDxfId="29">
      <calculatedColumnFormula>IF(Data[Bookie]="","",SUM(Data[[#This Row],[D/W]:[Bonus and Adjustments]],))</calculatedColumnFormula>
    </tableColumn>
    <tableColumn id="4" name="D/W" dataDxfId="28">
      <calculatedColumnFormula>IF(Data[Bookie]="","",SUMIF(DWbooks[Bookie],(VLOOKUP(ROW()-3,BookieName[],2,FALSE)),DWbooks[Amount]))</calculatedColumnFormula>
    </tableColumn>
    <tableColumn id="5" name="Total Stake S1" dataDxfId="27">
      <calculatedColumnFormula>IF(Data[Bookie]="","",SUMIF(BetTable[Bookie],(VLOOKUP(ROW()-3,BookieName[],2,FALSE)),BetTable[Stake])*-1)</calculatedColumnFormula>
    </tableColumn>
    <tableColumn id="6" name="Total Stake S2" dataDxfId="26">
      <calculatedColumnFormula>IF(Data[Bookie]="","",SUMIF(BetTable[B2],(VLOOKUP(ROW()-3,BookieName[],2,FALSE)),BetTable[S2])*-1)</calculatedColumnFormula>
    </tableColumn>
    <tableColumn id="7" name="Total Stake S3" dataDxfId="25">
      <calculatedColumnFormula>IF(Data[Bookie]="","",SUMIF(BetTable[B3],(VLOOKUP(ROW()-3,BookieName[],2,FALSE)),BetTable[S3])*-1)</calculatedColumnFormula>
    </tableColumn>
    <tableColumn id="8" name="WinningBookieAmount1" dataDxfId="24">
      <calculatedColumnFormula>IF(Data[Bookie]="","",SUMIF(BetTable[Bookie],(VLOOKUP(ROW()-3,BookieName[],2,FALSE)),BetTable[WBA1]))</calculatedColumnFormula>
    </tableColumn>
    <tableColumn id="9" name="WinningBookieAmount2" dataDxfId="23">
      <calculatedColumnFormula>IF(Data[Bookie]="","",SUMIF(BetTable[B2],(VLOOKUP(ROW()-3,BookieName[],2,FALSE)),BetTable[WBA2]))</calculatedColumnFormula>
    </tableColumn>
    <tableColumn id="10" name="WinningBookieAmount3" dataDxfId="22">
      <calculatedColumnFormula>IF(Data[Bookie]="","",SUMIF(BetTable[B3],(VLOOKUP(ROW()-3,BookieName[],2,FALSE)),BetTable[WBA3]))</calculatedColumnFormula>
    </tableColumn>
    <tableColumn id="12" name="Total Stake Back" dataDxfId="21">
      <calculatedColumnFormula>IF(Data[Bookie]="","",SUMIF(LayTable[BackBook],(VLOOKUP(ROW()-3,BookieName[],2,FALSE)),LayTable[BackStake])*-1)</calculatedColumnFormula>
    </tableColumn>
    <tableColumn id="13" name="Total Stake Lay" dataDxfId="20">
      <calculatedColumnFormula>IF(Data[Bookie]="","",SUMIF(LayTable[LayBook],(VLOOKUP(ROW()-3,BookieName[],2,FALSE)),LayTable[LayLiability])*-1)</calculatedColumnFormula>
    </tableColumn>
    <tableColumn id="14" name="WinningBookieAmountBack" dataDxfId="19">
      <calculatedColumnFormula>IF(Data[Bookie]="","",SUMIF(LayTable[BackBook],(VLOOKUP(ROW()-3,BookieName[],2,FALSE)),LayTable[WBABack]))</calculatedColumnFormula>
    </tableColumn>
    <tableColumn id="15" name="WinningBookieAmountLay" dataDxfId="18">
      <calculatedColumnFormula>IF(Data[Bookie]="","",SUMIF(LayTable[LayBook],(VLOOKUP(ROW()-3,BookieName[],2,FALSE)),LayTable[WBALay]))</calculatedColumnFormula>
    </tableColumn>
    <tableColumn id="11" name="Bonus and Adjustments" dataDxfId="17">
      <calculatedColumnFormula>IF(Data[Bookie]="","",SUMIF(DWbonus[Bookie],(VLOOKUP(ROW()-3,BookieName[],2,FALSE)),DWbonus[Amount]))</calculatedColumnFormula>
    </tableColumn>
    <tableColumn id="16" name="Pending" dataDxfId="16">
      <calculatedColumnFormula>IF(Data[Bookie]="","",SUM(Data[[#This Row],[Pending 1]:[PendingL2]]))</calculatedColumnFormula>
    </tableColumn>
    <tableColumn id="17" name="Pending 1" dataDxfId="15">
      <calculatedColumnFormula>IF(Data[Bookie]="","",SUMIFS(BetTable[Stake],BetTable[Bookie],(VLOOKUP(ROW()-3,BookieName[],2,FALSE)),BetTable[Result],""))</calculatedColumnFormula>
    </tableColumn>
    <tableColumn id="18" name="Pending 2" dataDxfId="14">
      <calculatedColumnFormula>IF(Data[Bookie]="","",SUMIFS(BetTable[S2],BetTable[B2],(VLOOKUP(ROW()-3,BookieName[],2,FALSE)),BetTable[Result],""))</calculatedColumnFormula>
    </tableColumn>
    <tableColumn id="19" name="Pending 3" dataDxfId="13">
      <calculatedColumnFormula>IF(Data[Bookie]="","",SUMIFS(BetTable[S3],BetTable[B3],(VLOOKUP(ROW()-3,BookieName[],2,FALSE)),BetTable[Result],""))</calculatedColumnFormula>
    </tableColumn>
    <tableColumn id="20" name="PendingL1" dataDxfId="12">
      <calculatedColumnFormula>IF(Data[Bookie]="","",SUMIFS(LayTable[BackStake],LayTable[BackBook],(VLOOKUP(ROW()-3,BookieName[],2,FALSE)),LayTable[AR],""))</calculatedColumnFormula>
    </tableColumn>
    <tableColumn id="21" name="PendingL2" dataDxfId="11">
      <calculatedColumnFormula>IF(Data[Bookie]="","",SUMIFS(LayTable[LayLiability],LayTable[LayBook],(VLOOKUP(ROW()-3,BookieName[],2,FALSE)),LayTable[AR],""))</calculatedColumnFormula>
    </tableColumn>
  </tableColumns>
  <tableStyleInfo name="TableStyleMedium9" showFirstColumn="0" showLastColumn="0" showRowStripes="1" showColumnStripes="0"/>
</table>
</file>

<file path=xl/tables/table27.xml><?xml version="1.0" encoding="utf-8"?>
<table xmlns="http://schemas.openxmlformats.org/spreadsheetml/2006/main" id="43" name="BookieTurnoverBackBets" displayName="BookieTurnoverBackBets" ref="B3:C120" totalsRowShown="0">
  <autoFilter ref="B3:C120"/>
  <tableColumns count="2">
    <tableColumn id="1" name="Bookie" dataDxfId="10">
      <calculatedColumnFormula>IFERROR(VLOOKUP(ROW()-3,BookieName[#Data],3,FALSE),"")</calculatedColumnFormula>
    </tableColumn>
    <tableColumn id="2" name="Turnover" dataDxfId="9">
      <calculatedColumnFormula>SUMIF(BetTable[Bookie],VLOOKUP(ROW()-3,BookieName[#Data],2,FALSE),BetTable[Stake])+SUMIF(BetTable[B2],VLOOKUP(ROW()-3,BookieName[#Data],2,FALSE),BetTable[S2])+SUMIF(BetTable[B3],VLOOKUP(ROW()-3,BookieName[#Data],2,FALSE),BetTable[S3])</calculatedColumnFormula>
    </tableColumn>
  </tableColumns>
  <tableStyleInfo name="TableStyleMedium2 2" showFirstColumn="0" showLastColumn="0" showRowStripes="1" showColumnStripes="0"/>
</table>
</file>

<file path=xl/tables/table28.xml><?xml version="1.0" encoding="utf-8"?>
<table xmlns="http://schemas.openxmlformats.org/spreadsheetml/2006/main" id="44" name="BookieTurnoverLayBets" displayName="BookieTurnoverLayBets" ref="E3:F120" totalsRowShown="0">
  <autoFilter ref="E3:F120"/>
  <tableColumns count="2">
    <tableColumn id="1" name="Bookie" dataDxfId="8">
      <calculatedColumnFormula>IFERROR(VLOOKUP(ROW()-3,BookieName[#Data],3,FALSE),"")</calculatedColumnFormula>
    </tableColumn>
    <tableColumn id="2" name="Turnover" dataDxfId="7">
      <calculatedColumnFormula>SUMIF(LayTable[BackBook],VLOOKUP(ROW()-3,BookieName[#Data],2,FALSE),LayTable[BackStake])+SUMIF(LayTable[LayBook],VLOOKUP(ROW()-3,BookieName[#Data],2,FALSE),LayTable[LayLiability])</calculatedColumnFormula>
    </tableColumn>
  </tableColumns>
  <tableStyleInfo name="TableStyleMedium9 2" showFirstColumn="0" showLastColumn="0" showRowStripes="1" showColumnStripes="0"/>
</table>
</file>

<file path=xl/tables/table29.xml><?xml version="1.0" encoding="utf-8"?>
<table xmlns="http://schemas.openxmlformats.org/spreadsheetml/2006/main" id="45" name="Tabell10" displayName="Tabell10" ref="H3:I120" totalsRowShown="0">
  <autoFilter ref="H3:I120"/>
  <tableColumns count="2">
    <tableColumn id="1" name="Bookie" dataDxfId="6">
      <calculatedColumnFormula>IFERROR(VLOOKUP(ROW()-3,BookieName[#Data],2,FALSE),"")</calculatedColumnFormula>
    </tableColumn>
    <tableColumn id="2" name="Total Turnover" dataDxfId="5">
      <calculatedColumnFormula>BookieTurnoverBackBets[[#This Row],[Turnover]]+BookieTurnoverLayBets[[#This Row],[Turnover]]</calculatedColumnFormula>
    </tableColumn>
  </tableColumns>
  <tableStyleInfo name="TableStyleMedium9 2" showFirstColumn="0" showLastColumn="0" showRowStripes="1" showColumnStripes="0"/>
</table>
</file>

<file path=xl/tables/table3.xml><?xml version="1.0" encoding="utf-8"?>
<table xmlns="http://schemas.openxmlformats.org/spreadsheetml/2006/main" id="3" name="BookBalance" displayName="BookBalance" ref="A1:D110" totalsRowShown="0" headerRowDxfId="106" dataDxfId="105">
  <sortState ref="A2:B93">
    <sortCondition descending="1" ref="B1:B93"/>
  </sortState>
  <tableColumns count="4">
    <tableColumn id="1" name="Bookie" dataDxfId="104">
      <calculatedColumnFormula>IFERROR(VLOOKUP(ROW()-1,BookieName[],2,FALSE),"")</calculatedColumnFormula>
    </tableColumn>
    <tableColumn id="2" name="Balance" dataDxfId="103">
      <calculatedColumnFormula>VLOOKUP(ROW()-1,Data[],3,FALSE)</calculatedColumnFormula>
    </tableColumn>
    <tableColumn id="4" name="%" dataDxfId="102">
      <calculatedColumnFormula>IFERROR(IF(BookBalance[Balance]="","",BookBalance[Balance]/G$9),"")</calculatedColumnFormula>
    </tableColumn>
    <tableColumn id="3" name="Pending" dataDxfId="101">
      <calculatedColumnFormula>VLOOKUP(ROW()-1,Data[],16,FALSE)</calculatedColumnFormula>
    </tableColumn>
  </tableColumns>
  <tableStyleInfo name="TableStyleMedium2" showFirstColumn="0" showLastColumn="0" showRowStripes="1" showColumnStripes="0"/>
</table>
</file>

<file path=xl/tables/table30.xml><?xml version="1.0" encoding="utf-8"?>
<table xmlns="http://schemas.openxmlformats.org/spreadsheetml/2006/main" id="34" name="Table34" displayName="Table34" ref="K3:O16" totalsRowCount="1">
  <autoFilter ref="K3:O15"/>
  <tableColumns count="5">
    <tableColumn id="1" name="Sport" totalsRowLabel="Total" dataDxfId="4">
      <calculatedColumnFormula>BooksAndSports!D2</calculatedColumnFormula>
    </tableColumn>
    <tableColumn id="2" name="Bets" totalsRowFunction="sum" dataDxfId="3">
      <calculatedColumnFormula>COUNTIF(BetTable[Sport],K4)</calculatedColumnFormula>
    </tableColumn>
    <tableColumn id="3" name="Turnover" totalsRowFunction="sum" dataDxfId="2">
      <calculatedColumnFormula>SUMIF(BetTable[Sport],K4,BetTable[Stake])</calculatedColumnFormula>
    </tableColumn>
    <tableColumn id="4" name="Profit" totalsRowFunction="sum" dataDxfId="1">
      <calculatedColumnFormula>SUMIF(BetTable[Sport],K4,BetTable[Result])</calculatedColumnFormula>
    </tableColumn>
    <tableColumn id="5" name="P/B" totalsRowFunction="count" dataDxfId="0">
      <calculatedColumnFormula>IFERROR(Table34[[#This Row],[Profit]]/Table34[[#This Row],[Bets]],"")</calculatedColumnFormula>
    </tableColumn>
  </tableColumns>
  <tableStyleInfo name="TableStyleMedium9" showFirstColumn="0" showLastColumn="0" showRowStripes="1" showColumnStripes="0"/>
</table>
</file>

<file path=xl/tables/table4.xml><?xml version="1.0" encoding="utf-8"?>
<table xmlns="http://schemas.openxmlformats.org/spreadsheetml/2006/main" id="21" name="TotalBalance" displayName="TotalBalance" ref="F1:H12" totalsRowShown="0">
  <tableColumns count="3">
    <tableColumn id="1" name="Type"/>
    <tableColumn id="2" name="Amount" dataDxfId="100"/>
    <tableColumn id="3" name="%" dataDxfId="99">
      <calculatedColumnFormula>IFERROR(TotalBalance[Amount]/$G$9,"")</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17" name="DWbooks" displayName="DWbooks" ref="A1:F5" totalsRowShown="0" headerRowDxfId="98" dataDxfId="97">
  <tableColumns count="6">
    <tableColumn id="5" name="Key" dataDxfId="96">
      <calculatedColumnFormula>ROW()-1</calculatedColumnFormula>
    </tableColumn>
    <tableColumn id="1" name="Date" dataDxfId="95"/>
    <tableColumn id="2" name="Type" dataDxfId="94"/>
    <tableColumn id="3" name="Bookie" dataDxfId="93"/>
    <tableColumn id="4" name="Amount" dataDxfId="92"/>
    <tableColumn id="6" name="Comments" dataDxfId="91"/>
  </tableColumns>
  <tableStyleInfo name="TableStyleMedium2" showFirstColumn="0" showLastColumn="0" showRowStripes="1" showColumnStripes="0"/>
</table>
</file>

<file path=xl/tables/table6.xml><?xml version="1.0" encoding="utf-8"?>
<table xmlns="http://schemas.openxmlformats.org/spreadsheetml/2006/main" id="18" name="DWroll" displayName="DWroll" ref="H1:L4" totalsRowShown="0" headerRowDxfId="90" dataDxfId="89">
  <tableColumns count="5">
    <tableColumn id="1" name="Key" dataDxfId="88">
      <calculatedColumnFormula>ROW()-1</calculatedColumnFormula>
    </tableColumn>
    <tableColumn id="2" name="Date" dataDxfId="87"/>
    <tableColumn id="3" name="Type" dataDxfId="86"/>
    <tableColumn id="4" name="Amount" dataDxfId="85"/>
    <tableColumn id="5" name="Comments" dataDxfId="84"/>
  </tableColumns>
  <tableStyleInfo name="TableStyleMedium2" showFirstColumn="0" showLastColumn="0" showRowStripes="1" showColumnStripes="0"/>
</table>
</file>

<file path=xl/tables/table7.xml><?xml version="1.0" encoding="utf-8"?>
<table xmlns="http://schemas.openxmlformats.org/spreadsheetml/2006/main" id="20" name="DWbonus" displayName="DWbonus" ref="N1:S3" totalsRowShown="0" headerRowDxfId="83" dataDxfId="82">
  <tableColumns count="6">
    <tableColumn id="1" name="Key" dataDxfId="81">
      <calculatedColumnFormula>ROW()-1</calculatedColumnFormula>
    </tableColumn>
    <tableColumn id="2" name="Date" dataDxfId="80"/>
    <tableColumn id="3" name="Type" dataDxfId="79"/>
    <tableColumn id="6" name="Bookie" dataDxfId="78"/>
    <tableColumn id="5" name="Amount" dataDxfId="77"/>
    <tableColumn id="4" name="Comments" dataDxfId="76"/>
  </tableColumns>
  <tableStyleInfo name="TableStyleMedium2" showFirstColumn="0" showLastColumn="0" showRowStripes="1" showColumnStripes="0"/>
</table>
</file>

<file path=xl/tables/table8.xml><?xml version="1.0" encoding="utf-8"?>
<table xmlns="http://schemas.openxmlformats.org/spreadsheetml/2006/main" id="4" name="Outcome" displayName="Outcome" ref="A1:A12" totalsRowShown="0" dataDxfId="75">
  <tableColumns count="1">
    <tableColumn id="1" name="Outcome" dataDxfId="74"/>
  </tableColumns>
  <tableStyleInfo name="TableStyleMedium2" showFirstColumn="0" showLastColumn="0" showRowStripes="1" showColumnStripes="0"/>
</table>
</file>

<file path=xl/tables/table9.xml><?xml version="1.0" encoding="utf-8"?>
<table xmlns="http://schemas.openxmlformats.org/spreadsheetml/2006/main" id="5" name="TypeOfSport" displayName="TypeOfSport" ref="C1:E13" totalsRowShown="0" headerRowDxfId="73">
  <sortState ref="D2:E14">
    <sortCondition ref="D1:D14"/>
  </sortState>
  <tableColumns count="3">
    <tableColumn id="3" name="Key">
      <calculatedColumnFormula>ROW()-1</calculatedColumnFormula>
    </tableColumn>
    <tableColumn id="1" name="Sport"/>
    <tableColumn id="2" name="Nam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printerSettings" Target="../printerSettings/printerSettings9.bin"/><Relationship Id="rId5" Type="http://schemas.openxmlformats.org/officeDocument/2006/relationships/table" Target="../tables/table30.xml"/><Relationship Id="rId4" Type="http://schemas.openxmlformats.org/officeDocument/2006/relationships/table" Target="../tables/table29.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5" Type="http://schemas.openxmlformats.org/officeDocument/2006/relationships/comments" Target="../comments3.xml"/><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6" Type="http://schemas.openxmlformats.org/officeDocument/2006/relationships/comments" Target="../comments4.xml"/><Relationship Id="rId5" Type="http://schemas.openxmlformats.org/officeDocument/2006/relationships/table" Target="../tables/table7.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8" Type="http://schemas.openxmlformats.org/officeDocument/2006/relationships/table" Target="../tables/table13.xml"/><Relationship Id="rId3" Type="http://schemas.openxmlformats.org/officeDocument/2006/relationships/table" Target="../tables/table8.xml"/><Relationship Id="rId7" Type="http://schemas.openxmlformats.org/officeDocument/2006/relationships/table" Target="../tables/table12.xml"/><Relationship Id="rId2" Type="http://schemas.openxmlformats.org/officeDocument/2006/relationships/vmlDrawing" Target="../drawings/vmlDrawing5.vml"/><Relationship Id="rId1" Type="http://schemas.openxmlformats.org/officeDocument/2006/relationships/printerSettings" Target="../printerSettings/printerSettings5.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 Id="rId9" Type="http://schemas.openxmlformats.org/officeDocument/2006/relationships/comments" Target="../comments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20.xml"/><Relationship Id="rId13" Type="http://schemas.openxmlformats.org/officeDocument/2006/relationships/table" Target="../tables/table25.xml"/><Relationship Id="rId3" Type="http://schemas.openxmlformats.org/officeDocument/2006/relationships/table" Target="../tables/table15.xml"/><Relationship Id="rId7" Type="http://schemas.openxmlformats.org/officeDocument/2006/relationships/table" Target="../tables/table19.xml"/><Relationship Id="rId12" Type="http://schemas.openxmlformats.org/officeDocument/2006/relationships/table" Target="../tables/table24.xml"/><Relationship Id="rId2" Type="http://schemas.openxmlformats.org/officeDocument/2006/relationships/table" Target="../tables/table14.xml"/><Relationship Id="rId1" Type="http://schemas.openxmlformats.org/officeDocument/2006/relationships/printerSettings" Target="../printerSettings/printerSettings7.bin"/><Relationship Id="rId6" Type="http://schemas.openxmlformats.org/officeDocument/2006/relationships/table" Target="../tables/table18.xml"/><Relationship Id="rId11" Type="http://schemas.openxmlformats.org/officeDocument/2006/relationships/table" Target="../tables/table23.xml"/><Relationship Id="rId5" Type="http://schemas.openxmlformats.org/officeDocument/2006/relationships/table" Target="../tables/table17.xml"/><Relationship Id="rId10" Type="http://schemas.openxmlformats.org/officeDocument/2006/relationships/table" Target="../tables/table22.xml"/><Relationship Id="rId4" Type="http://schemas.openxmlformats.org/officeDocument/2006/relationships/table" Target="../tables/table16.xml"/><Relationship Id="rId9" Type="http://schemas.openxmlformats.org/officeDocument/2006/relationships/table" Target="../tables/table2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table" Target="../tables/table26.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644"/>
  <sheetViews>
    <sheetView showRowColHeaders="0" topLeftCell="A1598" zoomScaleNormal="100" workbookViewId="0">
      <selection activeCell="J1624" sqref="J1624"/>
    </sheetView>
  </sheetViews>
  <sheetFormatPr defaultRowHeight="11.25" x14ac:dyDescent="0.2"/>
  <cols>
    <col min="1" max="1" width="10" style="81" customWidth="1"/>
    <col min="2" max="2" width="16.140625" style="81" customWidth="1"/>
    <col min="3" max="3" width="12.5703125" style="81" customWidth="1"/>
    <col min="4" max="5" width="2.7109375" style="81" hidden="1" customWidth="1"/>
    <col min="6" max="6" width="6.7109375" style="81" customWidth="1"/>
    <col min="7" max="7" width="4.85546875" style="81" hidden="1" customWidth="1"/>
    <col min="8" max="8" width="4.140625" style="81" hidden="1" customWidth="1"/>
    <col min="9" max="9" width="31.5703125" style="81" customWidth="1"/>
    <col min="10" max="10" width="10" style="81" customWidth="1"/>
    <col min="11" max="11" width="7.28515625" style="81" hidden="1" customWidth="1"/>
    <col min="12" max="12" width="2.85546875" style="81" hidden="1" customWidth="1"/>
    <col min="13" max="13" width="10" style="81" customWidth="1"/>
    <col min="14" max="14" width="10.42578125" style="81" hidden="1" customWidth="1"/>
    <col min="15" max="15" width="2.5703125" style="81" hidden="1" customWidth="1"/>
    <col min="16" max="16" width="12.28515625" style="81" customWidth="1"/>
    <col min="17" max="17" width="10.42578125" style="81" customWidth="1"/>
    <col min="18" max="18" width="10.28515625" style="81" hidden="1" customWidth="1"/>
    <col min="19" max="19" width="10.28515625" style="81" customWidth="1"/>
    <col min="20" max="20" width="17" style="81" customWidth="1"/>
    <col min="21" max="22" width="8" style="81" hidden="1" customWidth="1"/>
    <col min="23" max="23" width="2.42578125" style="81" hidden="1" customWidth="1"/>
    <col min="24" max="24" width="2.85546875" style="81" hidden="1" customWidth="1"/>
    <col min="25" max="25" width="8.140625" style="81" customWidth="1"/>
    <col min="26" max="28" width="13.7109375" style="81" hidden="1" customWidth="1"/>
    <col min="29" max="31" width="4.42578125" style="81" hidden="1" customWidth="1"/>
    <col min="32" max="33" width="5.140625" style="81" hidden="1" customWidth="1"/>
    <col min="34" max="34" width="9.140625" style="81" hidden="1" customWidth="1"/>
    <col min="35" max="35" width="10.5703125" style="81" bestFit="1" customWidth="1"/>
    <col min="36" max="36" width="29.140625" style="81" customWidth="1"/>
    <col min="37" max="16384" width="9.140625" style="81"/>
  </cols>
  <sheetData>
    <row r="1" spans="1:36" x14ac:dyDescent="0.2">
      <c r="A1" s="68" t="s">
        <v>3</v>
      </c>
      <c r="B1" s="104" t="s">
        <v>23</v>
      </c>
      <c r="C1" s="104" t="s">
        <v>20</v>
      </c>
      <c r="D1" s="104" t="s">
        <v>0</v>
      </c>
      <c r="E1" s="104" t="s">
        <v>132</v>
      </c>
      <c r="F1" s="105" t="s">
        <v>194</v>
      </c>
      <c r="G1" s="105" t="s">
        <v>125</v>
      </c>
      <c r="H1" s="105" t="s">
        <v>133</v>
      </c>
      <c r="I1" s="104" t="s">
        <v>97</v>
      </c>
      <c r="J1" s="106" t="s">
        <v>195</v>
      </c>
      <c r="K1" s="106" t="s">
        <v>1</v>
      </c>
      <c r="L1" s="106" t="s">
        <v>134</v>
      </c>
      <c r="M1" s="104" t="s">
        <v>196</v>
      </c>
      <c r="N1" s="104" t="s">
        <v>4</v>
      </c>
      <c r="O1" s="104" t="s">
        <v>135</v>
      </c>
      <c r="P1" s="104" t="s">
        <v>197</v>
      </c>
      <c r="Q1" s="104" t="s">
        <v>198</v>
      </c>
      <c r="R1" s="104" t="s">
        <v>193</v>
      </c>
      <c r="S1" s="104" t="s">
        <v>327</v>
      </c>
      <c r="T1" s="104" t="s">
        <v>24</v>
      </c>
      <c r="U1" s="104" t="s">
        <v>130</v>
      </c>
      <c r="V1" s="104" t="s">
        <v>131</v>
      </c>
      <c r="W1" s="71" t="s">
        <v>6</v>
      </c>
      <c r="X1" s="71" t="s">
        <v>2</v>
      </c>
      <c r="Y1" s="71" t="s">
        <v>199</v>
      </c>
      <c r="Z1" s="107" t="s">
        <v>158</v>
      </c>
      <c r="AA1" s="107" t="s">
        <v>159</v>
      </c>
      <c r="AB1" s="107" t="s">
        <v>160</v>
      </c>
      <c r="AC1" s="74" t="s">
        <v>18</v>
      </c>
      <c r="AD1" s="107" t="s">
        <v>19</v>
      </c>
      <c r="AE1" s="74" t="s">
        <v>136</v>
      </c>
      <c r="AF1" s="74" t="s">
        <v>137</v>
      </c>
      <c r="AG1" s="74" t="s">
        <v>138</v>
      </c>
      <c r="AH1" s="74" t="s">
        <v>139</v>
      </c>
      <c r="AI1" s="151" t="s">
        <v>35</v>
      </c>
      <c r="AJ1" s="108" t="s">
        <v>5</v>
      </c>
    </row>
    <row r="2" spans="1:36" x14ac:dyDescent="0.2">
      <c r="A2" s="109" t="s">
        <v>330</v>
      </c>
      <c r="B2" s="81" t="s">
        <v>7</v>
      </c>
      <c r="C2" s="82" t="s">
        <v>91</v>
      </c>
      <c r="D2" s="82"/>
      <c r="E2" s="82"/>
      <c r="F2" s="83"/>
      <c r="G2" s="83"/>
      <c r="H2" s="83"/>
      <c r="I2" s="81" t="s">
        <v>331</v>
      </c>
      <c r="J2" s="110">
        <v>1.84</v>
      </c>
      <c r="K2" s="110"/>
      <c r="L2" s="110"/>
      <c r="M2" s="113">
        <v>34</v>
      </c>
      <c r="N2" s="113"/>
      <c r="O2" s="113"/>
      <c r="P2" s="109" t="s">
        <v>332</v>
      </c>
      <c r="Q2" s="109" t="s">
        <v>333</v>
      </c>
      <c r="R2" s="109" t="s">
        <v>334</v>
      </c>
      <c r="S2" s="114">
        <v>2.3538119E-2</v>
      </c>
      <c r="T2" s="111" t="s">
        <v>372</v>
      </c>
      <c r="U2" s="158">
        <v>-1</v>
      </c>
      <c r="V2" s="111"/>
      <c r="W2" s="112">
        <f>IF(BetTable[Sport]="","",BetTable[Stake]+BetTable[S2]+BetTable[S3])</f>
        <v>34</v>
      </c>
      <c r="X2" s="113">
        <f>IF(BetTable[Odds]="","",(BetTable[WBA1-Commission])-BetTable[TS])</f>
        <v>28.560000000000002</v>
      </c>
      <c r="Y2" s="150">
        <f>IF(BetTable[Outcome]="","",BetTable[WBA1]+BetTable[WBA2]+BetTable[WBA3]-BetTable[TS])</f>
        <v>28.560000000000002</v>
      </c>
      <c r="Z2" s="113">
        <f>(((BetTable[Odds]-1)*BetTable[Stake])*(1-(BetTable[Comm %]))+BetTable[Stake])</f>
        <v>62.56</v>
      </c>
      <c r="AA2" s="113">
        <f>(((BetTable[O2]-1)*BetTable[S2])*(1-(BetTable[C% 2]))+BetTable[S2])</f>
        <v>0</v>
      </c>
      <c r="AB2" s="113">
        <f>(((BetTable[O3]-1)*BetTable[S3])*(1-(BetTable[C% 3]))+BetTable[S3])</f>
        <v>0</v>
      </c>
      <c r="AC2" s="114">
        <f>IFERROR(IF(BetTable[Sport]="","",BetTable[R1]/BetTable[TS]),"")</f>
        <v>0.84000000000000008</v>
      </c>
      <c r="AD2" s="114" t="str">
        <f>IF(BetTable[O2]="","",#REF!/BetTable[TS])</f>
        <v/>
      </c>
      <c r="AE2" s="114" t="str">
        <f>IFERROR(IF(BetTable[Sport]="","",#REF!/BetTable[TS]),"")</f>
        <v/>
      </c>
      <c r="AF2" s="113">
        <f>IF(BetTable[Outcome]="Win",BetTable[WBA1-Commission],IF(BetTable[Outcome]="Win Half Stake",(BetTable[Stake]/2)+BetTable[WBA1-Commission]/2,IF(BetTable[Outcome]="Lose Half Stake",BetTable[Stake]/2,IF(BetTable[Outcome]="Lose",0,IF(BetTable[Outcome]="Void",BetTable[Stake],)))))</f>
        <v>62.56</v>
      </c>
      <c r="AG2" s="113">
        <f>IF(BetTable[Outcome2]="Win",BetTable[WBA2-Commission],IF(BetTable[Outcome2]="Win Half Stake",(BetTable[S2]/2)+BetTable[WBA2-Commission]/2,IF(BetTable[Outcome2]="Lose Half Stake",BetTable[S2]/2,IF(BetTable[Outcome2]="Lose",0,IF(BetTable[Outcome2]="Void",BetTable[S2],)))))</f>
        <v>0</v>
      </c>
      <c r="AH2" s="113">
        <f>IF(BetTable[Outcome3]="Win",BetTable[WBA3-Commission],IF(BetTable[Outcome3]="Win Half Stake",(BetTable[S3]/2)+BetTable[WBA3-Commission]/2,IF(BetTable[Outcome3]="Lose Half Stake",BetTable[S3]/2,IF(BetTable[Outcome3]="Lose",0,IF(BetTable[Outcome3]="Void",BetTable[S3],)))))</f>
        <v>0</v>
      </c>
      <c r="AI2" s="150">
        <f>IF(BetTable[Outcome]="",AI1,BetTable[Result]+AI1)</f>
        <v>28.560000000000002</v>
      </c>
    </row>
    <row r="3" spans="1:36" x14ac:dyDescent="0.2">
      <c r="A3" s="159">
        <v>181024</v>
      </c>
      <c r="B3" s="160" t="s">
        <v>200</v>
      </c>
      <c r="C3" s="161" t="s">
        <v>91</v>
      </c>
      <c r="D3" s="161"/>
      <c r="E3" s="161"/>
      <c r="F3" s="162"/>
      <c r="G3" s="162"/>
      <c r="H3" s="162"/>
      <c r="I3" s="160" t="s">
        <v>335</v>
      </c>
      <c r="J3" s="163">
        <v>1.68</v>
      </c>
      <c r="K3" s="163"/>
      <c r="L3" s="163"/>
      <c r="M3" s="164">
        <v>48</v>
      </c>
      <c r="N3" s="164"/>
      <c r="O3" s="164"/>
      <c r="P3" s="159" t="s">
        <v>336</v>
      </c>
      <c r="Q3" s="169">
        <v>0.8125</v>
      </c>
      <c r="R3" s="159" t="s">
        <v>337</v>
      </c>
      <c r="S3" s="165">
        <v>2.7460025608307299E-2</v>
      </c>
      <c r="T3" s="166" t="s">
        <v>372</v>
      </c>
      <c r="U3" s="166"/>
      <c r="V3" s="166"/>
      <c r="W3" s="167">
        <f>IF(BetTable[Sport]="","",BetTable[Stake]+BetTable[S2]+BetTable[S3])</f>
        <v>48</v>
      </c>
      <c r="X3" s="164">
        <f>IF(BetTable[Odds]="","",(BetTable[WBA1-Commission])-BetTable[TS])</f>
        <v>32.64</v>
      </c>
      <c r="Y3" s="168">
        <f>IF(BetTable[Outcome]="","",BetTable[WBA1]+BetTable[WBA2]+BetTable[WBA3]-BetTable[TS])</f>
        <v>32.64</v>
      </c>
      <c r="Z3" s="164">
        <f>(((BetTable[Odds]-1)*BetTable[Stake])*(1-(BetTable[Comm %]))+BetTable[Stake])</f>
        <v>80.64</v>
      </c>
      <c r="AA3" s="164">
        <f>(((BetTable[O2]-1)*BetTable[S2])*(1-(BetTable[C% 2]))+BetTable[S2])</f>
        <v>0</v>
      </c>
      <c r="AB3" s="164">
        <f>(((BetTable[O3]-1)*BetTable[S3])*(1-(BetTable[C% 3]))+BetTable[S3])</f>
        <v>0</v>
      </c>
      <c r="AC3" s="165">
        <f>IFERROR(IF(BetTable[Sport]="","",BetTable[R1]/BetTable[TS]),"")</f>
        <v>0.68</v>
      </c>
      <c r="AD3" s="165" t="str">
        <f>IF(BetTable[O2]="","",#REF!/BetTable[TS])</f>
        <v/>
      </c>
      <c r="AE3" s="165" t="str">
        <f>IFERROR(IF(BetTable[Sport]="","",#REF!/BetTable[TS]),"")</f>
        <v/>
      </c>
      <c r="AF3" s="164">
        <f>IF(BetTable[Outcome]="Win",BetTable[WBA1-Commission],IF(BetTable[Outcome]="Win Half Stake",(BetTable[Stake]/2)+BetTable[WBA1-Commission]/2,IF(BetTable[Outcome]="Lose Half Stake",BetTable[Stake]/2,IF(BetTable[Outcome]="Lose",0,IF(BetTable[Outcome]="Void",BetTable[Stake],)))))</f>
        <v>80.64</v>
      </c>
      <c r="AG3" s="164">
        <f>IF(BetTable[Outcome2]="Win",BetTable[WBA2-Commission],IF(BetTable[Outcome2]="Win Half Stake",(BetTable[S2]/2)+BetTable[WBA2-Commission]/2,IF(BetTable[Outcome2]="Lose Half Stake",BetTable[S2]/2,IF(BetTable[Outcome2]="Lose",0,IF(BetTable[Outcome2]="Void",BetTable[S2],)))))</f>
        <v>0</v>
      </c>
      <c r="AH3" s="164">
        <f>IF(BetTable[Outcome3]="Win",BetTable[WBA3-Commission],IF(BetTable[Outcome3]="Win Half Stake",(BetTable[S3]/2)+BetTable[WBA3-Commission]/2,IF(BetTable[Outcome3]="Lose Half Stake",BetTable[S3]/2,IF(BetTable[Outcome3]="Lose",0,IF(BetTable[Outcome3]="Void",BetTable[S3],)))))</f>
        <v>0</v>
      </c>
      <c r="AI3" s="168">
        <f>IF(BetTable[Outcome]="",AI2,BetTable[Result]+AI2)</f>
        <v>61.2</v>
      </c>
      <c r="AJ3" s="160"/>
    </row>
    <row r="4" spans="1:36" x14ac:dyDescent="0.2">
      <c r="A4" s="159">
        <v>181024</v>
      </c>
      <c r="B4" s="160" t="s">
        <v>9</v>
      </c>
      <c r="C4" s="161" t="s">
        <v>184</v>
      </c>
      <c r="D4" s="161"/>
      <c r="E4" s="161"/>
      <c r="F4" s="162"/>
      <c r="G4" s="162"/>
      <c r="H4" s="162"/>
      <c r="I4" s="160" t="s">
        <v>338</v>
      </c>
      <c r="J4" s="163">
        <v>1.88</v>
      </c>
      <c r="K4" s="163"/>
      <c r="L4" s="163"/>
      <c r="M4" s="164">
        <v>26</v>
      </c>
      <c r="N4" s="164"/>
      <c r="O4" s="164"/>
      <c r="P4" s="159">
        <v>1</v>
      </c>
      <c r="Q4" s="169">
        <v>0.79166666666666663</v>
      </c>
      <c r="R4" s="159" t="s">
        <v>339</v>
      </c>
      <c r="S4" s="165">
        <v>3.1583173598404402E-2</v>
      </c>
      <c r="T4" s="166" t="s">
        <v>372</v>
      </c>
      <c r="U4" s="166"/>
      <c r="V4" s="166"/>
      <c r="W4" s="167">
        <f>IF(BetTable[Sport]="","",BetTable[Stake]+BetTable[S2]+BetTable[S3])</f>
        <v>26</v>
      </c>
      <c r="X4" s="164">
        <f>IF(BetTable[Odds]="","",(BetTable[WBA1-Commission])-BetTable[TS])</f>
        <v>22.879999999999995</v>
      </c>
      <c r="Y4" s="168">
        <f>IF(BetTable[Outcome]="","",BetTable[WBA1]+BetTable[WBA2]+BetTable[WBA3]-BetTable[TS])</f>
        <v>22.879999999999995</v>
      </c>
      <c r="Z4" s="164">
        <f>(((BetTable[Odds]-1)*BetTable[Stake])*(1-(BetTable[Comm %]))+BetTable[Stake])</f>
        <v>48.879999999999995</v>
      </c>
      <c r="AA4" s="164">
        <f>(((BetTable[O2]-1)*BetTable[S2])*(1-(BetTable[C% 2]))+BetTable[S2])</f>
        <v>0</v>
      </c>
      <c r="AB4" s="164">
        <f>(((BetTable[O3]-1)*BetTable[S3])*(1-(BetTable[C% 3]))+BetTable[S3])</f>
        <v>0</v>
      </c>
      <c r="AC4" s="165">
        <f>IFERROR(IF(BetTable[Sport]="","",BetTable[R1]/BetTable[TS]),"")</f>
        <v>0.87999999999999978</v>
      </c>
      <c r="AD4" s="165" t="str">
        <f>IF(BetTable[O2]="","",#REF!/BetTable[TS])</f>
        <v/>
      </c>
      <c r="AE4" s="165" t="str">
        <f>IFERROR(IF(BetTable[Sport]="","",#REF!/BetTable[TS]),"")</f>
        <v/>
      </c>
      <c r="AF4" s="164">
        <f>IF(BetTable[Outcome]="Win",BetTable[WBA1-Commission],IF(BetTable[Outcome]="Win Half Stake",(BetTable[Stake]/2)+BetTable[WBA1-Commission]/2,IF(BetTable[Outcome]="Lose Half Stake",BetTable[Stake]/2,IF(BetTable[Outcome]="Lose",0,IF(BetTable[Outcome]="Void",BetTable[Stake],)))))</f>
        <v>48.879999999999995</v>
      </c>
      <c r="AG4" s="164">
        <f>IF(BetTable[Outcome2]="Win",BetTable[WBA2-Commission],IF(BetTable[Outcome2]="Win Half Stake",(BetTable[S2]/2)+BetTable[WBA2-Commission]/2,IF(BetTable[Outcome2]="Lose Half Stake",BetTable[S2]/2,IF(BetTable[Outcome2]="Lose",0,IF(BetTable[Outcome2]="Void",BetTable[S2],)))))</f>
        <v>0</v>
      </c>
      <c r="AH4" s="164">
        <f>IF(BetTable[Outcome3]="Win",BetTable[WBA3-Commission],IF(BetTable[Outcome3]="Win Half Stake",(BetTable[S3]/2)+BetTable[WBA3-Commission]/2,IF(BetTable[Outcome3]="Lose Half Stake",BetTable[S3]/2,IF(BetTable[Outcome3]="Lose",0,IF(BetTable[Outcome3]="Void",BetTable[S3],)))))</f>
        <v>0</v>
      </c>
      <c r="AI4" s="168">
        <f>IF(BetTable[Outcome]="",AI3,BetTable[Result]+AI3)</f>
        <v>84.08</v>
      </c>
      <c r="AJ4" s="160"/>
    </row>
    <row r="5" spans="1:36" x14ac:dyDescent="0.2">
      <c r="A5" s="159">
        <v>181024</v>
      </c>
      <c r="B5" s="160" t="s">
        <v>9</v>
      </c>
      <c r="C5" s="161" t="s">
        <v>184</v>
      </c>
      <c r="D5" s="161"/>
      <c r="E5" s="161"/>
      <c r="F5" s="162"/>
      <c r="G5" s="162"/>
      <c r="H5" s="162"/>
      <c r="I5" s="160" t="s">
        <v>340</v>
      </c>
      <c r="J5" s="163">
        <v>2.0499999999999998</v>
      </c>
      <c r="K5" s="163"/>
      <c r="L5" s="163"/>
      <c r="M5" s="164">
        <v>18</v>
      </c>
      <c r="N5" s="164"/>
      <c r="O5" s="164"/>
      <c r="P5" s="159">
        <v>1</v>
      </c>
      <c r="Q5" s="169">
        <v>0.79166666666666663</v>
      </c>
      <c r="R5" s="159" t="s">
        <v>341</v>
      </c>
      <c r="S5" s="165">
        <v>1.61479254864061E-2</v>
      </c>
      <c r="T5" s="166" t="s">
        <v>372</v>
      </c>
      <c r="U5" s="166"/>
      <c r="V5" s="166"/>
      <c r="W5" s="167">
        <f>IF(BetTable[Sport]="","",BetTable[Stake]+BetTable[S2]+BetTable[S3])</f>
        <v>18</v>
      </c>
      <c r="X5" s="164">
        <f>IF(BetTable[Odds]="","",(BetTable[WBA1-Commission])-BetTable[TS])</f>
        <v>18.899999999999999</v>
      </c>
      <c r="Y5" s="168">
        <f>IF(BetTable[Outcome]="","",BetTable[WBA1]+BetTable[WBA2]+BetTable[WBA3]-BetTable[TS])</f>
        <v>18.899999999999999</v>
      </c>
      <c r="Z5" s="164">
        <f>(((BetTable[Odds]-1)*BetTable[Stake])*(1-(BetTable[Comm %]))+BetTable[Stake])</f>
        <v>36.9</v>
      </c>
      <c r="AA5" s="164">
        <f>(((BetTable[O2]-1)*BetTable[S2])*(1-(BetTable[C% 2]))+BetTable[S2])</f>
        <v>0</v>
      </c>
      <c r="AB5" s="164">
        <f>(((BetTable[O3]-1)*BetTable[S3])*(1-(BetTable[C% 3]))+BetTable[S3])</f>
        <v>0</v>
      </c>
      <c r="AC5" s="165">
        <f>IFERROR(IF(BetTable[Sport]="","",BetTable[R1]/BetTable[TS]),"")</f>
        <v>1.0499999999999998</v>
      </c>
      <c r="AD5" s="165" t="str">
        <f>IF(BetTable[O2]="","",#REF!/BetTable[TS])</f>
        <v/>
      </c>
      <c r="AE5" s="165" t="str">
        <f>IFERROR(IF(BetTable[Sport]="","",#REF!/BetTable[TS]),"")</f>
        <v/>
      </c>
      <c r="AF5" s="164">
        <f>IF(BetTable[Outcome]="Win",BetTable[WBA1-Commission],IF(BetTable[Outcome]="Win Half Stake",(BetTable[Stake]/2)+BetTable[WBA1-Commission]/2,IF(BetTable[Outcome]="Lose Half Stake",BetTable[Stake]/2,IF(BetTable[Outcome]="Lose",0,IF(BetTable[Outcome]="Void",BetTable[Stake],)))))</f>
        <v>36.9</v>
      </c>
      <c r="AG5" s="164">
        <f>IF(BetTable[Outcome2]="Win",BetTable[WBA2-Commission],IF(BetTable[Outcome2]="Win Half Stake",(BetTable[S2]/2)+BetTable[WBA2-Commission]/2,IF(BetTable[Outcome2]="Lose Half Stake",BetTable[S2]/2,IF(BetTable[Outcome2]="Lose",0,IF(BetTable[Outcome2]="Void",BetTable[S2],)))))</f>
        <v>0</v>
      </c>
      <c r="AH5" s="164">
        <f>IF(BetTable[Outcome3]="Win",BetTable[WBA3-Commission],IF(BetTable[Outcome3]="Win Half Stake",(BetTable[S3]/2)+BetTable[WBA3-Commission]/2,IF(BetTable[Outcome3]="Lose Half Stake",BetTable[S3]/2,IF(BetTable[Outcome3]="Lose",0,IF(BetTable[Outcome3]="Void",BetTable[S3],)))))</f>
        <v>0</v>
      </c>
      <c r="AI5" s="168">
        <f>IF(BetTable[Outcome]="",AI4,BetTable[Result]+AI4)</f>
        <v>102.97999999999999</v>
      </c>
      <c r="AJ5" s="160"/>
    </row>
    <row r="6" spans="1:36" x14ac:dyDescent="0.2">
      <c r="A6" s="159">
        <v>181024</v>
      </c>
      <c r="B6" s="160" t="s">
        <v>200</v>
      </c>
      <c r="C6" s="161" t="s">
        <v>91</v>
      </c>
      <c r="D6" s="161"/>
      <c r="E6" s="161"/>
      <c r="F6" s="162"/>
      <c r="G6" s="162"/>
      <c r="H6" s="162"/>
      <c r="I6" s="160" t="s">
        <v>342</v>
      </c>
      <c r="J6" s="163">
        <v>1.9</v>
      </c>
      <c r="K6" s="163"/>
      <c r="L6" s="163"/>
      <c r="M6" s="164">
        <v>30</v>
      </c>
      <c r="N6" s="164"/>
      <c r="O6" s="164"/>
      <c r="P6" s="159" t="s">
        <v>343</v>
      </c>
      <c r="Q6" s="169">
        <v>0.8125</v>
      </c>
      <c r="R6" s="159" t="s">
        <v>344</v>
      </c>
      <c r="S6" s="165">
        <v>3.2851626999038798E-2</v>
      </c>
      <c r="T6" s="166" t="s">
        <v>382</v>
      </c>
      <c r="U6" s="166"/>
      <c r="V6" s="166"/>
      <c r="W6" s="167">
        <f>IF(BetTable[Sport]="","",BetTable[Stake]+BetTable[S2]+BetTable[S3])</f>
        <v>30</v>
      </c>
      <c r="X6" s="164">
        <f>IF(BetTable[Odds]="","",(BetTable[WBA1-Commission])-BetTable[TS])</f>
        <v>27</v>
      </c>
      <c r="Y6" s="168">
        <f>IF(BetTable[Outcome]="","",BetTable[WBA1]+BetTable[WBA2]+BetTable[WBA3]-BetTable[TS])</f>
        <v>-30</v>
      </c>
      <c r="Z6" s="164">
        <f>(((BetTable[Odds]-1)*BetTable[Stake])*(1-(BetTable[Comm %]))+BetTable[Stake])</f>
        <v>57</v>
      </c>
      <c r="AA6" s="164">
        <f>(((BetTable[O2]-1)*BetTable[S2])*(1-(BetTable[C% 2]))+BetTable[S2])</f>
        <v>0</v>
      </c>
      <c r="AB6" s="164">
        <f>(((BetTable[O3]-1)*BetTable[S3])*(1-(BetTable[C% 3]))+BetTable[S3])</f>
        <v>0</v>
      </c>
      <c r="AC6" s="165">
        <f>IFERROR(IF(BetTable[Sport]="","",BetTable[R1]/BetTable[TS]),"")</f>
        <v>0.9</v>
      </c>
      <c r="AD6" s="165" t="str">
        <f>IF(BetTable[O2]="","",#REF!/BetTable[TS])</f>
        <v/>
      </c>
      <c r="AE6" s="165" t="str">
        <f>IFERROR(IF(BetTable[Sport]="","",#REF!/BetTable[TS]),"")</f>
        <v/>
      </c>
      <c r="AF6" s="164">
        <f>IF(BetTable[Outcome]="Win",BetTable[WBA1-Commission],IF(BetTable[Outcome]="Win Half Stake",(BetTable[Stake]/2)+BetTable[WBA1-Commission]/2,IF(BetTable[Outcome]="Lose Half Stake",BetTable[Stake]/2,IF(BetTable[Outcome]="Lose",0,IF(BetTable[Outcome]="Void",BetTable[Stake],)))))</f>
        <v>0</v>
      </c>
      <c r="AG6" s="164">
        <f>IF(BetTable[Outcome2]="Win",BetTable[WBA2-Commission],IF(BetTable[Outcome2]="Win Half Stake",(BetTable[S2]/2)+BetTable[WBA2-Commission]/2,IF(BetTable[Outcome2]="Lose Half Stake",BetTable[S2]/2,IF(BetTable[Outcome2]="Lose",0,IF(BetTable[Outcome2]="Void",BetTable[S2],)))))</f>
        <v>0</v>
      </c>
      <c r="AH6" s="164">
        <f>IF(BetTable[Outcome3]="Win",BetTable[WBA3-Commission],IF(BetTable[Outcome3]="Win Half Stake",(BetTable[S3]/2)+BetTable[WBA3-Commission]/2,IF(BetTable[Outcome3]="Lose Half Stake",BetTable[S3]/2,IF(BetTable[Outcome3]="Lose",0,IF(BetTable[Outcome3]="Void",BetTable[S3],)))))</f>
        <v>0</v>
      </c>
      <c r="AI6" s="168">
        <f>IF(BetTable[Outcome]="",AI5,BetTable[Result]+AI5)</f>
        <v>72.97999999999999</v>
      </c>
      <c r="AJ6" s="160"/>
    </row>
    <row r="7" spans="1:36" x14ac:dyDescent="0.2">
      <c r="A7" s="159">
        <v>181024</v>
      </c>
      <c r="B7" s="160" t="s">
        <v>8</v>
      </c>
      <c r="C7" s="161" t="s">
        <v>91</v>
      </c>
      <c r="D7" s="161"/>
      <c r="E7" s="161"/>
      <c r="F7" s="162"/>
      <c r="G7" s="162"/>
      <c r="H7" s="162"/>
      <c r="I7" s="160" t="s">
        <v>345</v>
      </c>
      <c r="J7" s="163">
        <v>1.6</v>
      </c>
      <c r="K7" s="163"/>
      <c r="L7" s="163"/>
      <c r="M7" s="164">
        <v>29</v>
      </c>
      <c r="N7" s="164"/>
      <c r="O7" s="164"/>
      <c r="P7" s="159">
        <v>1</v>
      </c>
      <c r="Q7" s="169">
        <v>0.25</v>
      </c>
      <c r="R7" s="159" t="s">
        <v>346</v>
      </c>
      <c r="S7" s="165">
        <v>1.4744503506955E-2</v>
      </c>
      <c r="T7" s="166" t="s">
        <v>372</v>
      </c>
      <c r="U7" s="166"/>
      <c r="V7" s="166"/>
      <c r="W7" s="167">
        <f>IF(BetTable[Sport]="","",BetTable[Stake]+BetTable[S2]+BetTable[S3])</f>
        <v>29</v>
      </c>
      <c r="X7" s="164">
        <f>IF(BetTable[Odds]="","",(BetTable[WBA1-Commission])-BetTable[TS])</f>
        <v>17.400000000000006</v>
      </c>
      <c r="Y7" s="168">
        <f>IF(BetTable[Outcome]="","",BetTable[WBA1]+BetTable[WBA2]+BetTable[WBA3]-BetTable[TS])</f>
        <v>17.400000000000006</v>
      </c>
      <c r="Z7" s="164">
        <f>(((BetTable[Odds]-1)*BetTable[Stake])*(1-(BetTable[Comm %]))+BetTable[Stake])</f>
        <v>46.400000000000006</v>
      </c>
      <c r="AA7" s="164">
        <f>(((BetTable[O2]-1)*BetTable[S2])*(1-(BetTable[C% 2]))+BetTable[S2])</f>
        <v>0</v>
      </c>
      <c r="AB7" s="164">
        <f>(((BetTable[O3]-1)*BetTable[S3])*(1-(BetTable[C% 3]))+BetTable[S3])</f>
        <v>0</v>
      </c>
      <c r="AC7" s="165">
        <f>IFERROR(IF(BetTable[Sport]="","",BetTable[R1]/BetTable[TS]),"")</f>
        <v>0.6000000000000002</v>
      </c>
      <c r="AD7" s="165" t="str">
        <f>IF(BetTable[O2]="","",#REF!/BetTable[TS])</f>
        <v/>
      </c>
      <c r="AE7" s="165" t="str">
        <f>IFERROR(IF(BetTable[Sport]="","",#REF!/BetTable[TS]),"")</f>
        <v/>
      </c>
      <c r="AF7" s="164">
        <f>IF(BetTable[Outcome]="Win",BetTable[WBA1-Commission],IF(BetTable[Outcome]="Win Half Stake",(BetTable[Stake]/2)+BetTable[WBA1-Commission]/2,IF(BetTable[Outcome]="Lose Half Stake",BetTable[Stake]/2,IF(BetTable[Outcome]="Lose",0,IF(BetTable[Outcome]="Void",BetTable[Stake],)))))</f>
        <v>46.400000000000006</v>
      </c>
      <c r="AG7" s="164">
        <f>IF(BetTable[Outcome2]="Win",BetTable[WBA2-Commission],IF(BetTable[Outcome2]="Win Half Stake",(BetTable[S2]/2)+BetTable[WBA2-Commission]/2,IF(BetTable[Outcome2]="Lose Half Stake",BetTable[S2]/2,IF(BetTable[Outcome2]="Lose",0,IF(BetTable[Outcome2]="Void",BetTable[S2],)))))</f>
        <v>0</v>
      </c>
      <c r="AH7" s="164">
        <f>IF(BetTable[Outcome3]="Win",BetTable[WBA3-Commission],IF(BetTable[Outcome3]="Win Half Stake",(BetTable[S3]/2)+BetTable[WBA3-Commission]/2,IF(BetTable[Outcome3]="Lose Half Stake",BetTable[S3]/2,IF(BetTable[Outcome3]="Lose",0,IF(BetTable[Outcome3]="Void",BetTable[S3],)))))</f>
        <v>0</v>
      </c>
      <c r="AI7" s="168">
        <f>IF(BetTable[Outcome]="",AI6,BetTable[Result]+AI6)</f>
        <v>90.38</v>
      </c>
      <c r="AJ7" s="160"/>
    </row>
    <row r="8" spans="1:36" x14ac:dyDescent="0.2">
      <c r="A8" s="159">
        <v>181024</v>
      </c>
      <c r="B8" s="160" t="s">
        <v>200</v>
      </c>
      <c r="C8" s="161" t="s">
        <v>91</v>
      </c>
      <c r="D8" s="161"/>
      <c r="E8" s="161"/>
      <c r="F8" s="162"/>
      <c r="G8" s="162"/>
      <c r="H8" s="162"/>
      <c r="I8" s="160" t="s">
        <v>347</v>
      </c>
      <c r="J8" s="163">
        <v>2.0699999999999998</v>
      </c>
      <c r="K8" s="163"/>
      <c r="L8" s="163"/>
      <c r="M8" s="164">
        <v>21</v>
      </c>
      <c r="N8" s="164"/>
      <c r="O8" s="164"/>
      <c r="P8" s="159" t="s">
        <v>348</v>
      </c>
      <c r="Q8" s="169">
        <v>0.125</v>
      </c>
      <c r="R8" s="159" t="s">
        <v>349</v>
      </c>
      <c r="S8" s="165">
        <v>1.8488511742511701E-2</v>
      </c>
      <c r="T8" s="166" t="s">
        <v>383</v>
      </c>
      <c r="U8" s="166"/>
      <c r="V8" s="166"/>
      <c r="W8" s="167">
        <f>IF(BetTable[Sport]="","",BetTable[Stake]+BetTable[S2]+BetTable[S3])</f>
        <v>21</v>
      </c>
      <c r="X8" s="164">
        <f>IF(BetTable[Odds]="","",(BetTable[WBA1-Commission])-BetTable[TS])</f>
        <v>22.47</v>
      </c>
      <c r="Y8" s="168">
        <f>IF(BetTable[Outcome]="","",BetTable[WBA1]+BetTable[WBA2]+BetTable[WBA3]-BetTable[TS])</f>
        <v>0</v>
      </c>
      <c r="Z8" s="164">
        <f>(((BetTable[Odds]-1)*BetTable[Stake])*(1-(BetTable[Comm %]))+BetTable[Stake])</f>
        <v>43.47</v>
      </c>
      <c r="AA8" s="164">
        <f>(((BetTable[O2]-1)*BetTable[S2])*(1-(BetTable[C% 2]))+BetTable[S2])</f>
        <v>0</v>
      </c>
      <c r="AB8" s="164">
        <f>(((BetTable[O3]-1)*BetTable[S3])*(1-(BetTable[C% 3]))+BetTable[S3])</f>
        <v>0</v>
      </c>
      <c r="AC8" s="165">
        <f>IFERROR(IF(BetTable[Sport]="","",BetTable[R1]/BetTable[TS]),"")</f>
        <v>1.0699999999999998</v>
      </c>
      <c r="AD8" s="165" t="str">
        <f>IF(BetTable[O2]="","",#REF!/BetTable[TS])</f>
        <v/>
      </c>
      <c r="AE8" s="165" t="str">
        <f>IFERROR(IF(BetTable[Sport]="","",#REF!/BetTable[TS]),"")</f>
        <v/>
      </c>
      <c r="AF8" s="164">
        <f>IF(BetTable[Outcome]="Win",BetTable[WBA1-Commission],IF(BetTable[Outcome]="Win Half Stake",(BetTable[Stake]/2)+BetTable[WBA1-Commission]/2,IF(BetTable[Outcome]="Lose Half Stake",BetTable[Stake]/2,IF(BetTable[Outcome]="Lose",0,IF(BetTable[Outcome]="Void",BetTable[Stake],)))))</f>
        <v>21</v>
      </c>
      <c r="AG8" s="164">
        <f>IF(BetTable[Outcome2]="Win",BetTable[WBA2-Commission],IF(BetTable[Outcome2]="Win Half Stake",(BetTable[S2]/2)+BetTable[WBA2-Commission]/2,IF(BetTable[Outcome2]="Lose Half Stake",BetTable[S2]/2,IF(BetTable[Outcome2]="Lose",0,IF(BetTable[Outcome2]="Void",BetTable[S2],)))))</f>
        <v>0</v>
      </c>
      <c r="AH8" s="164">
        <f>IF(BetTable[Outcome3]="Win",BetTable[WBA3-Commission],IF(BetTable[Outcome3]="Win Half Stake",(BetTable[S3]/2)+BetTable[WBA3-Commission]/2,IF(BetTable[Outcome3]="Lose Half Stake",BetTable[S3]/2,IF(BetTable[Outcome3]="Lose",0,IF(BetTable[Outcome3]="Void",BetTable[S3],)))))</f>
        <v>0</v>
      </c>
      <c r="AI8" s="168">
        <f>IF(BetTable[Outcome]="",AI7,BetTable[Result]+AI7)</f>
        <v>90.38</v>
      </c>
      <c r="AJ8" s="160"/>
    </row>
    <row r="9" spans="1:36" x14ac:dyDescent="0.2">
      <c r="A9" s="159">
        <v>181024</v>
      </c>
      <c r="B9" s="160" t="s">
        <v>200</v>
      </c>
      <c r="C9" s="161" t="s">
        <v>91</v>
      </c>
      <c r="D9" s="161"/>
      <c r="E9" s="161"/>
      <c r="F9" s="162"/>
      <c r="G9" s="162"/>
      <c r="H9" s="162"/>
      <c r="I9" s="160" t="s">
        <v>350</v>
      </c>
      <c r="J9" s="163">
        <v>2</v>
      </c>
      <c r="K9" s="163"/>
      <c r="L9" s="163"/>
      <c r="M9" s="164">
        <v>20</v>
      </c>
      <c r="N9" s="164"/>
      <c r="O9" s="164"/>
      <c r="P9" s="159" t="s">
        <v>351</v>
      </c>
      <c r="Q9" s="169">
        <v>0.78819444444444453</v>
      </c>
      <c r="R9" s="159" t="s">
        <v>352</v>
      </c>
      <c r="S9" s="165">
        <v>1.6263078308835902E-2</v>
      </c>
      <c r="T9" s="166" t="s">
        <v>382</v>
      </c>
      <c r="U9" s="166"/>
      <c r="V9" s="166"/>
      <c r="W9" s="167">
        <f>IF(BetTable[Sport]="","",BetTable[Stake]+BetTable[S2]+BetTable[S3])</f>
        <v>20</v>
      </c>
      <c r="X9" s="164">
        <f>IF(BetTable[Odds]="","",(BetTable[WBA1-Commission])-BetTable[TS])</f>
        <v>20</v>
      </c>
      <c r="Y9" s="168">
        <f>IF(BetTable[Outcome]="","",BetTable[WBA1]+BetTable[WBA2]+BetTable[WBA3]-BetTable[TS])</f>
        <v>-20</v>
      </c>
      <c r="Z9" s="164">
        <f>(((BetTable[Odds]-1)*BetTable[Stake])*(1-(BetTable[Comm %]))+BetTable[Stake])</f>
        <v>40</v>
      </c>
      <c r="AA9" s="164">
        <f>(((BetTable[O2]-1)*BetTable[S2])*(1-(BetTable[C% 2]))+BetTable[S2])</f>
        <v>0</v>
      </c>
      <c r="AB9" s="164">
        <f>(((BetTable[O3]-1)*BetTable[S3])*(1-(BetTable[C% 3]))+BetTable[S3])</f>
        <v>0</v>
      </c>
      <c r="AC9" s="165">
        <f>IFERROR(IF(BetTable[Sport]="","",BetTable[R1]/BetTable[TS]),"")</f>
        <v>1</v>
      </c>
      <c r="AD9" s="165" t="str">
        <f>IF(BetTable[O2]="","",#REF!/BetTable[TS])</f>
        <v/>
      </c>
      <c r="AE9" s="165" t="str">
        <f>IFERROR(IF(BetTable[Sport]="","",#REF!/BetTable[TS]),"")</f>
        <v/>
      </c>
      <c r="AF9" s="164">
        <f>IF(BetTable[Outcome]="Win",BetTable[WBA1-Commission],IF(BetTable[Outcome]="Win Half Stake",(BetTable[Stake]/2)+BetTable[WBA1-Commission]/2,IF(BetTable[Outcome]="Lose Half Stake",BetTable[Stake]/2,IF(BetTable[Outcome]="Lose",0,IF(BetTable[Outcome]="Void",BetTable[Stake],)))))</f>
        <v>0</v>
      </c>
      <c r="AG9" s="164">
        <f>IF(BetTable[Outcome2]="Win",BetTable[WBA2-Commission],IF(BetTable[Outcome2]="Win Half Stake",(BetTable[S2]/2)+BetTable[WBA2-Commission]/2,IF(BetTable[Outcome2]="Lose Half Stake",BetTable[S2]/2,IF(BetTable[Outcome2]="Lose",0,IF(BetTable[Outcome2]="Void",BetTable[S2],)))))</f>
        <v>0</v>
      </c>
      <c r="AH9" s="164">
        <f>IF(BetTable[Outcome3]="Win",BetTable[WBA3-Commission],IF(BetTable[Outcome3]="Win Half Stake",(BetTable[S3]/2)+BetTable[WBA3-Commission]/2,IF(BetTable[Outcome3]="Lose Half Stake",BetTable[S3]/2,IF(BetTable[Outcome3]="Lose",0,IF(BetTable[Outcome3]="Void",BetTable[S3],)))))</f>
        <v>0</v>
      </c>
      <c r="AI9" s="168">
        <f>IF(BetTable[Outcome]="",AI8,BetTable[Result]+AI8)</f>
        <v>70.38</v>
      </c>
      <c r="AJ9" s="160"/>
    </row>
    <row r="10" spans="1:36" x14ac:dyDescent="0.2">
      <c r="A10" s="159">
        <v>181024</v>
      </c>
      <c r="B10" s="160" t="s">
        <v>200</v>
      </c>
      <c r="C10" s="161" t="s">
        <v>91</v>
      </c>
      <c r="D10" s="161"/>
      <c r="E10" s="161"/>
      <c r="F10" s="162"/>
      <c r="G10" s="162"/>
      <c r="H10" s="162"/>
      <c r="I10" s="160" t="s">
        <v>353</v>
      </c>
      <c r="J10" s="163">
        <v>2.02</v>
      </c>
      <c r="K10" s="163"/>
      <c r="L10" s="163"/>
      <c r="M10" s="164">
        <v>25</v>
      </c>
      <c r="N10" s="164"/>
      <c r="O10" s="164"/>
      <c r="P10" s="159" t="s">
        <v>354</v>
      </c>
      <c r="Q10" s="169">
        <v>0.875</v>
      </c>
      <c r="R10" s="159" t="s">
        <v>355</v>
      </c>
      <c r="S10" s="165">
        <v>2.1506956891132498E-2</v>
      </c>
      <c r="T10" s="166" t="s">
        <v>372</v>
      </c>
      <c r="U10" s="166"/>
      <c r="V10" s="166"/>
      <c r="W10" s="167">
        <f>IF(BetTable[Sport]="","",BetTable[Stake]+BetTable[S2]+BetTable[S3])</f>
        <v>25</v>
      </c>
      <c r="X10" s="164">
        <f>IF(BetTable[Odds]="","",(BetTable[WBA1-Commission])-BetTable[TS])</f>
        <v>25.5</v>
      </c>
      <c r="Y10" s="168">
        <f>IF(BetTable[Outcome]="","",BetTable[WBA1]+BetTable[WBA2]+BetTable[WBA3]-BetTable[TS])</f>
        <v>25.5</v>
      </c>
      <c r="Z10" s="164">
        <f>(((BetTable[Odds]-1)*BetTable[Stake])*(1-(BetTable[Comm %]))+BetTable[Stake])</f>
        <v>50.5</v>
      </c>
      <c r="AA10" s="164">
        <f>(((BetTable[O2]-1)*BetTable[S2])*(1-(BetTable[C% 2]))+BetTable[S2])</f>
        <v>0</v>
      </c>
      <c r="AB10" s="164">
        <f>(((BetTable[O3]-1)*BetTable[S3])*(1-(BetTable[C% 3]))+BetTable[S3])</f>
        <v>0</v>
      </c>
      <c r="AC10" s="165">
        <f>IFERROR(IF(BetTable[Sport]="","",BetTable[R1]/BetTable[TS]),"")</f>
        <v>1.02</v>
      </c>
      <c r="AD10" s="165" t="str">
        <f>IF(BetTable[O2]="","",#REF!/BetTable[TS])</f>
        <v/>
      </c>
      <c r="AE10" s="165" t="str">
        <f>IFERROR(IF(BetTable[Sport]="","",#REF!/BetTable[TS]),"")</f>
        <v/>
      </c>
      <c r="AF10" s="164">
        <f>IF(BetTable[Outcome]="Win",BetTable[WBA1-Commission],IF(BetTable[Outcome]="Win Half Stake",(BetTable[Stake]/2)+BetTable[WBA1-Commission]/2,IF(BetTable[Outcome]="Lose Half Stake",BetTable[Stake]/2,IF(BetTable[Outcome]="Lose",0,IF(BetTable[Outcome]="Void",BetTable[Stake],)))))</f>
        <v>50.5</v>
      </c>
      <c r="AG10" s="164">
        <f>IF(BetTable[Outcome2]="Win",BetTable[WBA2-Commission],IF(BetTable[Outcome2]="Win Half Stake",(BetTable[S2]/2)+BetTable[WBA2-Commission]/2,IF(BetTable[Outcome2]="Lose Half Stake",BetTable[S2]/2,IF(BetTable[Outcome2]="Lose",0,IF(BetTable[Outcome2]="Void",BetTable[S2],)))))</f>
        <v>0</v>
      </c>
      <c r="AH10" s="164">
        <f>IF(BetTable[Outcome3]="Win",BetTable[WBA3-Commission],IF(BetTable[Outcome3]="Win Half Stake",(BetTable[S3]/2)+BetTable[WBA3-Commission]/2,IF(BetTable[Outcome3]="Lose Half Stake",BetTable[S3]/2,IF(BetTable[Outcome3]="Lose",0,IF(BetTable[Outcome3]="Void",BetTable[S3],)))))</f>
        <v>0</v>
      </c>
      <c r="AI10" s="168">
        <f>IF(BetTable[Outcome]="",AI9,BetTable[Result]+AI9)</f>
        <v>95.88</v>
      </c>
      <c r="AJ10" s="160"/>
    </row>
    <row r="11" spans="1:36" x14ac:dyDescent="0.2">
      <c r="A11" s="159">
        <v>181024</v>
      </c>
      <c r="B11" s="160" t="s">
        <v>200</v>
      </c>
      <c r="C11" s="161" t="s">
        <v>91</v>
      </c>
      <c r="D11" s="161"/>
      <c r="E11" s="161"/>
      <c r="F11" s="162"/>
      <c r="G11" s="162"/>
      <c r="H11" s="162"/>
      <c r="I11" s="160" t="s">
        <v>356</v>
      </c>
      <c r="J11" s="163">
        <v>2.25</v>
      </c>
      <c r="K11" s="163"/>
      <c r="L11" s="163"/>
      <c r="M11" s="164">
        <v>21</v>
      </c>
      <c r="N11" s="164"/>
      <c r="O11" s="164"/>
      <c r="P11" s="159" t="s">
        <v>357</v>
      </c>
      <c r="Q11" s="169">
        <v>2.0833333333333332E-2</v>
      </c>
      <c r="R11" s="159" t="s">
        <v>358</v>
      </c>
      <c r="S11" s="165">
        <v>2.1925396877527901E-2</v>
      </c>
      <c r="T11" s="166" t="s">
        <v>383</v>
      </c>
      <c r="U11" s="166"/>
      <c r="V11" s="166"/>
      <c r="W11" s="167">
        <f>IF(BetTable[Sport]="","",BetTable[Stake]+BetTable[S2]+BetTable[S3])</f>
        <v>21</v>
      </c>
      <c r="X11" s="164">
        <f>IF(BetTable[Odds]="","",(BetTable[WBA1-Commission])-BetTable[TS])</f>
        <v>26.25</v>
      </c>
      <c r="Y11" s="168">
        <f>IF(BetTable[Outcome]="","",BetTable[WBA1]+BetTable[WBA2]+BetTable[WBA3]-BetTable[TS])</f>
        <v>0</v>
      </c>
      <c r="Z11" s="164">
        <f>(((BetTable[Odds]-1)*BetTable[Stake])*(1-(BetTable[Comm %]))+BetTable[Stake])</f>
        <v>47.25</v>
      </c>
      <c r="AA11" s="164">
        <f>(((BetTable[O2]-1)*BetTable[S2])*(1-(BetTable[C% 2]))+BetTable[S2])</f>
        <v>0</v>
      </c>
      <c r="AB11" s="164">
        <f>(((BetTable[O3]-1)*BetTable[S3])*(1-(BetTable[C% 3]))+BetTable[S3])</f>
        <v>0</v>
      </c>
      <c r="AC11" s="165">
        <f>IFERROR(IF(BetTable[Sport]="","",BetTable[R1]/BetTable[TS]),"")</f>
        <v>1.25</v>
      </c>
      <c r="AD11" s="165" t="str">
        <f>IF(BetTable[O2]="","",#REF!/BetTable[TS])</f>
        <v/>
      </c>
      <c r="AE11" s="165" t="str">
        <f>IFERROR(IF(BetTable[Sport]="","",#REF!/BetTable[TS]),"")</f>
        <v/>
      </c>
      <c r="AF11" s="164">
        <f>IF(BetTable[Outcome]="Win",BetTable[WBA1-Commission],IF(BetTable[Outcome]="Win Half Stake",(BetTable[Stake]/2)+BetTable[WBA1-Commission]/2,IF(BetTable[Outcome]="Lose Half Stake",BetTable[Stake]/2,IF(BetTable[Outcome]="Lose",0,IF(BetTable[Outcome]="Void",BetTable[Stake],)))))</f>
        <v>21</v>
      </c>
      <c r="AG11" s="164">
        <f>IF(BetTable[Outcome2]="Win",BetTable[WBA2-Commission],IF(BetTable[Outcome2]="Win Half Stake",(BetTable[S2]/2)+BetTable[WBA2-Commission]/2,IF(BetTable[Outcome2]="Lose Half Stake",BetTable[S2]/2,IF(BetTable[Outcome2]="Lose",0,IF(BetTable[Outcome2]="Void",BetTable[S2],)))))</f>
        <v>0</v>
      </c>
      <c r="AH11" s="164">
        <f>IF(BetTable[Outcome3]="Win",BetTable[WBA3-Commission],IF(BetTable[Outcome3]="Win Half Stake",(BetTable[S3]/2)+BetTable[WBA3-Commission]/2,IF(BetTable[Outcome3]="Lose Half Stake",BetTable[S3]/2,IF(BetTable[Outcome3]="Lose",0,IF(BetTable[Outcome3]="Void",BetTable[S3],)))))</f>
        <v>0</v>
      </c>
      <c r="AI11" s="168">
        <f>IF(BetTable[Outcome]="",AI10,BetTable[Result]+AI10)</f>
        <v>95.88</v>
      </c>
      <c r="AJ11" s="160"/>
    </row>
    <row r="12" spans="1:36" x14ac:dyDescent="0.2">
      <c r="A12" s="159">
        <v>181024</v>
      </c>
      <c r="B12" s="160" t="s">
        <v>200</v>
      </c>
      <c r="C12" s="161" t="s">
        <v>91</v>
      </c>
      <c r="D12" s="161"/>
      <c r="E12" s="161"/>
      <c r="F12" s="162"/>
      <c r="G12" s="162"/>
      <c r="H12" s="162"/>
      <c r="I12" s="160" t="s">
        <v>359</v>
      </c>
      <c r="J12" s="163">
        <v>1.66</v>
      </c>
      <c r="K12" s="163"/>
      <c r="L12" s="163"/>
      <c r="M12" s="164">
        <v>55</v>
      </c>
      <c r="N12" s="164"/>
      <c r="O12" s="164"/>
      <c r="P12" s="159" t="s">
        <v>360</v>
      </c>
      <c r="Q12" s="169">
        <v>0.875</v>
      </c>
      <c r="R12" s="159" t="s">
        <v>361</v>
      </c>
      <c r="S12" s="165">
        <v>3.0347498978656798E-2</v>
      </c>
      <c r="T12" s="166" t="s">
        <v>383</v>
      </c>
      <c r="U12" s="166"/>
      <c r="V12" s="166"/>
      <c r="W12" s="167">
        <f>IF(BetTable[Sport]="","",BetTable[Stake]+BetTable[S2]+BetTable[S3])</f>
        <v>55</v>
      </c>
      <c r="X12" s="164">
        <f>IF(BetTable[Odds]="","",(BetTable[WBA1-Commission])-BetTable[TS])</f>
        <v>36.299999999999997</v>
      </c>
      <c r="Y12" s="168">
        <f>IF(BetTable[Outcome]="","",BetTable[WBA1]+BetTable[WBA2]+BetTable[WBA3]-BetTable[TS])</f>
        <v>0</v>
      </c>
      <c r="Z12" s="164">
        <f>(((BetTable[Odds]-1)*BetTable[Stake])*(1-(BetTable[Comm %]))+BetTable[Stake])</f>
        <v>91.3</v>
      </c>
      <c r="AA12" s="164">
        <f>(((BetTable[O2]-1)*BetTable[S2])*(1-(BetTable[C% 2]))+BetTable[S2])</f>
        <v>0</v>
      </c>
      <c r="AB12" s="164">
        <f>(((BetTable[O3]-1)*BetTable[S3])*(1-(BetTable[C% 3]))+BetTable[S3])</f>
        <v>0</v>
      </c>
      <c r="AC12" s="165">
        <f>IFERROR(IF(BetTable[Sport]="","",BetTable[R1]/BetTable[TS]),"")</f>
        <v>0.65999999999999992</v>
      </c>
      <c r="AD12" s="165" t="str">
        <f>IF(BetTable[O2]="","",#REF!/BetTable[TS])</f>
        <v/>
      </c>
      <c r="AE12" s="165" t="str">
        <f>IFERROR(IF(BetTable[Sport]="","",#REF!/BetTable[TS]),"")</f>
        <v/>
      </c>
      <c r="AF12" s="164">
        <f>IF(BetTable[Outcome]="Win",BetTable[WBA1-Commission],IF(BetTable[Outcome]="Win Half Stake",(BetTable[Stake]/2)+BetTable[WBA1-Commission]/2,IF(BetTable[Outcome]="Lose Half Stake",BetTable[Stake]/2,IF(BetTable[Outcome]="Lose",0,IF(BetTable[Outcome]="Void",BetTable[Stake],)))))</f>
        <v>55</v>
      </c>
      <c r="AG12" s="164">
        <f>IF(BetTable[Outcome2]="Win",BetTable[WBA2-Commission],IF(BetTable[Outcome2]="Win Half Stake",(BetTable[S2]/2)+BetTable[WBA2-Commission]/2,IF(BetTable[Outcome2]="Lose Half Stake",BetTable[S2]/2,IF(BetTable[Outcome2]="Lose",0,IF(BetTable[Outcome2]="Void",BetTable[S2],)))))</f>
        <v>0</v>
      </c>
      <c r="AH12" s="164">
        <f>IF(BetTable[Outcome3]="Win",BetTable[WBA3-Commission],IF(BetTable[Outcome3]="Win Half Stake",(BetTable[S3]/2)+BetTable[WBA3-Commission]/2,IF(BetTable[Outcome3]="Lose Half Stake",BetTable[S3]/2,IF(BetTable[Outcome3]="Lose",0,IF(BetTable[Outcome3]="Void",BetTable[S3],)))))</f>
        <v>0</v>
      </c>
      <c r="AI12" s="168">
        <f>IF(BetTable[Outcome]="",AI11,BetTable[Result]+AI11)</f>
        <v>95.88</v>
      </c>
      <c r="AJ12" s="160"/>
    </row>
    <row r="13" spans="1:36" x14ac:dyDescent="0.2">
      <c r="A13" s="159">
        <v>181024</v>
      </c>
      <c r="B13" s="160" t="s">
        <v>200</v>
      </c>
      <c r="C13" s="161" t="s">
        <v>91</v>
      </c>
      <c r="D13" s="161"/>
      <c r="E13" s="161"/>
      <c r="F13" s="162"/>
      <c r="G13" s="162"/>
      <c r="H13" s="162"/>
      <c r="I13" s="160" t="s">
        <v>362</v>
      </c>
      <c r="J13" s="163">
        <v>1.92</v>
      </c>
      <c r="K13" s="163"/>
      <c r="L13" s="163"/>
      <c r="M13" s="164">
        <v>30</v>
      </c>
      <c r="N13" s="164"/>
      <c r="O13" s="164"/>
      <c r="P13" s="159" t="s">
        <v>348</v>
      </c>
      <c r="Q13" s="169">
        <v>0.875</v>
      </c>
      <c r="R13" s="159" t="s">
        <v>363</v>
      </c>
      <c r="S13" s="165">
        <v>2.3136362991961701E-2</v>
      </c>
      <c r="T13" s="166" t="s">
        <v>383</v>
      </c>
      <c r="U13" s="166"/>
      <c r="V13" s="166"/>
      <c r="W13" s="167">
        <f>IF(BetTable[Sport]="","",BetTable[Stake]+BetTable[S2]+BetTable[S3])</f>
        <v>30</v>
      </c>
      <c r="X13" s="164">
        <f>IF(BetTable[Odds]="","",(BetTable[WBA1-Commission])-BetTable[TS])</f>
        <v>27.599999999999994</v>
      </c>
      <c r="Y13" s="168">
        <f>IF(BetTable[Outcome]="","",BetTable[WBA1]+BetTable[WBA2]+BetTable[WBA3]-BetTable[TS])</f>
        <v>0</v>
      </c>
      <c r="Z13" s="164">
        <f>(((BetTable[Odds]-1)*BetTable[Stake])*(1-(BetTable[Comm %]))+BetTable[Stake])</f>
        <v>57.599999999999994</v>
      </c>
      <c r="AA13" s="164">
        <f>(((BetTable[O2]-1)*BetTable[S2])*(1-(BetTable[C% 2]))+BetTable[S2])</f>
        <v>0</v>
      </c>
      <c r="AB13" s="164">
        <f>(((BetTable[O3]-1)*BetTable[S3])*(1-(BetTable[C% 3]))+BetTable[S3])</f>
        <v>0</v>
      </c>
      <c r="AC13" s="165">
        <f>IFERROR(IF(BetTable[Sport]="","",BetTable[R1]/BetTable[TS]),"")</f>
        <v>0.91999999999999982</v>
      </c>
      <c r="AD13" s="165" t="str">
        <f>IF(BetTable[O2]="","",#REF!/BetTable[TS])</f>
        <v/>
      </c>
      <c r="AE13" s="165" t="str">
        <f>IFERROR(IF(BetTable[Sport]="","",#REF!/BetTable[TS]),"")</f>
        <v/>
      </c>
      <c r="AF13" s="164">
        <f>IF(BetTable[Outcome]="Win",BetTable[WBA1-Commission],IF(BetTable[Outcome]="Win Half Stake",(BetTable[Stake]/2)+BetTable[WBA1-Commission]/2,IF(BetTable[Outcome]="Lose Half Stake",BetTable[Stake]/2,IF(BetTable[Outcome]="Lose",0,IF(BetTable[Outcome]="Void",BetTable[Stake],)))))</f>
        <v>30</v>
      </c>
      <c r="AG13" s="164">
        <f>IF(BetTable[Outcome2]="Win",BetTable[WBA2-Commission],IF(BetTable[Outcome2]="Win Half Stake",(BetTable[S2]/2)+BetTable[WBA2-Commission]/2,IF(BetTable[Outcome2]="Lose Half Stake",BetTable[S2]/2,IF(BetTable[Outcome2]="Lose",0,IF(BetTable[Outcome2]="Void",BetTable[S2],)))))</f>
        <v>0</v>
      </c>
      <c r="AH13" s="164">
        <f>IF(BetTable[Outcome3]="Win",BetTable[WBA3-Commission],IF(BetTable[Outcome3]="Win Half Stake",(BetTable[S3]/2)+BetTable[WBA3-Commission]/2,IF(BetTable[Outcome3]="Lose Half Stake",BetTable[S3]/2,IF(BetTable[Outcome3]="Lose",0,IF(BetTable[Outcome3]="Void",BetTable[S3],)))))</f>
        <v>0</v>
      </c>
      <c r="AI13" s="168">
        <f>IF(BetTable[Outcome]="",AI12,BetTable[Result]+AI12)</f>
        <v>95.88</v>
      </c>
      <c r="AJ13" s="160"/>
    </row>
    <row r="14" spans="1:36" x14ac:dyDescent="0.2">
      <c r="A14" s="159">
        <v>181024</v>
      </c>
      <c r="B14" s="160" t="s">
        <v>7</v>
      </c>
      <c r="C14" s="161" t="s">
        <v>91</v>
      </c>
      <c r="D14" s="161"/>
      <c r="E14" s="161"/>
      <c r="F14" s="162"/>
      <c r="G14" s="162"/>
      <c r="H14" s="162"/>
      <c r="I14" s="160" t="s">
        <v>364</v>
      </c>
      <c r="J14" s="163">
        <v>1.92</v>
      </c>
      <c r="K14" s="163"/>
      <c r="L14" s="163"/>
      <c r="M14" s="164">
        <v>24</v>
      </c>
      <c r="N14" s="164"/>
      <c r="O14" s="164"/>
      <c r="P14" s="159" t="s">
        <v>365</v>
      </c>
      <c r="Q14" s="169">
        <v>0.875</v>
      </c>
      <c r="R14" s="159" t="s">
        <v>366</v>
      </c>
      <c r="S14" s="165">
        <v>1.8522641977904201E-2</v>
      </c>
      <c r="T14" s="166" t="s">
        <v>382</v>
      </c>
      <c r="U14" s="166"/>
      <c r="V14" s="166"/>
      <c r="W14" s="167">
        <f>IF(BetTable[Sport]="","",BetTable[Stake]+BetTable[S2]+BetTable[S3])</f>
        <v>24</v>
      </c>
      <c r="X14" s="164">
        <f>IF(BetTable[Odds]="","",(BetTable[WBA1-Commission])-BetTable[TS])</f>
        <v>22.08</v>
      </c>
      <c r="Y14" s="168">
        <f>IF(BetTable[Outcome]="","",BetTable[WBA1]+BetTable[WBA2]+BetTable[WBA3]-BetTable[TS])</f>
        <v>-24</v>
      </c>
      <c r="Z14" s="164">
        <f>(((BetTable[Odds]-1)*BetTable[Stake])*(1-(BetTable[Comm %]))+BetTable[Stake])</f>
        <v>46.08</v>
      </c>
      <c r="AA14" s="164">
        <f>(((BetTable[O2]-1)*BetTable[S2])*(1-(BetTable[C% 2]))+BetTable[S2])</f>
        <v>0</v>
      </c>
      <c r="AB14" s="164">
        <f>(((BetTable[O3]-1)*BetTable[S3])*(1-(BetTable[C% 3]))+BetTable[S3])</f>
        <v>0</v>
      </c>
      <c r="AC14" s="165">
        <f>IFERROR(IF(BetTable[Sport]="","",BetTable[R1]/BetTable[TS]),"")</f>
        <v>0.91999999999999993</v>
      </c>
      <c r="AD14" s="165" t="str">
        <f>IF(BetTable[O2]="","",#REF!/BetTable[TS])</f>
        <v/>
      </c>
      <c r="AE14" s="165" t="str">
        <f>IFERROR(IF(BetTable[Sport]="","",#REF!/BetTable[TS]),"")</f>
        <v/>
      </c>
      <c r="AF14" s="164">
        <f>IF(BetTable[Outcome]="Win",BetTable[WBA1-Commission],IF(BetTable[Outcome]="Win Half Stake",(BetTable[Stake]/2)+BetTable[WBA1-Commission]/2,IF(BetTable[Outcome]="Lose Half Stake",BetTable[Stake]/2,IF(BetTable[Outcome]="Lose",0,IF(BetTable[Outcome]="Void",BetTable[Stake],)))))</f>
        <v>0</v>
      </c>
      <c r="AG14" s="164">
        <f>IF(BetTable[Outcome2]="Win",BetTable[WBA2-Commission],IF(BetTable[Outcome2]="Win Half Stake",(BetTable[S2]/2)+BetTable[WBA2-Commission]/2,IF(BetTable[Outcome2]="Lose Half Stake",BetTable[S2]/2,IF(BetTable[Outcome2]="Lose",0,IF(BetTable[Outcome2]="Void",BetTable[S2],)))))</f>
        <v>0</v>
      </c>
      <c r="AH14" s="164">
        <f>IF(BetTable[Outcome3]="Win",BetTable[WBA3-Commission],IF(BetTable[Outcome3]="Win Half Stake",(BetTable[S3]/2)+BetTable[WBA3-Commission]/2,IF(BetTable[Outcome3]="Lose Half Stake",BetTable[S3]/2,IF(BetTable[Outcome3]="Lose",0,IF(BetTable[Outcome3]="Void",BetTable[S3],)))))</f>
        <v>0</v>
      </c>
      <c r="AI14" s="168">
        <f>IF(BetTable[Outcome]="",AI13,BetTable[Result]+AI13)</f>
        <v>71.88</v>
      </c>
      <c r="AJ14" s="160"/>
    </row>
    <row r="15" spans="1:36" x14ac:dyDescent="0.2">
      <c r="A15" s="159">
        <v>181024</v>
      </c>
      <c r="B15" s="160" t="s">
        <v>200</v>
      </c>
      <c r="C15" s="161" t="s">
        <v>91</v>
      </c>
      <c r="D15" s="161"/>
      <c r="E15" s="161"/>
      <c r="F15" s="162"/>
      <c r="G15" s="162"/>
      <c r="H15" s="162"/>
      <c r="I15" s="160" t="s">
        <v>367</v>
      </c>
      <c r="J15" s="163">
        <v>1.82</v>
      </c>
      <c r="K15" s="163"/>
      <c r="L15" s="163"/>
      <c r="M15" s="164">
        <v>24</v>
      </c>
      <c r="N15" s="164"/>
      <c r="O15" s="164"/>
      <c r="P15" s="159" t="s">
        <v>368</v>
      </c>
      <c r="Q15" s="169">
        <v>0.10416666666666667</v>
      </c>
      <c r="R15" s="159" t="s">
        <v>369</v>
      </c>
      <c r="S15" s="165">
        <v>1.6735438930896501E-2</v>
      </c>
      <c r="T15" s="166" t="s">
        <v>372</v>
      </c>
      <c r="U15" s="166"/>
      <c r="V15" s="166"/>
      <c r="W15" s="167">
        <f>IF(BetTable[Sport]="","",BetTable[Stake]+BetTable[S2]+BetTable[S3])</f>
        <v>24</v>
      </c>
      <c r="X15" s="164">
        <f>IF(BetTable[Odds]="","",(BetTable[WBA1-Commission])-BetTable[TS])</f>
        <v>19.68</v>
      </c>
      <c r="Y15" s="168">
        <f>IF(BetTable[Outcome]="","",BetTable[WBA1]+BetTable[WBA2]+BetTable[WBA3]-BetTable[TS])</f>
        <v>19.68</v>
      </c>
      <c r="Z15" s="164">
        <f>(((BetTable[Odds]-1)*BetTable[Stake])*(1-(BetTable[Comm %]))+BetTable[Stake])</f>
        <v>43.68</v>
      </c>
      <c r="AA15" s="164">
        <f>(((BetTable[O2]-1)*BetTable[S2])*(1-(BetTable[C% 2]))+BetTable[S2])</f>
        <v>0</v>
      </c>
      <c r="AB15" s="164">
        <f>(((BetTable[O3]-1)*BetTable[S3])*(1-(BetTable[C% 3]))+BetTable[S3])</f>
        <v>0</v>
      </c>
      <c r="AC15" s="165">
        <f>IFERROR(IF(BetTable[Sport]="","",BetTable[R1]/BetTable[TS]),"")</f>
        <v>0.82</v>
      </c>
      <c r="AD15" s="165" t="str">
        <f>IF(BetTable[O2]="","",#REF!/BetTable[TS])</f>
        <v/>
      </c>
      <c r="AE15" s="165" t="str">
        <f>IFERROR(IF(BetTable[Sport]="","",#REF!/BetTable[TS]),"")</f>
        <v/>
      </c>
      <c r="AF15" s="164">
        <f>IF(BetTable[Outcome]="Win",BetTable[WBA1-Commission],IF(BetTable[Outcome]="Win Half Stake",(BetTable[Stake]/2)+BetTable[WBA1-Commission]/2,IF(BetTable[Outcome]="Lose Half Stake",BetTable[Stake]/2,IF(BetTable[Outcome]="Lose",0,IF(BetTable[Outcome]="Void",BetTable[Stake],)))))</f>
        <v>43.68</v>
      </c>
      <c r="AG15" s="164">
        <f>IF(BetTable[Outcome2]="Win",BetTable[WBA2-Commission],IF(BetTable[Outcome2]="Win Half Stake",(BetTable[S2]/2)+BetTable[WBA2-Commission]/2,IF(BetTable[Outcome2]="Lose Half Stake",BetTable[S2]/2,IF(BetTable[Outcome2]="Lose",0,IF(BetTable[Outcome2]="Void",BetTable[S2],)))))</f>
        <v>0</v>
      </c>
      <c r="AH15" s="164">
        <f>IF(BetTable[Outcome3]="Win",BetTable[WBA3-Commission],IF(BetTable[Outcome3]="Win Half Stake",(BetTable[S3]/2)+BetTable[WBA3-Commission]/2,IF(BetTable[Outcome3]="Lose Half Stake",BetTable[S3]/2,IF(BetTable[Outcome3]="Lose",0,IF(BetTable[Outcome3]="Void",BetTable[S3],)))))</f>
        <v>0</v>
      </c>
      <c r="AI15" s="168">
        <f>IF(BetTable[Outcome]="",AI14,BetTable[Result]+AI14)</f>
        <v>91.56</v>
      </c>
      <c r="AJ15" s="160"/>
    </row>
    <row r="16" spans="1:36" x14ac:dyDescent="0.2">
      <c r="A16" s="159">
        <v>181024</v>
      </c>
      <c r="B16" s="160" t="s">
        <v>200</v>
      </c>
      <c r="C16" s="161" t="s">
        <v>91</v>
      </c>
      <c r="D16" s="161"/>
      <c r="E16" s="161"/>
      <c r="F16" s="162"/>
      <c r="G16" s="162"/>
      <c r="H16" s="162"/>
      <c r="I16" s="160" t="s">
        <v>370</v>
      </c>
      <c r="J16" s="163">
        <v>2.08</v>
      </c>
      <c r="K16" s="163"/>
      <c r="L16" s="163"/>
      <c r="M16" s="164">
        <v>18</v>
      </c>
      <c r="N16" s="164"/>
      <c r="O16" s="164"/>
      <c r="P16" s="159" t="s">
        <v>343</v>
      </c>
      <c r="Q16" s="169">
        <v>0.875</v>
      </c>
      <c r="R16" s="159" t="s">
        <v>371</v>
      </c>
      <c r="S16" s="165">
        <v>1.6176090784840801E-2</v>
      </c>
      <c r="T16" s="166" t="s">
        <v>382</v>
      </c>
      <c r="U16" s="166"/>
      <c r="V16" s="166"/>
      <c r="W16" s="167">
        <f>IF(BetTable[Sport]="","",BetTable[Stake]+BetTable[S2]+BetTable[S3])</f>
        <v>18</v>
      </c>
      <c r="X16" s="164">
        <f>IF(BetTable[Odds]="","",(BetTable[WBA1-Commission])-BetTable[TS])</f>
        <v>19.439999999999998</v>
      </c>
      <c r="Y16" s="168">
        <f>IF(BetTable[Outcome]="","",BetTable[WBA1]+BetTable[WBA2]+BetTable[WBA3]-BetTable[TS])</f>
        <v>-18</v>
      </c>
      <c r="Z16" s="164">
        <f>(((BetTable[Odds]-1)*BetTable[Stake])*(1-(BetTable[Comm %]))+BetTable[Stake])</f>
        <v>37.44</v>
      </c>
      <c r="AA16" s="164">
        <f>(((BetTable[O2]-1)*BetTable[S2])*(1-(BetTable[C% 2]))+BetTable[S2])</f>
        <v>0</v>
      </c>
      <c r="AB16" s="164">
        <f>(((BetTable[O3]-1)*BetTable[S3])*(1-(BetTable[C% 3]))+BetTable[S3])</f>
        <v>0</v>
      </c>
      <c r="AC16" s="165">
        <f>IFERROR(IF(BetTable[Sport]="","",BetTable[R1]/BetTable[TS]),"")</f>
        <v>1.0799999999999998</v>
      </c>
      <c r="AD16" s="165" t="str">
        <f>IF(BetTable[O2]="","",#REF!/BetTable[TS])</f>
        <v/>
      </c>
      <c r="AE16" s="165" t="str">
        <f>IFERROR(IF(BetTable[Sport]="","",#REF!/BetTable[TS]),"")</f>
        <v/>
      </c>
      <c r="AF16" s="164">
        <f>IF(BetTable[Outcome]="Win",BetTable[WBA1-Commission],IF(BetTable[Outcome]="Win Half Stake",(BetTable[Stake]/2)+BetTable[WBA1-Commission]/2,IF(BetTable[Outcome]="Lose Half Stake",BetTable[Stake]/2,IF(BetTable[Outcome]="Lose",0,IF(BetTable[Outcome]="Void",BetTable[Stake],)))))</f>
        <v>0</v>
      </c>
      <c r="AG16" s="164">
        <f>IF(BetTable[Outcome2]="Win",BetTable[WBA2-Commission],IF(BetTable[Outcome2]="Win Half Stake",(BetTable[S2]/2)+BetTable[WBA2-Commission]/2,IF(BetTable[Outcome2]="Lose Half Stake",BetTable[S2]/2,IF(BetTable[Outcome2]="Lose",0,IF(BetTable[Outcome2]="Void",BetTable[S2],)))))</f>
        <v>0</v>
      </c>
      <c r="AH16" s="164">
        <f>IF(BetTable[Outcome3]="Win",BetTable[WBA3-Commission],IF(BetTable[Outcome3]="Win Half Stake",(BetTable[S3]/2)+BetTable[WBA3-Commission]/2,IF(BetTable[Outcome3]="Lose Half Stake",BetTable[S3]/2,IF(BetTable[Outcome3]="Lose",0,IF(BetTable[Outcome3]="Void",BetTable[S3],)))))</f>
        <v>0</v>
      </c>
      <c r="AI16" s="168">
        <f>IF(BetTable[Outcome]="",AI15,BetTable[Result]+AI15)</f>
        <v>73.56</v>
      </c>
      <c r="AJ16" s="160"/>
    </row>
    <row r="17" spans="1:36" x14ac:dyDescent="0.2">
      <c r="A17" s="159">
        <v>181025</v>
      </c>
      <c r="B17" s="160" t="s">
        <v>7</v>
      </c>
      <c r="C17" s="161" t="s">
        <v>91</v>
      </c>
      <c r="D17" s="161"/>
      <c r="E17" s="161"/>
      <c r="F17" s="162"/>
      <c r="G17" s="162"/>
      <c r="H17" s="162"/>
      <c r="I17" s="160" t="s">
        <v>373</v>
      </c>
      <c r="J17" s="163">
        <v>1.99</v>
      </c>
      <c r="K17" s="163"/>
      <c r="L17" s="163"/>
      <c r="M17" s="164">
        <v>22</v>
      </c>
      <c r="N17" s="164"/>
      <c r="O17" s="164"/>
      <c r="P17" s="159" t="s">
        <v>374</v>
      </c>
      <c r="Q17" s="169">
        <v>0.52083333333333337</v>
      </c>
      <c r="R17" s="159" t="s">
        <v>375</v>
      </c>
      <c r="S17" s="165">
        <v>1.8009473551843701E-2</v>
      </c>
      <c r="T17" s="166" t="s">
        <v>372</v>
      </c>
      <c r="U17" s="166"/>
      <c r="V17" s="166"/>
      <c r="W17" s="167">
        <f>IF(BetTable[Sport]="","",BetTable[Stake]+BetTable[S2]+BetTable[S3])</f>
        <v>22</v>
      </c>
      <c r="X17" s="164">
        <f>IF(BetTable[Odds]="","",(BetTable[WBA1-Commission])-BetTable[TS])</f>
        <v>21.78</v>
      </c>
      <c r="Y17" s="168">
        <f>IF(BetTable[Outcome]="","",BetTable[WBA1]+BetTable[WBA2]+BetTable[WBA3]-BetTable[TS])</f>
        <v>21.78</v>
      </c>
      <c r="Z17" s="164">
        <f>(((BetTable[Odds]-1)*BetTable[Stake])*(1-(BetTable[Comm %]))+BetTable[Stake])</f>
        <v>43.78</v>
      </c>
      <c r="AA17" s="164">
        <f>(((BetTable[O2]-1)*BetTable[S2])*(1-(BetTable[C% 2]))+BetTable[S2])</f>
        <v>0</v>
      </c>
      <c r="AB17" s="164">
        <f>(((BetTable[O3]-1)*BetTable[S3])*(1-(BetTable[C% 3]))+BetTable[S3])</f>
        <v>0</v>
      </c>
      <c r="AC17" s="165">
        <f>IFERROR(IF(BetTable[Sport]="","",BetTable[R1]/BetTable[TS]),"")</f>
        <v>0.9900000000000001</v>
      </c>
      <c r="AD17" s="165" t="str">
        <f>IF(BetTable[O2]="","",#REF!/BetTable[TS])</f>
        <v/>
      </c>
      <c r="AE17" s="165" t="str">
        <f>IFERROR(IF(BetTable[Sport]="","",#REF!/BetTable[TS]),"")</f>
        <v/>
      </c>
      <c r="AF17" s="164">
        <f>IF(BetTable[Outcome]="Win",BetTable[WBA1-Commission],IF(BetTable[Outcome]="Win Half Stake",(BetTable[Stake]/2)+BetTable[WBA1-Commission]/2,IF(BetTable[Outcome]="Lose Half Stake",BetTable[Stake]/2,IF(BetTable[Outcome]="Lose",0,IF(BetTable[Outcome]="Void",BetTable[Stake],)))))</f>
        <v>43.78</v>
      </c>
      <c r="AG17" s="164">
        <f>IF(BetTable[Outcome2]="Win",BetTable[WBA2-Commission],IF(BetTable[Outcome2]="Win Half Stake",(BetTable[S2]/2)+BetTable[WBA2-Commission]/2,IF(BetTable[Outcome2]="Lose Half Stake",BetTable[S2]/2,IF(BetTable[Outcome2]="Lose",0,IF(BetTable[Outcome2]="Void",BetTable[S2],)))))</f>
        <v>0</v>
      </c>
      <c r="AH17" s="164">
        <f>IF(BetTable[Outcome3]="Win",BetTable[WBA3-Commission],IF(BetTable[Outcome3]="Win Half Stake",(BetTable[S3]/2)+BetTable[WBA3-Commission]/2,IF(BetTable[Outcome3]="Lose Half Stake",BetTable[S3]/2,IF(BetTable[Outcome3]="Lose",0,IF(BetTable[Outcome3]="Void",BetTable[S3],)))))</f>
        <v>0</v>
      </c>
      <c r="AI17" s="168">
        <f>IF(BetTable[Outcome]="",AI16,BetTable[Result]+AI16)</f>
        <v>95.34</v>
      </c>
      <c r="AJ17" s="160"/>
    </row>
    <row r="18" spans="1:36" x14ac:dyDescent="0.2">
      <c r="A18" s="159">
        <v>181025</v>
      </c>
      <c r="B18" s="160" t="s">
        <v>8</v>
      </c>
      <c r="C18" s="161" t="s">
        <v>91</v>
      </c>
      <c r="D18" s="161"/>
      <c r="E18" s="161"/>
      <c r="F18" s="162"/>
      <c r="G18" s="162"/>
      <c r="H18" s="162"/>
      <c r="I18" s="160" t="s">
        <v>376</v>
      </c>
      <c r="J18" s="163">
        <v>1.69</v>
      </c>
      <c r="K18" s="163"/>
      <c r="L18" s="163"/>
      <c r="M18" s="164">
        <v>25</v>
      </c>
      <c r="N18" s="164"/>
      <c r="O18" s="164"/>
      <c r="P18" s="159">
        <v>1</v>
      </c>
      <c r="Q18" s="169">
        <v>0.58333333333333337</v>
      </c>
      <c r="R18" s="159" t="s">
        <v>377</v>
      </c>
      <c r="S18" s="165">
        <v>1.4215435940861901E-2</v>
      </c>
      <c r="T18" s="166" t="s">
        <v>372</v>
      </c>
      <c r="U18" s="166"/>
      <c r="V18" s="166"/>
      <c r="W18" s="167">
        <f>IF(BetTable[Sport]="","",BetTable[Stake]+BetTable[S2]+BetTable[S3])</f>
        <v>25</v>
      </c>
      <c r="X18" s="164">
        <f>IF(BetTable[Odds]="","",(BetTable[WBA1-Commission])-BetTable[TS])</f>
        <v>17.25</v>
      </c>
      <c r="Y18" s="168">
        <f>IF(BetTable[Outcome]="","",BetTable[WBA1]+BetTable[WBA2]+BetTable[WBA3]-BetTable[TS])</f>
        <v>17.25</v>
      </c>
      <c r="Z18" s="164">
        <f>(((BetTable[Odds]-1)*BetTable[Stake])*(1-(BetTable[Comm %]))+BetTable[Stake])</f>
        <v>42.25</v>
      </c>
      <c r="AA18" s="164">
        <f>(((BetTable[O2]-1)*BetTable[S2])*(1-(BetTable[C% 2]))+BetTable[S2])</f>
        <v>0</v>
      </c>
      <c r="AB18" s="164">
        <f>(((BetTable[O3]-1)*BetTable[S3])*(1-(BetTable[C% 3]))+BetTable[S3])</f>
        <v>0</v>
      </c>
      <c r="AC18" s="165">
        <f>IFERROR(IF(BetTable[Sport]="","",BetTable[R1]/BetTable[TS]),"")</f>
        <v>0.69</v>
      </c>
      <c r="AD18" s="165" t="str">
        <f>IF(BetTable[O2]="","",#REF!/BetTable[TS])</f>
        <v/>
      </c>
      <c r="AE18" s="165" t="str">
        <f>IFERROR(IF(BetTable[Sport]="","",#REF!/BetTable[TS]),"")</f>
        <v/>
      </c>
      <c r="AF18" s="164">
        <f>IF(BetTable[Outcome]="Win",BetTable[WBA1-Commission],IF(BetTable[Outcome]="Win Half Stake",(BetTable[Stake]/2)+BetTable[WBA1-Commission]/2,IF(BetTable[Outcome]="Lose Half Stake",BetTable[Stake]/2,IF(BetTable[Outcome]="Lose",0,IF(BetTable[Outcome]="Void",BetTable[Stake],)))))</f>
        <v>42.25</v>
      </c>
      <c r="AG18" s="164">
        <f>IF(BetTable[Outcome2]="Win",BetTable[WBA2-Commission],IF(BetTable[Outcome2]="Win Half Stake",(BetTable[S2]/2)+BetTable[WBA2-Commission]/2,IF(BetTable[Outcome2]="Lose Half Stake",BetTable[S2]/2,IF(BetTable[Outcome2]="Lose",0,IF(BetTable[Outcome2]="Void",BetTable[S2],)))))</f>
        <v>0</v>
      </c>
      <c r="AH18" s="164">
        <f>IF(BetTable[Outcome3]="Win",BetTable[WBA3-Commission],IF(BetTable[Outcome3]="Win Half Stake",(BetTable[S3]/2)+BetTable[WBA3-Commission]/2,IF(BetTable[Outcome3]="Lose Half Stake",BetTable[S3]/2,IF(BetTable[Outcome3]="Lose",0,IF(BetTable[Outcome3]="Void",BetTable[S3],)))))</f>
        <v>0</v>
      </c>
      <c r="AI18" s="168">
        <f>IF(BetTable[Outcome]="",AI17,BetTable[Result]+AI17)</f>
        <v>112.59</v>
      </c>
      <c r="AJ18" s="160"/>
    </row>
    <row r="19" spans="1:36" x14ac:dyDescent="0.2">
      <c r="A19" s="159">
        <v>181025</v>
      </c>
      <c r="B19" s="160" t="s">
        <v>200</v>
      </c>
      <c r="C19" s="161" t="s">
        <v>91</v>
      </c>
      <c r="D19" s="161"/>
      <c r="E19" s="161"/>
      <c r="F19" s="162"/>
      <c r="G19" s="162"/>
      <c r="H19" s="162"/>
      <c r="I19" s="160" t="s">
        <v>378</v>
      </c>
      <c r="J19" s="163">
        <v>1.99</v>
      </c>
      <c r="K19" s="163"/>
      <c r="L19" s="163"/>
      <c r="M19" s="164">
        <v>25</v>
      </c>
      <c r="N19" s="164"/>
      <c r="O19" s="164"/>
      <c r="P19" s="159" t="s">
        <v>348</v>
      </c>
      <c r="Q19" s="169">
        <v>0.78819444444444453</v>
      </c>
      <c r="R19" s="159" t="s">
        <v>379</v>
      </c>
      <c r="S19" s="165">
        <v>2.04363704443947E-2</v>
      </c>
      <c r="T19" s="166" t="s">
        <v>382</v>
      </c>
      <c r="U19" s="166"/>
      <c r="V19" s="166"/>
      <c r="W19" s="167">
        <f>IF(BetTable[Sport]="","",BetTable[Stake]+BetTable[S2]+BetTable[S3])</f>
        <v>25</v>
      </c>
      <c r="X19" s="164">
        <f>IF(BetTable[Odds]="","",(BetTable[WBA1-Commission])-BetTable[TS])</f>
        <v>24.75</v>
      </c>
      <c r="Y19" s="168">
        <f>IF(BetTable[Outcome]="","",BetTable[WBA1]+BetTable[WBA2]+BetTable[WBA3]-BetTable[TS])</f>
        <v>-25</v>
      </c>
      <c r="Z19" s="164">
        <f>(((BetTable[Odds]-1)*BetTable[Stake])*(1-(BetTable[Comm %]))+BetTable[Stake])</f>
        <v>49.75</v>
      </c>
      <c r="AA19" s="164">
        <f>(((BetTable[O2]-1)*BetTable[S2])*(1-(BetTable[C% 2]))+BetTable[S2])</f>
        <v>0</v>
      </c>
      <c r="AB19" s="164">
        <f>(((BetTable[O3]-1)*BetTable[S3])*(1-(BetTable[C% 3]))+BetTable[S3])</f>
        <v>0</v>
      </c>
      <c r="AC19" s="165">
        <f>IFERROR(IF(BetTable[Sport]="","",BetTable[R1]/BetTable[TS]),"")</f>
        <v>0.99</v>
      </c>
      <c r="AD19" s="165" t="str">
        <f>IF(BetTable[O2]="","",#REF!/BetTable[TS])</f>
        <v/>
      </c>
      <c r="AE19" s="165" t="str">
        <f>IFERROR(IF(BetTable[Sport]="","",#REF!/BetTable[TS]),"")</f>
        <v/>
      </c>
      <c r="AF19" s="164">
        <f>IF(BetTable[Outcome]="Win",BetTable[WBA1-Commission],IF(BetTable[Outcome]="Win Half Stake",(BetTable[Stake]/2)+BetTable[WBA1-Commission]/2,IF(BetTable[Outcome]="Lose Half Stake",BetTable[Stake]/2,IF(BetTable[Outcome]="Lose",0,IF(BetTable[Outcome]="Void",BetTable[Stake],)))))</f>
        <v>0</v>
      </c>
      <c r="AG19" s="164">
        <f>IF(BetTable[Outcome2]="Win",BetTable[WBA2-Commission],IF(BetTable[Outcome2]="Win Half Stake",(BetTable[S2]/2)+BetTable[WBA2-Commission]/2,IF(BetTable[Outcome2]="Lose Half Stake",BetTable[S2]/2,IF(BetTable[Outcome2]="Lose",0,IF(BetTable[Outcome2]="Void",BetTable[S2],)))))</f>
        <v>0</v>
      </c>
      <c r="AH19" s="164">
        <f>IF(BetTable[Outcome3]="Win",BetTable[WBA3-Commission],IF(BetTable[Outcome3]="Win Half Stake",(BetTable[S3]/2)+BetTable[WBA3-Commission]/2,IF(BetTable[Outcome3]="Lose Half Stake",BetTable[S3]/2,IF(BetTable[Outcome3]="Lose",0,IF(BetTable[Outcome3]="Void",BetTable[S3],)))))</f>
        <v>0</v>
      </c>
      <c r="AI19" s="168">
        <f>IF(BetTable[Outcome]="",AI18,BetTable[Result]+AI18)</f>
        <v>87.59</v>
      </c>
      <c r="AJ19" s="160"/>
    </row>
    <row r="20" spans="1:36" x14ac:dyDescent="0.2">
      <c r="A20" s="159">
        <v>181025</v>
      </c>
      <c r="B20" s="160" t="s">
        <v>200</v>
      </c>
      <c r="C20" s="161" t="s">
        <v>91</v>
      </c>
      <c r="D20" s="161"/>
      <c r="E20" s="161"/>
      <c r="F20" s="162"/>
      <c r="G20" s="162"/>
      <c r="H20" s="162"/>
      <c r="I20" s="160" t="s">
        <v>380</v>
      </c>
      <c r="J20" s="163">
        <v>2.57</v>
      </c>
      <c r="K20" s="163"/>
      <c r="L20" s="163"/>
      <c r="M20" s="164">
        <v>12</v>
      </c>
      <c r="N20" s="164"/>
      <c r="O20" s="164"/>
      <c r="P20" s="159">
        <v>2</v>
      </c>
      <c r="Q20" s="169">
        <v>0.66666666666666663</v>
      </c>
      <c r="R20" s="159" t="s">
        <v>381</v>
      </c>
      <c r="S20" s="165">
        <v>1.6232653561500901E-2</v>
      </c>
      <c r="T20" s="166" t="s">
        <v>382</v>
      </c>
      <c r="U20" s="166"/>
      <c r="V20" s="166"/>
      <c r="W20" s="167">
        <f>IF(BetTable[Sport]="","",BetTable[Stake]+BetTable[S2]+BetTable[S3])</f>
        <v>12</v>
      </c>
      <c r="X20" s="164">
        <f>IF(BetTable[Odds]="","",(BetTable[WBA1-Commission])-BetTable[TS])</f>
        <v>18.839999999999996</v>
      </c>
      <c r="Y20" s="168">
        <f>IF(BetTable[Outcome]="","",BetTable[WBA1]+BetTable[WBA2]+BetTable[WBA3]-BetTable[TS])</f>
        <v>-12</v>
      </c>
      <c r="Z20" s="164">
        <f>(((BetTable[Odds]-1)*BetTable[Stake])*(1-(BetTable[Comm %]))+BetTable[Stake])</f>
        <v>30.839999999999996</v>
      </c>
      <c r="AA20" s="164">
        <f>(((BetTable[O2]-1)*BetTable[S2])*(1-(BetTable[C% 2]))+BetTable[S2])</f>
        <v>0</v>
      </c>
      <c r="AB20" s="164">
        <f>(((BetTable[O3]-1)*BetTable[S3])*(1-(BetTable[C% 3]))+BetTable[S3])</f>
        <v>0</v>
      </c>
      <c r="AC20" s="165">
        <f>IFERROR(IF(BetTable[Sport]="","",BetTable[R1]/BetTable[TS]),"")</f>
        <v>1.5699999999999996</v>
      </c>
      <c r="AD20" s="165" t="str">
        <f>IF(BetTable[O2]="","",#REF!/BetTable[TS])</f>
        <v/>
      </c>
      <c r="AE20" s="165" t="str">
        <f>IFERROR(IF(BetTable[Sport]="","",#REF!/BetTable[TS]),"")</f>
        <v/>
      </c>
      <c r="AF20" s="164">
        <f>IF(BetTable[Outcome]="Win",BetTable[WBA1-Commission],IF(BetTable[Outcome]="Win Half Stake",(BetTable[Stake]/2)+BetTable[WBA1-Commission]/2,IF(BetTable[Outcome]="Lose Half Stake",BetTable[Stake]/2,IF(BetTable[Outcome]="Lose",0,IF(BetTable[Outcome]="Void",BetTable[Stake],)))))</f>
        <v>0</v>
      </c>
      <c r="AG20" s="164">
        <f>IF(BetTable[Outcome2]="Win",BetTable[WBA2-Commission],IF(BetTable[Outcome2]="Win Half Stake",(BetTable[S2]/2)+BetTable[WBA2-Commission]/2,IF(BetTable[Outcome2]="Lose Half Stake",BetTable[S2]/2,IF(BetTable[Outcome2]="Lose",0,IF(BetTable[Outcome2]="Void",BetTable[S2],)))))</f>
        <v>0</v>
      </c>
      <c r="AH20" s="164">
        <f>IF(BetTable[Outcome3]="Win",BetTable[WBA3-Commission],IF(BetTable[Outcome3]="Win Half Stake",(BetTable[S3]/2)+BetTable[WBA3-Commission]/2,IF(BetTable[Outcome3]="Lose Half Stake",BetTable[S3]/2,IF(BetTable[Outcome3]="Lose",0,IF(BetTable[Outcome3]="Void",BetTable[S3],)))))</f>
        <v>0</v>
      </c>
      <c r="AI20" s="168">
        <f>IF(BetTable[Outcome]="",AI19,BetTable[Result]+AI19)</f>
        <v>75.59</v>
      </c>
      <c r="AJ20" s="160"/>
    </row>
    <row r="21" spans="1:36" x14ac:dyDescent="0.2">
      <c r="A21" s="159">
        <v>181025</v>
      </c>
      <c r="B21" s="160" t="s">
        <v>200</v>
      </c>
      <c r="C21" s="161" t="s">
        <v>185</v>
      </c>
      <c r="D21" s="161"/>
      <c r="E21" s="161"/>
      <c r="F21" s="162"/>
      <c r="G21" s="162"/>
      <c r="H21" s="162"/>
      <c r="I21" s="160" t="s">
        <v>384</v>
      </c>
      <c r="J21" s="163">
        <v>1.5249999999999999</v>
      </c>
      <c r="K21" s="163"/>
      <c r="L21" s="163"/>
      <c r="M21" s="164">
        <v>23.81</v>
      </c>
      <c r="N21" s="164"/>
      <c r="O21" s="164"/>
      <c r="P21" s="159" t="s">
        <v>385</v>
      </c>
      <c r="Q21" s="169">
        <v>0.78819444444444453</v>
      </c>
      <c r="R21" s="159" t="s">
        <v>386</v>
      </c>
      <c r="S21" s="165">
        <v>1.9231704011317199E-2</v>
      </c>
      <c r="T21" s="166" t="s">
        <v>372</v>
      </c>
      <c r="U21" s="166"/>
      <c r="V21" s="166"/>
      <c r="W21" s="167">
        <f>IF(BetTable[Sport]="","",BetTable[Stake]+BetTable[S2]+BetTable[S3])</f>
        <v>23.81</v>
      </c>
      <c r="X21" s="164">
        <f>IF(BetTable[Odds]="","",(BetTable[WBA1-Commission])-BetTable[TS])</f>
        <v>12.500249999999998</v>
      </c>
      <c r="Y21" s="168">
        <f>IF(BetTable[Outcome]="","",BetTable[WBA1]+BetTable[WBA2]+BetTable[WBA3]-BetTable[TS])</f>
        <v>12.500249999999998</v>
      </c>
      <c r="Z21" s="164">
        <f>(((BetTable[Odds]-1)*BetTable[Stake])*(1-(BetTable[Comm %]))+BetTable[Stake])</f>
        <v>36.310249999999996</v>
      </c>
      <c r="AA21" s="164">
        <f>(((BetTable[O2]-1)*BetTable[S2])*(1-(BetTable[C% 2]))+BetTable[S2])</f>
        <v>0</v>
      </c>
      <c r="AB21" s="164">
        <f>(((BetTable[O3]-1)*BetTable[S3])*(1-(BetTable[C% 3]))+BetTable[S3])</f>
        <v>0</v>
      </c>
      <c r="AC21" s="165">
        <f>IFERROR(IF(BetTable[Sport]="","",BetTable[R1]/BetTable[TS]),"")</f>
        <v>0.52499999999999991</v>
      </c>
      <c r="AD21" s="165" t="str">
        <f>IF(BetTable[O2]="","",#REF!/BetTable[TS])</f>
        <v/>
      </c>
      <c r="AE21" s="165" t="str">
        <f>IFERROR(IF(BetTable[Sport]="","",#REF!/BetTable[TS]),"")</f>
        <v/>
      </c>
      <c r="AF21" s="164">
        <f>IF(BetTable[Outcome]="Win",BetTable[WBA1-Commission],IF(BetTable[Outcome]="Win Half Stake",(BetTable[Stake]/2)+BetTable[WBA1-Commission]/2,IF(BetTable[Outcome]="Lose Half Stake",BetTable[Stake]/2,IF(BetTable[Outcome]="Lose",0,IF(BetTable[Outcome]="Void",BetTable[Stake],)))))</f>
        <v>36.310249999999996</v>
      </c>
      <c r="AG21" s="164">
        <f>IF(BetTable[Outcome2]="Win",BetTable[WBA2-Commission],IF(BetTable[Outcome2]="Win Half Stake",(BetTable[S2]/2)+BetTable[WBA2-Commission]/2,IF(BetTable[Outcome2]="Lose Half Stake",BetTable[S2]/2,IF(BetTable[Outcome2]="Lose",0,IF(BetTable[Outcome2]="Void",BetTable[S2],)))))</f>
        <v>0</v>
      </c>
      <c r="AH21" s="164">
        <f>IF(BetTable[Outcome3]="Win",BetTable[WBA3-Commission],IF(BetTable[Outcome3]="Win Half Stake",(BetTable[S3]/2)+BetTable[WBA3-Commission]/2,IF(BetTable[Outcome3]="Lose Half Stake",BetTable[S3]/2,IF(BetTable[Outcome3]="Lose",0,IF(BetTable[Outcome3]="Void",BetTable[S3],)))))</f>
        <v>0</v>
      </c>
      <c r="AI21" s="168">
        <f>IF(BetTable[Outcome]="",AI20,BetTable[Result]+AI20)</f>
        <v>88.090249999999997</v>
      </c>
      <c r="AJ21" s="160"/>
    </row>
    <row r="22" spans="1:36" x14ac:dyDescent="0.2">
      <c r="A22" s="159">
        <v>181025</v>
      </c>
      <c r="B22" s="160" t="s">
        <v>200</v>
      </c>
      <c r="C22" s="161" t="s">
        <v>185</v>
      </c>
      <c r="D22" s="161"/>
      <c r="E22" s="161"/>
      <c r="F22" s="162"/>
      <c r="G22" s="162"/>
      <c r="H22" s="162"/>
      <c r="I22" s="160" t="s">
        <v>387</v>
      </c>
      <c r="J22" s="163">
        <v>1.45</v>
      </c>
      <c r="K22" s="163"/>
      <c r="L22" s="163"/>
      <c r="M22" s="164">
        <v>27.78</v>
      </c>
      <c r="N22" s="164"/>
      <c r="O22" s="164"/>
      <c r="P22" s="159" t="s">
        <v>388</v>
      </c>
      <c r="Q22" s="169">
        <v>0.78819444444444453</v>
      </c>
      <c r="R22" s="159" t="s">
        <v>389</v>
      </c>
      <c r="S22" s="165">
        <v>1.42480336059849E-2</v>
      </c>
      <c r="T22" s="166" t="s">
        <v>383</v>
      </c>
      <c r="U22" s="166"/>
      <c r="V22" s="166"/>
      <c r="W22" s="167">
        <f>IF(BetTable[Sport]="","",BetTable[Stake]+BetTable[S2]+BetTable[S3])</f>
        <v>27.78</v>
      </c>
      <c r="X22" s="164">
        <f>IF(BetTable[Odds]="","",(BetTable[WBA1-Commission])-BetTable[TS])</f>
        <v>12.500999999999998</v>
      </c>
      <c r="Y22" s="168">
        <f>IF(BetTable[Outcome]="","",BetTable[WBA1]+BetTable[WBA2]+BetTable[WBA3]-BetTable[TS])</f>
        <v>0</v>
      </c>
      <c r="Z22" s="164">
        <f>(((BetTable[Odds]-1)*BetTable[Stake])*(1-(BetTable[Comm %]))+BetTable[Stake])</f>
        <v>40.280999999999999</v>
      </c>
      <c r="AA22" s="164">
        <f>(((BetTable[O2]-1)*BetTable[S2])*(1-(BetTable[C% 2]))+BetTable[S2])</f>
        <v>0</v>
      </c>
      <c r="AB22" s="164">
        <f>(((BetTable[O3]-1)*BetTable[S3])*(1-(BetTable[C% 3]))+BetTable[S3])</f>
        <v>0</v>
      </c>
      <c r="AC22" s="165">
        <f>IFERROR(IF(BetTable[Sport]="","",BetTable[R1]/BetTable[TS]),"")</f>
        <v>0.4499999999999999</v>
      </c>
      <c r="AD22" s="165" t="str">
        <f>IF(BetTable[O2]="","",#REF!/BetTable[TS])</f>
        <v/>
      </c>
      <c r="AE22" s="165" t="str">
        <f>IFERROR(IF(BetTable[Sport]="","",#REF!/BetTable[TS]),"")</f>
        <v/>
      </c>
      <c r="AF22" s="164">
        <f>IF(BetTable[Outcome]="Win",BetTable[WBA1-Commission],IF(BetTable[Outcome]="Win Half Stake",(BetTable[Stake]/2)+BetTable[WBA1-Commission]/2,IF(BetTable[Outcome]="Lose Half Stake",BetTable[Stake]/2,IF(BetTable[Outcome]="Lose",0,IF(BetTable[Outcome]="Void",BetTable[Stake],)))))</f>
        <v>27.78</v>
      </c>
      <c r="AG22" s="164">
        <f>IF(BetTable[Outcome2]="Win",BetTable[WBA2-Commission],IF(BetTable[Outcome2]="Win Half Stake",(BetTable[S2]/2)+BetTable[WBA2-Commission]/2,IF(BetTable[Outcome2]="Lose Half Stake",BetTable[S2]/2,IF(BetTable[Outcome2]="Lose",0,IF(BetTable[Outcome2]="Void",BetTable[S2],)))))</f>
        <v>0</v>
      </c>
      <c r="AH22" s="164">
        <f>IF(BetTable[Outcome3]="Win",BetTable[WBA3-Commission],IF(BetTable[Outcome3]="Win Half Stake",(BetTable[S3]/2)+BetTable[WBA3-Commission]/2,IF(BetTable[Outcome3]="Lose Half Stake",BetTable[S3]/2,IF(BetTable[Outcome3]="Lose",0,IF(BetTable[Outcome3]="Void",BetTable[S3],)))))</f>
        <v>0</v>
      </c>
      <c r="AI22" s="168">
        <f>IF(BetTable[Outcome]="",AI21,BetTable[Result]+AI21)</f>
        <v>88.090249999999997</v>
      </c>
      <c r="AJ22" s="160"/>
    </row>
    <row r="23" spans="1:36" x14ac:dyDescent="0.2">
      <c r="A23" s="159">
        <v>181025</v>
      </c>
      <c r="B23" s="160" t="s">
        <v>200</v>
      </c>
      <c r="C23" s="161" t="s">
        <v>185</v>
      </c>
      <c r="D23" s="161"/>
      <c r="E23" s="161"/>
      <c r="F23" s="162"/>
      <c r="G23" s="162"/>
      <c r="H23" s="162"/>
      <c r="I23" s="160" t="s">
        <v>390</v>
      </c>
      <c r="J23" s="163">
        <v>3.3</v>
      </c>
      <c r="K23" s="163"/>
      <c r="L23" s="163"/>
      <c r="M23" s="164">
        <v>13</v>
      </c>
      <c r="N23" s="164"/>
      <c r="O23" s="164"/>
      <c r="P23" s="159">
        <v>2</v>
      </c>
      <c r="Q23" s="169">
        <v>0.875</v>
      </c>
      <c r="R23" s="159" t="s">
        <v>391</v>
      </c>
      <c r="S23" s="165">
        <v>2.49822401136632E-2</v>
      </c>
      <c r="T23" s="166" t="s">
        <v>372</v>
      </c>
      <c r="U23" s="166"/>
      <c r="V23" s="166"/>
      <c r="W23" s="167">
        <f>IF(BetTable[Sport]="","",BetTable[Stake]+BetTable[S2]+BetTable[S3])</f>
        <v>13</v>
      </c>
      <c r="X23" s="164">
        <f>IF(BetTable[Odds]="","",(BetTable[WBA1-Commission])-BetTable[TS])</f>
        <v>29.9</v>
      </c>
      <c r="Y23" s="168">
        <f>IF(BetTable[Outcome]="","",BetTable[WBA1]+BetTable[WBA2]+BetTable[WBA3]-BetTable[TS])</f>
        <v>29.9</v>
      </c>
      <c r="Z23" s="164">
        <f>(((BetTable[Odds]-1)*BetTable[Stake])*(1-(BetTable[Comm %]))+BetTable[Stake])</f>
        <v>42.9</v>
      </c>
      <c r="AA23" s="164">
        <f>(((BetTable[O2]-1)*BetTable[S2])*(1-(BetTable[C% 2]))+BetTable[S2])</f>
        <v>0</v>
      </c>
      <c r="AB23" s="164">
        <f>(((BetTable[O3]-1)*BetTable[S3])*(1-(BetTable[C% 3]))+BetTable[S3])</f>
        <v>0</v>
      </c>
      <c r="AC23" s="165">
        <f>IFERROR(IF(BetTable[Sport]="","",BetTable[R1]/BetTable[TS]),"")</f>
        <v>2.2999999999999998</v>
      </c>
      <c r="AD23" s="165" t="str">
        <f>IF(BetTable[O2]="","",#REF!/BetTable[TS])</f>
        <v/>
      </c>
      <c r="AE23" s="165" t="str">
        <f>IFERROR(IF(BetTable[Sport]="","",#REF!/BetTable[TS]),"")</f>
        <v/>
      </c>
      <c r="AF23" s="164">
        <f>IF(BetTable[Outcome]="Win",BetTable[WBA1-Commission],IF(BetTable[Outcome]="Win Half Stake",(BetTable[Stake]/2)+BetTable[WBA1-Commission]/2,IF(BetTable[Outcome]="Lose Half Stake",BetTable[Stake]/2,IF(BetTable[Outcome]="Lose",0,IF(BetTable[Outcome]="Void",BetTable[Stake],)))))</f>
        <v>42.9</v>
      </c>
      <c r="AG23" s="164">
        <f>IF(BetTable[Outcome2]="Win",BetTable[WBA2-Commission],IF(BetTable[Outcome2]="Win Half Stake",(BetTable[S2]/2)+BetTable[WBA2-Commission]/2,IF(BetTable[Outcome2]="Lose Half Stake",BetTable[S2]/2,IF(BetTable[Outcome2]="Lose",0,IF(BetTable[Outcome2]="Void",BetTable[S2],)))))</f>
        <v>0</v>
      </c>
      <c r="AH23" s="164">
        <f>IF(BetTable[Outcome3]="Win",BetTable[WBA3-Commission],IF(BetTable[Outcome3]="Win Half Stake",(BetTable[S3]/2)+BetTable[WBA3-Commission]/2,IF(BetTable[Outcome3]="Lose Half Stake",BetTable[S3]/2,IF(BetTable[Outcome3]="Lose",0,IF(BetTable[Outcome3]="Void",BetTable[S3],)))))</f>
        <v>0</v>
      </c>
      <c r="AI23" s="168">
        <f>IF(BetTable[Outcome]="",AI22,BetTable[Result]+AI22)</f>
        <v>117.99025</v>
      </c>
      <c r="AJ23" s="160"/>
    </row>
    <row r="24" spans="1:36" x14ac:dyDescent="0.2">
      <c r="A24" s="159">
        <v>181025</v>
      </c>
      <c r="B24" s="160" t="s">
        <v>200</v>
      </c>
      <c r="C24" s="161" t="s">
        <v>185</v>
      </c>
      <c r="D24" s="161"/>
      <c r="E24" s="161"/>
      <c r="F24" s="162"/>
      <c r="G24" s="162"/>
      <c r="H24" s="162"/>
      <c r="I24" s="160" t="s">
        <v>392</v>
      </c>
      <c r="J24" s="163">
        <v>9</v>
      </c>
      <c r="K24" s="163"/>
      <c r="L24" s="163"/>
      <c r="M24" s="164">
        <v>9</v>
      </c>
      <c r="N24" s="164"/>
      <c r="O24" s="164"/>
      <c r="P24" s="159">
        <v>2</v>
      </c>
      <c r="Q24" s="169">
        <v>0.78819444444444453</v>
      </c>
      <c r="R24" s="159" t="s">
        <v>393</v>
      </c>
      <c r="S24" s="165">
        <v>6.23026146194815E-2</v>
      </c>
      <c r="T24" s="166" t="s">
        <v>382</v>
      </c>
      <c r="U24" s="166"/>
      <c r="V24" s="166"/>
      <c r="W24" s="167">
        <f>IF(BetTable[Sport]="","",BetTable[Stake]+BetTable[S2]+BetTable[S3])</f>
        <v>9</v>
      </c>
      <c r="X24" s="164">
        <f>IF(BetTable[Odds]="","",(BetTable[WBA1-Commission])-BetTable[TS])</f>
        <v>72</v>
      </c>
      <c r="Y24" s="168">
        <f>IF(BetTable[Outcome]="","",BetTable[WBA1]+BetTable[WBA2]+BetTable[WBA3]-BetTable[TS])</f>
        <v>-9</v>
      </c>
      <c r="Z24" s="164">
        <f>(((BetTable[Odds]-1)*BetTable[Stake])*(1-(BetTable[Comm %]))+BetTable[Stake])</f>
        <v>81</v>
      </c>
      <c r="AA24" s="164">
        <f>(((BetTable[O2]-1)*BetTable[S2])*(1-(BetTable[C% 2]))+BetTable[S2])</f>
        <v>0</v>
      </c>
      <c r="AB24" s="164">
        <f>(((BetTable[O3]-1)*BetTable[S3])*(1-(BetTable[C% 3]))+BetTable[S3])</f>
        <v>0</v>
      </c>
      <c r="AC24" s="165">
        <f>IFERROR(IF(BetTable[Sport]="","",BetTable[R1]/BetTable[TS]),"")</f>
        <v>8</v>
      </c>
      <c r="AD24" s="165" t="str">
        <f>IF(BetTable[O2]="","",#REF!/BetTable[TS])</f>
        <v/>
      </c>
      <c r="AE24" s="165" t="str">
        <f>IFERROR(IF(BetTable[Sport]="","",#REF!/BetTable[TS]),"")</f>
        <v/>
      </c>
      <c r="AF24" s="164">
        <f>IF(BetTable[Outcome]="Win",BetTable[WBA1-Commission],IF(BetTable[Outcome]="Win Half Stake",(BetTable[Stake]/2)+BetTable[WBA1-Commission]/2,IF(BetTable[Outcome]="Lose Half Stake",BetTable[Stake]/2,IF(BetTable[Outcome]="Lose",0,IF(BetTable[Outcome]="Void",BetTable[Stake],)))))</f>
        <v>0</v>
      </c>
      <c r="AG24" s="164">
        <f>IF(BetTable[Outcome2]="Win",BetTable[WBA2-Commission],IF(BetTable[Outcome2]="Win Half Stake",(BetTable[S2]/2)+BetTable[WBA2-Commission]/2,IF(BetTable[Outcome2]="Lose Half Stake",BetTable[S2]/2,IF(BetTable[Outcome2]="Lose",0,IF(BetTable[Outcome2]="Void",BetTable[S2],)))))</f>
        <v>0</v>
      </c>
      <c r="AH24" s="164">
        <f>IF(BetTable[Outcome3]="Win",BetTable[WBA3-Commission],IF(BetTable[Outcome3]="Win Half Stake",(BetTable[S3]/2)+BetTable[WBA3-Commission]/2,IF(BetTable[Outcome3]="Lose Half Stake",BetTable[S3]/2,IF(BetTable[Outcome3]="Lose",0,IF(BetTable[Outcome3]="Void",BetTable[S3],)))))</f>
        <v>0</v>
      </c>
      <c r="AI24" s="168">
        <f>IF(BetTable[Outcome]="",AI23,BetTable[Result]+AI23)</f>
        <v>108.99025</v>
      </c>
      <c r="AJ24" s="160"/>
    </row>
    <row r="25" spans="1:36" x14ac:dyDescent="0.2">
      <c r="A25" s="159">
        <v>181025</v>
      </c>
      <c r="B25" s="160" t="s">
        <v>200</v>
      </c>
      <c r="C25" s="161" t="s">
        <v>91</v>
      </c>
      <c r="D25" s="161"/>
      <c r="E25" s="161"/>
      <c r="F25" s="162"/>
      <c r="G25" s="162"/>
      <c r="H25" s="162"/>
      <c r="I25" s="160" t="s">
        <v>394</v>
      </c>
      <c r="J25" s="163">
        <v>1.84</v>
      </c>
      <c r="K25" s="163"/>
      <c r="L25" s="163"/>
      <c r="M25" s="164">
        <v>31</v>
      </c>
      <c r="N25" s="164"/>
      <c r="O25" s="164"/>
      <c r="P25" s="159" t="s">
        <v>395</v>
      </c>
      <c r="Q25" s="169">
        <v>0.78819444444444453</v>
      </c>
      <c r="R25" s="159" t="s">
        <v>396</v>
      </c>
      <c r="S25" s="165">
        <v>2.15197782856336E-2</v>
      </c>
      <c r="T25" s="166" t="s">
        <v>383</v>
      </c>
      <c r="U25" s="166"/>
      <c r="V25" s="166"/>
      <c r="W25" s="167">
        <f>IF(BetTable[Sport]="","",BetTable[Stake]+BetTable[S2]+BetTable[S3])</f>
        <v>31</v>
      </c>
      <c r="X25" s="164">
        <f>IF(BetTable[Odds]="","",(BetTable[WBA1-Commission])-BetTable[TS])</f>
        <v>26.040000000000006</v>
      </c>
      <c r="Y25" s="168">
        <f>IF(BetTable[Outcome]="","",BetTable[WBA1]+BetTable[WBA2]+BetTable[WBA3]-BetTable[TS])</f>
        <v>0</v>
      </c>
      <c r="Z25" s="164">
        <f>(((BetTable[Odds]-1)*BetTable[Stake])*(1-(BetTable[Comm %]))+BetTable[Stake])</f>
        <v>57.040000000000006</v>
      </c>
      <c r="AA25" s="164">
        <f>(((BetTable[O2]-1)*BetTable[S2])*(1-(BetTable[C% 2]))+BetTable[S2])</f>
        <v>0</v>
      </c>
      <c r="AB25" s="164">
        <f>(((BetTable[O3]-1)*BetTable[S3])*(1-(BetTable[C% 3]))+BetTable[S3])</f>
        <v>0</v>
      </c>
      <c r="AC25" s="165">
        <f>IFERROR(IF(BetTable[Sport]="","",BetTable[R1]/BetTable[TS]),"")</f>
        <v>0.84000000000000019</v>
      </c>
      <c r="AD25" s="165" t="str">
        <f>IF(BetTable[O2]="","",#REF!/BetTable[TS])</f>
        <v/>
      </c>
      <c r="AE25" s="165" t="str">
        <f>IFERROR(IF(BetTable[Sport]="","",#REF!/BetTable[TS]),"")</f>
        <v/>
      </c>
      <c r="AF25" s="164">
        <f>IF(BetTable[Outcome]="Win",BetTable[WBA1-Commission],IF(BetTable[Outcome]="Win Half Stake",(BetTable[Stake]/2)+BetTable[WBA1-Commission]/2,IF(BetTable[Outcome]="Lose Half Stake",BetTable[Stake]/2,IF(BetTable[Outcome]="Lose",0,IF(BetTable[Outcome]="Void",BetTable[Stake],)))))</f>
        <v>31</v>
      </c>
      <c r="AG25" s="164">
        <f>IF(BetTable[Outcome2]="Win",BetTable[WBA2-Commission],IF(BetTable[Outcome2]="Win Half Stake",(BetTable[S2]/2)+BetTable[WBA2-Commission]/2,IF(BetTable[Outcome2]="Lose Half Stake",BetTable[S2]/2,IF(BetTable[Outcome2]="Lose",0,IF(BetTable[Outcome2]="Void",BetTable[S2],)))))</f>
        <v>0</v>
      </c>
      <c r="AH25" s="164">
        <f>IF(BetTable[Outcome3]="Win",BetTable[WBA3-Commission],IF(BetTable[Outcome3]="Win Half Stake",(BetTable[S3]/2)+BetTable[WBA3-Commission]/2,IF(BetTable[Outcome3]="Lose Half Stake",BetTable[S3]/2,IF(BetTable[Outcome3]="Lose",0,IF(BetTable[Outcome3]="Void",BetTable[S3],)))))</f>
        <v>0</v>
      </c>
      <c r="AI25" s="168">
        <f>IF(BetTable[Outcome]="",AI24,BetTable[Result]+AI24)</f>
        <v>108.99025</v>
      </c>
      <c r="AJ25" s="160"/>
    </row>
    <row r="26" spans="1:36" x14ac:dyDescent="0.2">
      <c r="A26" s="159">
        <v>181025</v>
      </c>
      <c r="B26" s="160" t="s">
        <v>200</v>
      </c>
      <c r="C26" s="161" t="s">
        <v>185</v>
      </c>
      <c r="D26" s="161"/>
      <c r="E26" s="161"/>
      <c r="F26" s="162"/>
      <c r="G26" s="162"/>
      <c r="H26" s="162"/>
      <c r="I26" s="160" t="s">
        <v>397</v>
      </c>
      <c r="J26" s="163">
        <v>3.8</v>
      </c>
      <c r="K26" s="163"/>
      <c r="L26" s="163"/>
      <c r="M26" s="164">
        <v>14</v>
      </c>
      <c r="N26" s="164"/>
      <c r="O26" s="164"/>
      <c r="P26" s="159">
        <v>2</v>
      </c>
      <c r="Q26" s="169">
        <v>0.875</v>
      </c>
      <c r="R26" s="159" t="s">
        <v>398</v>
      </c>
      <c r="S26" s="165">
        <v>3.2230175941950101E-2</v>
      </c>
      <c r="T26" s="166" t="s">
        <v>372</v>
      </c>
      <c r="U26" s="166"/>
      <c r="V26" s="166"/>
      <c r="W26" s="167">
        <f>IF(BetTable[Sport]="","",BetTable[Stake]+BetTable[S2]+BetTable[S3])</f>
        <v>14</v>
      </c>
      <c r="X26" s="164">
        <f>IF(BetTable[Odds]="","",(BetTable[WBA1-Commission])-BetTable[TS])</f>
        <v>39.199999999999996</v>
      </c>
      <c r="Y26" s="168">
        <f>IF(BetTable[Outcome]="","",BetTable[WBA1]+BetTable[WBA2]+BetTable[WBA3]-BetTable[TS])</f>
        <v>39.199999999999996</v>
      </c>
      <c r="Z26" s="164">
        <f>(((BetTable[Odds]-1)*BetTable[Stake])*(1-(BetTable[Comm %]))+BetTable[Stake])</f>
        <v>53.199999999999996</v>
      </c>
      <c r="AA26" s="164">
        <f>(((BetTable[O2]-1)*BetTable[S2])*(1-(BetTable[C% 2]))+BetTable[S2])</f>
        <v>0</v>
      </c>
      <c r="AB26" s="164">
        <f>(((BetTable[O3]-1)*BetTable[S3])*(1-(BetTable[C% 3]))+BetTable[S3])</f>
        <v>0</v>
      </c>
      <c r="AC26" s="165">
        <f>IFERROR(IF(BetTable[Sport]="","",BetTable[R1]/BetTable[TS]),"")</f>
        <v>2.8</v>
      </c>
      <c r="AD26" s="165" t="str">
        <f>IF(BetTable[O2]="","",#REF!/BetTable[TS])</f>
        <v/>
      </c>
      <c r="AE26" s="165" t="str">
        <f>IFERROR(IF(BetTable[Sport]="","",#REF!/BetTable[TS]),"")</f>
        <v/>
      </c>
      <c r="AF26" s="164">
        <f>IF(BetTable[Outcome]="Win",BetTable[WBA1-Commission],IF(BetTable[Outcome]="Win Half Stake",(BetTable[Stake]/2)+BetTable[WBA1-Commission]/2,IF(BetTable[Outcome]="Lose Half Stake",BetTable[Stake]/2,IF(BetTable[Outcome]="Lose",0,IF(BetTable[Outcome]="Void",BetTable[Stake],)))))</f>
        <v>53.199999999999996</v>
      </c>
      <c r="AG26" s="164">
        <f>IF(BetTable[Outcome2]="Win",BetTable[WBA2-Commission],IF(BetTable[Outcome2]="Win Half Stake",(BetTable[S2]/2)+BetTable[WBA2-Commission]/2,IF(BetTable[Outcome2]="Lose Half Stake",BetTable[S2]/2,IF(BetTable[Outcome2]="Lose",0,IF(BetTable[Outcome2]="Void",BetTable[S2],)))))</f>
        <v>0</v>
      </c>
      <c r="AH26" s="164">
        <f>IF(BetTable[Outcome3]="Win",BetTable[WBA3-Commission],IF(BetTable[Outcome3]="Win Half Stake",(BetTable[S3]/2)+BetTable[WBA3-Commission]/2,IF(BetTable[Outcome3]="Lose Half Stake",BetTable[S3]/2,IF(BetTable[Outcome3]="Lose",0,IF(BetTable[Outcome3]="Void",BetTable[S3],)))))</f>
        <v>0</v>
      </c>
      <c r="AI26" s="168">
        <f>IF(BetTable[Outcome]="",AI25,BetTable[Result]+AI25)</f>
        <v>148.19024999999999</v>
      </c>
      <c r="AJ26" s="160"/>
    </row>
    <row r="27" spans="1:36" x14ac:dyDescent="0.2">
      <c r="A27" s="159">
        <v>181025</v>
      </c>
      <c r="B27" s="160" t="s">
        <v>7</v>
      </c>
      <c r="C27" s="161" t="s">
        <v>91</v>
      </c>
      <c r="D27" s="161"/>
      <c r="E27" s="161"/>
      <c r="F27" s="162"/>
      <c r="G27" s="162"/>
      <c r="H27" s="162"/>
      <c r="I27" s="160" t="s">
        <v>399</v>
      </c>
      <c r="J27" s="163">
        <v>1.79</v>
      </c>
      <c r="K27" s="163"/>
      <c r="L27" s="163"/>
      <c r="M27" s="164">
        <v>51</v>
      </c>
      <c r="N27" s="164"/>
      <c r="O27" s="164"/>
      <c r="P27" s="159" t="s">
        <v>400</v>
      </c>
      <c r="Q27" s="169">
        <v>0.56597222222222221</v>
      </c>
      <c r="R27" s="159" t="s">
        <v>401</v>
      </c>
      <c r="S27" s="165">
        <v>3.3873259673849902E-2</v>
      </c>
      <c r="T27" s="166" t="s">
        <v>372</v>
      </c>
      <c r="U27" s="166"/>
      <c r="V27" s="166"/>
      <c r="W27" s="167">
        <f>IF(BetTable[Sport]="","",BetTable[Stake]+BetTable[S2]+BetTable[S3])</f>
        <v>51</v>
      </c>
      <c r="X27" s="164">
        <f>IF(BetTable[Odds]="","",(BetTable[WBA1-Commission])-BetTable[TS])</f>
        <v>40.289999999999992</v>
      </c>
      <c r="Y27" s="168">
        <f>IF(BetTable[Outcome]="","",BetTable[WBA1]+BetTable[WBA2]+BetTable[WBA3]-BetTable[TS])</f>
        <v>40.289999999999992</v>
      </c>
      <c r="Z27" s="164">
        <f>(((BetTable[Odds]-1)*BetTable[Stake])*(1-(BetTable[Comm %]))+BetTable[Stake])</f>
        <v>91.289999999999992</v>
      </c>
      <c r="AA27" s="164">
        <f>(((BetTable[O2]-1)*BetTable[S2])*(1-(BetTable[C% 2]))+BetTable[S2])</f>
        <v>0</v>
      </c>
      <c r="AB27" s="164">
        <f>(((BetTable[O3]-1)*BetTable[S3])*(1-(BetTable[C% 3]))+BetTable[S3])</f>
        <v>0</v>
      </c>
      <c r="AC27" s="165">
        <f>IFERROR(IF(BetTable[Sport]="","",BetTable[R1]/BetTable[TS]),"")</f>
        <v>0.78999999999999981</v>
      </c>
      <c r="AD27" s="165" t="str">
        <f>IF(BetTable[O2]="","",#REF!/BetTable[TS])</f>
        <v/>
      </c>
      <c r="AE27" s="165" t="str">
        <f>IFERROR(IF(BetTable[Sport]="","",#REF!/BetTable[TS]),"")</f>
        <v/>
      </c>
      <c r="AF27" s="164">
        <f>IF(BetTable[Outcome]="Win",BetTable[WBA1-Commission],IF(BetTable[Outcome]="Win Half Stake",(BetTable[Stake]/2)+BetTable[WBA1-Commission]/2,IF(BetTable[Outcome]="Lose Half Stake",BetTable[Stake]/2,IF(BetTable[Outcome]="Lose",0,IF(BetTable[Outcome]="Void",BetTable[Stake],)))))</f>
        <v>91.289999999999992</v>
      </c>
      <c r="AG27" s="164">
        <f>IF(BetTable[Outcome2]="Win",BetTable[WBA2-Commission],IF(BetTable[Outcome2]="Win Half Stake",(BetTable[S2]/2)+BetTable[WBA2-Commission]/2,IF(BetTable[Outcome2]="Lose Half Stake",BetTable[S2]/2,IF(BetTable[Outcome2]="Lose",0,IF(BetTable[Outcome2]="Void",BetTable[S2],)))))</f>
        <v>0</v>
      </c>
      <c r="AH27" s="164">
        <f>IF(BetTable[Outcome3]="Win",BetTable[WBA3-Commission],IF(BetTable[Outcome3]="Win Half Stake",(BetTable[S3]/2)+BetTable[WBA3-Commission]/2,IF(BetTable[Outcome3]="Lose Half Stake",BetTable[S3]/2,IF(BetTable[Outcome3]="Lose",0,IF(BetTable[Outcome3]="Void",BetTable[S3],)))))</f>
        <v>0</v>
      </c>
      <c r="AI27" s="168">
        <f>IF(BetTable[Outcome]="",AI26,BetTable[Result]+AI26)</f>
        <v>188.48024999999998</v>
      </c>
      <c r="AJ27" s="160"/>
    </row>
    <row r="28" spans="1:36" x14ac:dyDescent="0.2">
      <c r="A28" s="159" t="s">
        <v>562</v>
      </c>
      <c r="B28" s="160" t="s">
        <v>7</v>
      </c>
      <c r="C28" s="161" t="s">
        <v>91</v>
      </c>
      <c r="D28" s="161"/>
      <c r="E28" s="161"/>
      <c r="F28" s="162"/>
      <c r="G28" s="162"/>
      <c r="H28" s="162"/>
      <c r="I28" s="160" t="s">
        <v>576</v>
      </c>
      <c r="J28" s="163">
        <v>1.84</v>
      </c>
      <c r="K28" s="163"/>
      <c r="L28" s="163"/>
      <c r="M28" s="164">
        <v>34</v>
      </c>
      <c r="N28" s="164"/>
      <c r="O28" s="164"/>
      <c r="P28" s="159" t="s">
        <v>577</v>
      </c>
      <c r="Q28" s="169">
        <v>0.56597222222222221</v>
      </c>
      <c r="R28" s="159" t="s">
        <v>578</v>
      </c>
      <c r="S28" s="165">
        <v>2.3538118858666801E-2</v>
      </c>
      <c r="T28" s="166" t="s">
        <v>382</v>
      </c>
      <c r="U28" s="166"/>
      <c r="V28" s="166"/>
      <c r="W28" s="167">
        <f>IF(BetTable[Sport]="","",BetTable[Stake]+BetTable[S2]+BetTable[S3])</f>
        <v>34</v>
      </c>
      <c r="X28" s="164">
        <f>IF(BetTable[Odds]="","",(BetTable[WBA1-Commission])-BetTable[TS])</f>
        <v>28.560000000000002</v>
      </c>
      <c r="Y28" s="168">
        <f>IF(BetTable[Outcome]="","",BetTable[WBA1]+BetTable[WBA2]+BetTable[WBA3]-BetTable[TS])</f>
        <v>-34</v>
      </c>
      <c r="Z28" s="164">
        <f>(((BetTable[Odds]-1)*BetTable[Stake])*(1-(BetTable[Comm %]))+BetTable[Stake])</f>
        <v>62.56</v>
      </c>
      <c r="AA28" s="164">
        <f>(((BetTable[O2]-1)*BetTable[S2])*(1-(BetTable[C% 2]))+BetTable[S2])</f>
        <v>0</v>
      </c>
      <c r="AB28" s="164">
        <f>(((BetTable[O3]-1)*BetTable[S3])*(1-(BetTable[C% 3]))+BetTable[S3])</f>
        <v>0</v>
      </c>
      <c r="AC28" s="165">
        <f>IFERROR(IF(BetTable[Sport]="","",BetTable[R1]/BetTable[TS]),"")</f>
        <v>0.84000000000000008</v>
      </c>
      <c r="AD28" s="165" t="str">
        <f>IF(BetTable[O2]="","",#REF!/BetTable[TS])</f>
        <v/>
      </c>
      <c r="AE28" s="165" t="str">
        <f>IFERROR(IF(BetTable[Sport]="","",#REF!/BetTable[TS]),"")</f>
        <v/>
      </c>
      <c r="AF28" s="164">
        <f>IF(BetTable[Outcome]="Win",BetTable[WBA1-Commission],IF(BetTable[Outcome]="Win Half Stake",(BetTable[Stake]/2)+BetTable[WBA1-Commission]/2,IF(BetTable[Outcome]="Lose Half Stake",BetTable[Stake]/2,IF(BetTable[Outcome]="Lose",0,IF(BetTable[Outcome]="Void",BetTable[Stake],)))))</f>
        <v>0</v>
      </c>
      <c r="AG28" s="164">
        <f>IF(BetTable[Outcome2]="Win",BetTable[WBA2-Commission],IF(BetTable[Outcome2]="Win Half Stake",(BetTable[S2]/2)+BetTable[WBA2-Commission]/2,IF(BetTable[Outcome2]="Lose Half Stake",BetTable[S2]/2,IF(BetTable[Outcome2]="Lose",0,IF(BetTable[Outcome2]="Void",BetTable[S2],)))))</f>
        <v>0</v>
      </c>
      <c r="AH28" s="164">
        <f>IF(BetTable[Outcome3]="Win",BetTable[WBA3-Commission],IF(BetTable[Outcome3]="Win Half Stake",(BetTable[S3]/2)+BetTable[WBA3-Commission]/2,IF(BetTable[Outcome3]="Lose Half Stake",BetTable[S3]/2,IF(BetTable[Outcome3]="Lose",0,IF(BetTable[Outcome3]="Void",BetTable[S3],)))))</f>
        <v>0</v>
      </c>
      <c r="AI28" s="168">
        <f>IF(BetTable[Outcome]="",AI27,BetTable[Result]+AI27)</f>
        <v>154.48024999999998</v>
      </c>
      <c r="AJ28" s="160"/>
    </row>
    <row r="29" spans="1:36" x14ac:dyDescent="0.2">
      <c r="A29" s="159">
        <v>181025</v>
      </c>
      <c r="B29" s="160" t="s">
        <v>8</v>
      </c>
      <c r="C29" s="161" t="s">
        <v>91</v>
      </c>
      <c r="D29" s="161"/>
      <c r="E29" s="161"/>
      <c r="F29" s="162"/>
      <c r="G29" s="162"/>
      <c r="H29" s="162"/>
      <c r="I29" s="160" t="s">
        <v>404</v>
      </c>
      <c r="J29" s="163">
        <v>2.66</v>
      </c>
      <c r="K29" s="163"/>
      <c r="L29" s="163"/>
      <c r="M29" s="164">
        <v>20</v>
      </c>
      <c r="N29" s="164"/>
      <c r="O29" s="164"/>
      <c r="P29" s="159">
        <v>2</v>
      </c>
      <c r="Q29" s="169">
        <v>0.64583333333333337</v>
      </c>
      <c r="R29" s="159" t="s">
        <v>405</v>
      </c>
      <c r="S29" s="165">
        <v>7.4110718492343894E-2</v>
      </c>
      <c r="T29" s="166" t="s">
        <v>382</v>
      </c>
      <c r="U29" s="166"/>
      <c r="V29" s="166"/>
      <c r="W29" s="167">
        <f>IF(BetTable[Sport]="","",BetTable[Stake]+BetTable[S2]+BetTable[S3])</f>
        <v>20</v>
      </c>
      <c r="X29" s="164">
        <f>IF(BetTable[Odds]="","",(BetTable[WBA1-Commission])-BetTable[TS])</f>
        <v>33.200000000000003</v>
      </c>
      <c r="Y29" s="168">
        <f>IF(BetTable[Outcome]="","",BetTable[WBA1]+BetTable[WBA2]+BetTable[WBA3]-BetTable[TS])</f>
        <v>-20</v>
      </c>
      <c r="Z29" s="164">
        <f>(((BetTable[Odds]-1)*BetTable[Stake])*(1-(BetTable[Comm %]))+BetTable[Stake])</f>
        <v>53.2</v>
      </c>
      <c r="AA29" s="164">
        <f>(((BetTable[O2]-1)*BetTable[S2])*(1-(BetTable[C% 2]))+BetTable[S2])</f>
        <v>0</v>
      </c>
      <c r="AB29" s="164">
        <f>(((BetTable[O3]-1)*BetTable[S3])*(1-(BetTable[C% 3]))+BetTable[S3])</f>
        <v>0</v>
      </c>
      <c r="AC29" s="165">
        <f>IFERROR(IF(BetTable[Sport]="","",BetTable[R1]/BetTable[TS]),"")</f>
        <v>1.6600000000000001</v>
      </c>
      <c r="AD29" s="165" t="str">
        <f>IF(BetTable[O2]="","",#REF!/BetTable[TS])</f>
        <v/>
      </c>
      <c r="AE29" s="165" t="str">
        <f>IFERROR(IF(BetTable[Sport]="","",#REF!/BetTable[TS]),"")</f>
        <v/>
      </c>
      <c r="AF29" s="164">
        <f>IF(BetTable[Outcome]="Win",BetTable[WBA1-Commission],IF(BetTable[Outcome]="Win Half Stake",(BetTable[Stake]/2)+BetTable[WBA1-Commission]/2,IF(BetTable[Outcome]="Lose Half Stake",BetTable[Stake]/2,IF(BetTable[Outcome]="Lose",0,IF(BetTable[Outcome]="Void",BetTable[Stake],)))))</f>
        <v>0</v>
      </c>
      <c r="AG29" s="164">
        <f>IF(BetTable[Outcome2]="Win",BetTable[WBA2-Commission],IF(BetTable[Outcome2]="Win Half Stake",(BetTable[S2]/2)+BetTable[WBA2-Commission]/2,IF(BetTable[Outcome2]="Lose Half Stake",BetTable[S2]/2,IF(BetTable[Outcome2]="Lose",0,IF(BetTable[Outcome2]="Void",BetTable[S2],)))))</f>
        <v>0</v>
      </c>
      <c r="AH29" s="164">
        <f>IF(BetTable[Outcome3]="Win",BetTable[WBA3-Commission],IF(BetTable[Outcome3]="Win Half Stake",(BetTable[S3]/2)+BetTable[WBA3-Commission]/2,IF(BetTable[Outcome3]="Lose Half Stake",BetTable[S3]/2,IF(BetTable[Outcome3]="Lose",0,IF(BetTable[Outcome3]="Void",BetTable[S3],)))))</f>
        <v>0</v>
      </c>
      <c r="AI29" s="168">
        <f>IF(BetTable[Outcome]="",AI28,BetTable[Result]+AI28)</f>
        <v>134.48024999999998</v>
      </c>
      <c r="AJ29" s="160"/>
    </row>
    <row r="30" spans="1:36" x14ac:dyDescent="0.2">
      <c r="A30" s="159">
        <v>181025</v>
      </c>
      <c r="B30" s="160" t="s">
        <v>200</v>
      </c>
      <c r="C30" s="161" t="s">
        <v>91</v>
      </c>
      <c r="D30" s="161"/>
      <c r="E30" s="161"/>
      <c r="F30" s="162"/>
      <c r="G30" s="162"/>
      <c r="H30" s="162"/>
      <c r="I30" s="160" t="s">
        <v>380</v>
      </c>
      <c r="J30" s="163">
        <v>1.74</v>
      </c>
      <c r="K30" s="163"/>
      <c r="L30" s="163"/>
      <c r="M30" s="164">
        <v>51</v>
      </c>
      <c r="N30" s="164"/>
      <c r="O30" s="164"/>
      <c r="P30" s="159" t="s">
        <v>406</v>
      </c>
      <c r="Q30" s="169">
        <v>0.66666666666666663</v>
      </c>
      <c r="R30" s="159" t="s">
        <v>407</v>
      </c>
      <c r="S30" s="165">
        <v>3.1622791752629498E-2</v>
      </c>
      <c r="T30" s="166" t="s">
        <v>510</v>
      </c>
      <c r="U30" s="166"/>
      <c r="V30" s="166"/>
      <c r="W30" s="167">
        <f>IF(BetTable[Sport]="","",BetTable[Stake]+BetTable[S2]+BetTable[S3])</f>
        <v>51</v>
      </c>
      <c r="X30" s="164">
        <f>IF(BetTable[Odds]="","",(BetTable[WBA1-Commission])-BetTable[TS])</f>
        <v>37.740000000000009</v>
      </c>
      <c r="Y30" s="168">
        <f>IF(BetTable[Outcome]="","",BetTable[WBA1]+BetTable[WBA2]+BetTable[WBA3]-BetTable[TS])</f>
        <v>18.870000000000005</v>
      </c>
      <c r="Z30" s="164">
        <f>(((BetTable[Odds]-1)*BetTable[Stake])*(1-(BetTable[Comm %]))+BetTable[Stake])</f>
        <v>88.740000000000009</v>
      </c>
      <c r="AA30" s="164">
        <f>(((BetTable[O2]-1)*BetTable[S2])*(1-(BetTable[C% 2]))+BetTable[S2])</f>
        <v>0</v>
      </c>
      <c r="AB30" s="164">
        <f>(((BetTable[O3]-1)*BetTable[S3])*(1-(BetTable[C% 3]))+BetTable[S3])</f>
        <v>0</v>
      </c>
      <c r="AC30" s="165">
        <f>IFERROR(IF(BetTable[Sport]="","",BetTable[R1]/BetTable[TS]),"")</f>
        <v>0.74000000000000021</v>
      </c>
      <c r="AD30" s="165" t="str">
        <f>IF(BetTable[O2]="","",#REF!/BetTable[TS])</f>
        <v/>
      </c>
      <c r="AE30" s="165" t="str">
        <f>IFERROR(IF(BetTable[Sport]="","",#REF!/BetTable[TS]),"")</f>
        <v/>
      </c>
      <c r="AF30" s="164">
        <f>IF(BetTable[Outcome]="Win",BetTable[WBA1-Commission],IF(BetTable[Outcome]="Win Half Stake",(BetTable[Stake]/2)+BetTable[WBA1-Commission]/2,IF(BetTable[Outcome]="Lose Half Stake",BetTable[Stake]/2,IF(BetTable[Outcome]="Lose",0,IF(BetTable[Outcome]="Void",BetTable[Stake],)))))</f>
        <v>69.87</v>
      </c>
      <c r="AG30" s="164">
        <f>IF(BetTable[Outcome2]="Win",BetTable[WBA2-Commission],IF(BetTable[Outcome2]="Win Half Stake",(BetTable[S2]/2)+BetTable[WBA2-Commission]/2,IF(BetTable[Outcome2]="Lose Half Stake",BetTable[S2]/2,IF(BetTable[Outcome2]="Lose",0,IF(BetTable[Outcome2]="Void",BetTable[S2],)))))</f>
        <v>0</v>
      </c>
      <c r="AH30" s="164">
        <f>IF(BetTable[Outcome3]="Win",BetTable[WBA3-Commission],IF(BetTable[Outcome3]="Win Half Stake",(BetTable[S3]/2)+BetTable[WBA3-Commission]/2,IF(BetTable[Outcome3]="Lose Half Stake",BetTable[S3]/2,IF(BetTable[Outcome3]="Lose",0,IF(BetTable[Outcome3]="Void",BetTable[S3],)))))</f>
        <v>0</v>
      </c>
      <c r="AI30" s="168">
        <f>IF(BetTable[Outcome]="",AI29,BetTable[Result]+AI29)</f>
        <v>153.35024999999999</v>
      </c>
      <c r="AJ30" s="160"/>
    </row>
    <row r="31" spans="1:36" x14ac:dyDescent="0.2">
      <c r="A31" s="159">
        <v>181025</v>
      </c>
      <c r="B31" s="160" t="s">
        <v>200</v>
      </c>
      <c r="C31" s="161" t="s">
        <v>60</v>
      </c>
      <c r="D31" s="161"/>
      <c r="E31" s="161"/>
      <c r="F31" s="162">
        <v>6.5000000000000002E-2</v>
      </c>
      <c r="G31" s="162"/>
      <c r="H31" s="162"/>
      <c r="I31" s="160" t="s">
        <v>408</v>
      </c>
      <c r="J31" s="163">
        <v>1.48</v>
      </c>
      <c r="K31" s="163"/>
      <c r="L31" s="163"/>
      <c r="M31" s="164">
        <v>44.28</v>
      </c>
      <c r="N31" s="164"/>
      <c r="O31" s="164"/>
      <c r="P31" s="159" t="s">
        <v>409</v>
      </c>
      <c r="Q31" s="169">
        <v>0.83333333333333337</v>
      </c>
      <c r="R31" s="159" t="s">
        <v>410</v>
      </c>
      <c r="S31" s="165">
        <v>1.6559481412713999E-2</v>
      </c>
      <c r="T31" s="166" t="s">
        <v>382</v>
      </c>
      <c r="U31" s="166"/>
      <c r="V31" s="166"/>
      <c r="W31" s="167">
        <f>IF(BetTable[Sport]="","",BetTable[Stake]+BetTable[S2]+BetTable[S3])</f>
        <v>44.28</v>
      </c>
      <c r="X31" s="164">
        <f>IF(BetTable[Odds]="","",(BetTable[WBA1-Commission])-BetTable[TS])</f>
        <v>19.872863999999993</v>
      </c>
      <c r="Y31" s="168">
        <f>IF(BetTable[Outcome]="","",BetTable[WBA1]+BetTable[WBA2]+BetTable[WBA3]-BetTable[TS])</f>
        <v>-44.28</v>
      </c>
      <c r="Z31" s="164">
        <f>(((BetTable[Odds]-1)*BetTable[Stake])*(1-(BetTable[Comm %]))+BetTable[Stake])</f>
        <v>64.152863999999994</v>
      </c>
      <c r="AA31" s="164">
        <f>(((BetTable[O2]-1)*BetTable[S2])*(1-(BetTable[C% 2]))+BetTable[S2])</f>
        <v>0</v>
      </c>
      <c r="AB31" s="164">
        <f>(((BetTable[O3]-1)*BetTable[S3])*(1-(BetTable[C% 3]))+BetTable[S3])</f>
        <v>0</v>
      </c>
      <c r="AC31" s="165">
        <f>IFERROR(IF(BetTable[Sport]="","",BetTable[R1]/BetTable[TS]),"")</f>
        <v>0.44879999999999981</v>
      </c>
      <c r="AD31" s="165" t="str">
        <f>IF(BetTable[O2]="","",#REF!/BetTable[TS])</f>
        <v/>
      </c>
      <c r="AE31" s="165" t="str">
        <f>IFERROR(IF(BetTable[Sport]="","",#REF!/BetTable[TS]),"")</f>
        <v/>
      </c>
      <c r="AF31" s="164">
        <f>IF(BetTable[Outcome]="Win",BetTable[WBA1-Commission],IF(BetTable[Outcome]="Win Half Stake",(BetTable[Stake]/2)+BetTable[WBA1-Commission]/2,IF(BetTable[Outcome]="Lose Half Stake",BetTable[Stake]/2,IF(BetTable[Outcome]="Lose",0,IF(BetTable[Outcome]="Void",BetTable[Stake],)))))</f>
        <v>0</v>
      </c>
      <c r="AG31" s="164">
        <f>IF(BetTable[Outcome2]="Win",BetTable[WBA2-Commission],IF(BetTable[Outcome2]="Win Half Stake",(BetTable[S2]/2)+BetTable[WBA2-Commission]/2,IF(BetTable[Outcome2]="Lose Half Stake",BetTable[S2]/2,IF(BetTable[Outcome2]="Lose",0,IF(BetTable[Outcome2]="Void",BetTable[S2],)))))</f>
        <v>0</v>
      </c>
      <c r="AH31" s="164">
        <f>IF(BetTable[Outcome3]="Win",BetTable[WBA3-Commission],IF(BetTable[Outcome3]="Win Half Stake",(BetTable[S3]/2)+BetTable[WBA3-Commission]/2,IF(BetTable[Outcome3]="Lose Half Stake",BetTable[S3]/2,IF(BetTable[Outcome3]="Lose",0,IF(BetTable[Outcome3]="Void",BetTable[S3],)))))</f>
        <v>0</v>
      </c>
      <c r="AI31" s="168">
        <f>IF(BetTable[Outcome]="",AI30,BetTable[Result]+AI30)</f>
        <v>109.07024999999999</v>
      </c>
      <c r="AJ31" s="160"/>
    </row>
    <row r="32" spans="1:36" x14ac:dyDescent="0.2">
      <c r="A32" s="159">
        <v>181025</v>
      </c>
      <c r="B32" s="160" t="s">
        <v>200</v>
      </c>
      <c r="C32" s="161" t="s">
        <v>91</v>
      </c>
      <c r="D32" s="161"/>
      <c r="E32" s="161"/>
      <c r="F32" s="162"/>
      <c r="G32" s="162"/>
      <c r="H32" s="162"/>
      <c r="I32" s="160" t="s">
        <v>411</v>
      </c>
      <c r="J32" s="163">
        <v>1.68</v>
      </c>
      <c r="K32" s="163"/>
      <c r="L32" s="163"/>
      <c r="M32" s="164">
        <v>37</v>
      </c>
      <c r="N32" s="164"/>
      <c r="O32" s="164"/>
      <c r="P32" s="159" t="s">
        <v>351</v>
      </c>
      <c r="Q32" s="169">
        <v>0.875</v>
      </c>
      <c r="R32" s="159" t="s">
        <v>412</v>
      </c>
      <c r="S32" s="165">
        <v>2.0844836540406499E-2</v>
      </c>
      <c r="T32" s="166" t="s">
        <v>549</v>
      </c>
      <c r="U32" s="166"/>
      <c r="V32" s="166"/>
      <c r="W32" s="167">
        <f>IF(BetTable[Sport]="","",BetTable[Stake]+BetTable[S2]+BetTable[S3])</f>
        <v>37</v>
      </c>
      <c r="X32" s="164">
        <f>IF(BetTable[Odds]="","",(BetTable[WBA1-Commission])-BetTable[TS])</f>
        <v>25.159999999999997</v>
      </c>
      <c r="Y32" s="168">
        <f>IF(BetTable[Outcome]="","",BetTable[WBA1]+BetTable[WBA2]+BetTable[WBA3]-BetTable[TS])</f>
        <v>-18.5</v>
      </c>
      <c r="Z32" s="164">
        <f>(((BetTable[Odds]-1)*BetTable[Stake])*(1-(BetTable[Comm %]))+BetTable[Stake])</f>
        <v>62.16</v>
      </c>
      <c r="AA32" s="164">
        <f>(((BetTable[O2]-1)*BetTable[S2])*(1-(BetTable[C% 2]))+BetTable[S2])</f>
        <v>0</v>
      </c>
      <c r="AB32" s="164">
        <f>(((BetTable[O3]-1)*BetTable[S3])*(1-(BetTable[C% 3]))+BetTable[S3])</f>
        <v>0</v>
      </c>
      <c r="AC32" s="165">
        <f>IFERROR(IF(BetTable[Sport]="","",BetTable[R1]/BetTable[TS]),"")</f>
        <v>0.67999999999999994</v>
      </c>
      <c r="AD32" s="165" t="str">
        <f>IF(BetTable[O2]="","",#REF!/BetTable[TS])</f>
        <v/>
      </c>
      <c r="AE32" s="165" t="str">
        <f>IFERROR(IF(BetTable[Sport]="","",#REF!/BetTable[TS]),"")</f>
        <v/>
      </c>
      <c r="AF32" s="164">
        <f>IF(BetTable[Outcome]="Win",BetTable[WBA1-Commission],IF(BetTable[Outcome]="Win Half Stake",(BetTable[Stake]/2)+BetTable[WBA1-Commission]/2,IF(BetTable[Outcome]="Lose Half Stake",BetTable[Stake]/2,IF(BetTable[Outcome]="Lose",0,IF(BetTable[Outcome]="Void",BetTable[Stake],)))))</f>
        <v>18.5</v>
      </c>
      <c r="AG32" s="164">
        <f>IF(BetTable[Outcome2]="Win",BetTable[WBA2-Commission],IF(BetTable[Outcome2]="Win Half Stake",(BetTable[S2]/2)+BetTable[WBA2-Commission]/2,IF(BetTable[Outcome2]="Lose Half Stake",BetTable[S2]/2,IF(BetTable[Outcome2]="Lose",0,IF(BetTable[Outcome2]="Void",BetTable[S2],)))))</f>
        <v>0</v>
      </c>
      <c r="AH32" s="164">
        <f>IF(BetTable[Outcome3]="Win",BetTable[WBA3-Commission],IF(BetTable[Outcome3]="Win Half Stake",(BetTable[S3]/2)+BetTable[WBA3-Commission]/2,IF(BetTable[Outcome3]="Lose Half Stake",BetTable[S3]/2,IF(BetTable[Outcome3]="Lose",0,IF(BetTable[Outcome3]="Void",BetTable[S3],)))))</f>
        <v>0</v>
      </c>
      <c r="AI32" s="168">
        <f>IF(BetTable[Outcome]="",AI31,BetTable[Result]+AI31)</f>
        <v>90.570249999999987</v>
      </c>
      <c r="AJ32" s="160"/>
    </row>
    <row r="33" spans="1:36" x14ac:dyDescent="0.2">
      <c r="A33" s="159">
        <v>181025</v>
      </c>
      <c r="B33" s="160" t="s">
        <v>7</v>
      </c>
      <c r="C33" s="161" t="s">
        <v>91</v>
      </c>
      <c r="D33" s="161"/>
      <c r="E33" s="161"/>
      <c r="F33" s="162"/>
      <c r="G33" s="162"/>
      <c r="H33" s="162"/>
      <c r="I33" s="160" t="s">
        <v>413</v>
      </c>
      <c r="J33" s="163">
        <v>1.88</v>
      </c>
      <c r="K33" s="163"/>
      <c r="L33" s="163"/>
      <c r="M33" s="164">
        <v>34</v>
      </c>
      <c r="N33" s="164"/>
      <c r="O33" s="164"/>
      <c r="P33" s="159" t="s">
        <v>414</v>
      </c>
      <c r="Q33" s="169">
        <v>0.79166666666666663</v>
      </c>
      <c r="R33" s="159" t="s">
        <v>415</v>
      </c>
      <c r="S33" s="165">
        <v>2.5065529696634298E-2</v>
      </c>
      <c r="T33" s="166" t="s">
        <v>372</v>
      </c>
      <c r="U33" s="166"/>
      <c r="V33" s="166"/>
      <c r="W33" s="167">
        <f>IF(BetTable[Sport]="","",BetTable[Stake]+BetTable[S2]+BetTable[S3])</f>
        <v>34</v>
      </c>
      <c r="X33" s="164">
        <f>IF(BetTable[Odds]="","",(BetTable[WBA1-Commission])-BetTable[TS])</f>
        <v>29.919999999999995</v>
      </c>
      <c r="Y33" s="168">
        <f>IF(BetTable[Outcome]="","",BetTable[WBA1]+BetTable[WBA2]+BetTable[WBA3]-BetTable[TS])</f>
        <v>29.919999999999995</v>
      </c>
      <c r="Z33" s="164">
        <f>(((BetTable[Odds]-1)*BetTable[Stake])*(1-(BetTable[Comm %]))+BetTable[Stake])</f>
        <v>63.919999999999995</v>
      </c>
      <c r="AA33" s="164">
        <f>(((BetTable[O2]-1)*BetTable[S2])*(1-(BetTable[C% 2]))+BetTable[S2])</f>
        <v>0</v>
      </c>
      <c r="AB33" s="164">
        <f>(((BetTable[O3]-1)*BetTable[S3])*(1-(BetTable[C% 3]))+BetTable[S3])</f>
        <v>0</v>
      </c>
      <c r="AC33" s="165">
        <f>IFERROR(IF(BetTable[Sport]="","",BetTable[R1]/BetTable[TS]),"")</f>
        <v>0.87999999999999989</v>
      </c>
      <c r="AD33" s="165" t="str">
        <f>IF(BetTable[O2]="","",#REF!/BetTable[TS])</f>
        <v/>
      </c>
      <c r="AE33" s="165" t="str">
        <f>IFERROR(IF(BetTable[Sport]="","",#REF!/BetTable[TS]),"")</f>
        <v/>
      </c>
      <c r="AF33" s="164">
        <f>IF(BetTable[Outcome]="Win",BetTable[WBA1-Commission],IF(BetTable[Outcome]="Win Half Stake",(BetTable[Stake]/2)+BetTable[WBA1-Commission]/2,IF(BetTable[Outcome]="Lose Half Stake",BetTable[Stake]/2,IF(BetTable[Outcome]="Lose",0,IF(BetTable[Outcome]="Void",BetTable[Stake],)))))</f>
        <v>63.919999999999995</v>
      </c>
      <c r="AG33" s="164">
        <f>IF(BetTable[Outcome2]="Win",BetTable[WBA2-Commission],IF(BetTable[Outcome2]="Win Half Stake",(BetTable[S2]/2)+BetTable[WBA2-Commission]/2,IF(BetTable[Outcome2]="Lose Half Stake",BetTable[S2]/2,IF(BetTable[Outcome2]="Lose",0,IF(BetTable[Outcome2]="Void",BetTable[S2],)))))</f>
        <v>0</v>
      </c>
      <c r="AH33" s="164">
        <f>IF(BetTable[Outcome3]="Win",BetTable[WBA3-Commission],IF(BetTable[Outcome3]="Win Half Stake",(BetTable[S3]/2)+BetTable[WBA3-Commission]/2,IF(BetTable[Outcome3]="Lose Half Stake",BetTable[S3]/2,IF(BetTable[Outcome3]="Lose",0,IF(BetTable[Outcome3]="Void",BetTable[S3],)))))</f>
        <v>0</v>
      </c>
      <c r="AI33" s="168">
        <f>IF(BetTable[Outcome]="",AI32,BetTable[Result]+AI32)</f>
        <v>120.49024999999997</v>
      </c>
      <c r="AJ33" s="160"/>
    </row>
    <row r="34" spans="1:36" x14ac:dyDescent="0.2">
      <c r="A34" s="159">
        <v>181025</v>
      </c>
      <c r="B34" s="160" t="s">
        <v>7</v>
      </c>
      <c r="C34" s="161" t="s">
        <v>91</v>
      </c>
      <c r="D34" s="161"/>
      <c r="E34" s="161"/>
      <c r="F34" s="162"/>
      <c r="G34" s="162"/>
      <c r="H34" s="162"/>
      <c r="I34" s="160" t="s">
        <v>416</v>
      </c>
      <c r="J34" s="163">
        <v>1.95</v>
      </c>
      <c r="K34" s="163"/>
      <c r="L34" s="163"/>
      <c r="M34" s="164">
        <v>15</v>
      </c>
      <c r="N34" s="164"/>
      <c r="O34" s="164"/>
      <c r="P34" s="159" t="s">
        <v>385</v>
      </c>
      <c r="Q34" s="169">
        <v>8.3333333333333329E-2</v>
      </c>
      <c r="R34" s="159" t="s">
        <v>417</v>
      </c>
      <c r="S34" s="165">
        <v>1.19567889851865E-2</v>
      </c>
      <c r="T34" s="166" t="s">
        <v>372</v>
      </c>
      <c r="U34" s="166"/>
      <c r="V34" s="166"/>
      <c r="W34" s="167">
        <f>IF(BetTable[Sport]="","",BetTable[Stake]+BetTable[S2]+BetTable[S3])</f>
        <v>15</v>
      </c>
      <c r="X34" s="164">
        <f>IF(BetTable[Odds]="","",(BetTable[WBA1-Commission])-BetTable[TS])</f>
        <v>14.25</v>
      </c>
      <c r="Y34" s="168">
        <f>IF(BetTable[Outcome]="","",BetTable[WBA1]+BetTable[WBA2]+BetTable[WBA3]-BetTable[TS])</f>
        <v>14.25</v>
      </c>
      <c r="Z34" s="164">
        <f>(((BetTable[Odds]-1)*BetTable[Stake])*(1-(BetTable[Comm %]))+BetTable[Stake])</f>
        <v>29.25</v>
      </c>
      <c r="AA34" s="164">
        <f>(((BetTable[O2]-1)*BetTable[S2])*(1-(BetTable[C% 2]))+BetTable[S2])</f>
        <v>0</v>
      </c>
      <c r="AB34" s="164">
        <f>(((BetTable[O3]-1)*BetTable[S3])*(1-(BetTable[C% 3]))+BetTable[S3])</f>
        <v>0</v>
      </c>
      <c r="AC34" s="165">
        <f>IFERROR(IF(BetTable[Sport]="","",BetTable[R1]/BetTable[TS]),"")</f>
        <v>0.95</v>
      </c>
      <c r="AD34" s="165" t="str">
        <f>IF(BetTable[O2]="","",#REF!/BetTable[TS])</f>
        <v/>
      </c>
      <c r="AE34" s="165" t="str">
        <f>IFERROR(IF(BetTable[Sport]="","",#REF!/BetTable[TS]),"")</f>
        <v/>
      </c>
      <c r="AF34" s="164">
        <f>IF(BetTable[Outcome]="Win",BetTable[WBA1-Commission],IF(BetTable[Outcome]="Win Half Stake",(BetTable[Stake]/2)+BetTable[WBA1-Commission]/2,IF(BetTable[Outcome]="Lose Half Stake",BetTable[Stake]/2,IF(BetTable[Outcome]="Lose",0,IF(BetTable[Outcome]="Void",BetTable[Stake],)))))</f>
        <v>29.25</v>
      </c>
      <c r="AG34" s="164">
        <f>IF(BetTable[Outcome2]="Win",BetTable[WBA2-Commission],IF(BetTable[Outcome2]="Win Half Stake",(BetTable[S2]/2)+BetTable[WBA2-Commission]/2,IF(BetTable[Outcome2]="Lose Half Stake",BetTable[S2]/2,IF(BetTable[Outcome2]="Lose",0,IF(BetTable[Outcome2]="Void",BetTable[S2],)))))</f>
        <v>0</v>
      </c>
      <c r="AH34" s="164">
        <f>IF(BetTable[Outcome3]="Win",BetTable[WBA3-Commission],IF(BetTable[Outcome3]="Win Half Stake",(BetTable[S3]/2)+BetTable[WBA3-Commission]/2,IF(BetTable[Outcome3]="Lose Half Stake",BetTable[S3]/2,IF(BetTable[Outcome3]="Lose",0,IF(BetTable[Outcome3]="Void",BetTable[S3],)))))</f>
        <v>0</v>
      </c>
      <c r="AI34" s="168">
        <f>IF(BetTable[Outcome]="",AI33,BetTable[Result]+AI33)</f>
        <v>134.74024999999997</v>
      </c>
      <c r="AJ34" s="160"/>
    </row>
    <row r="35" spans="1:36" x14ac:dyDescent="0.2">
      <c r="A35" s="159">
        <v>181025</v>
      </c>
      <c r="B35" s="160" t="s">
        <v>200</v>
      </c>
      <c r="C35" s="161" t="s">
        <v>91</v>
      </c>
      <c r="D35" s="161"/>
      <c r="E35" s="161"/>
      <c r="F35" s="162"/>
      <c r="G35" s="162"/>
      <c r="H35" s="162"/>
      <c r="I35" s="160" t="s">
        <v>359</v>
      </c>
      <c r="J35" s="163">
        <v>2.16</v>
      </c>
      <c r="K35" s="163"/>
      <c r="L35" s="163"/>
      <c r="M35" s="164">
        <v>16</v>
      </c>
      <c r="N35" s="164"/>
      <c r="O35" s="164"/>
      <c r="P35" s="159">
        <v>1</v>
      </c>
      <c r="Q35" s="169">
        <v>0.875</v>
      </c>
      <c r="R35" s="159" t="s">
        <v>418</v>
      </c>
      <c r="S35" s="165">
        <v>1.5152243347844201E-2</v>
      </c>
      <c r="T35" s="166" t="s">
        <v>382</v>
      </c>
      <c r="U35" s="166"/>
      <c r="V35" s="166"/>
      <c r="W35" s="167">
        <f>IF(BetTable[Sport]="","",BetTable[Stake]+BetTable[S2]+BetTable[S3])</f>
        <v>16</v>
      </c>
      <c r="X35" s="164">
        <f>IF(BetTable[Odds]="","",(BetTable[WBA1-Commission])-BetTable[TS])</f>
        <v>18.560000000000002</v>
      </c>
      <c r="Y35" s="168">
        <f>IF(BetTable[Outcome]="","",BetTable[WBA1]+BetTable[WBA2]+BetTable[WBA3]-BetTable[TS])</f>
        <v>-16</v>
      </c>
      <c r="Z35" s="164">
        <f>(((BetTable[Odds]-1)*BetTable[Stake])*(1-(BetTable[Comm %]))+BetTable[Stake])</f>
        <v>34.56</v>
      </c>
      <c r="AA35" s="164">
        <f>(((BetTable[O2]-1)*BetTable[S2])*(1-(BetTable[C% 2]))+BetTable[S2])</f>
        <v>0</v>
      </c>
      <c r="AB35" s="164">
        <f>(((BetTable[O3]-1)*BetTable[S3])*(1-(BetTable[C% 3]))+BetTable[S3])</f>
        <v>0</v>
      </c>
      <c r="AC35" s="165">
        <f>IFERROR(IF(BetTable[Sport]="","",BetTable[R1]/BetTable[TS]),"")</f>
        <v>1.1600000000000001</v>
      </c>
      <c r="AD35" s="165" t="str">
        <f>IF(BetTable[O2]="","",#REF!/BetTable[TS])</f>
        <v/>
      </c>
      <c r="AE35" s="165" t="str">
        <f>IFERROR(IF(BetTable[Sport]="","",#REF!/BetTable[TS]),"")</f>
        <v/>
      </c>
      <c r="AF35" s="164">
        <f>IF(BetTable[Outcome]="Win",BetTable[WBA1-Commission],IF(BetTable[Outcome]="Win Half Stake",(BetTable[Stake]/2)+BetTable[WBA1-Commission]/2,IF(BetTable[Outcome]="Lose Half Stake",BetTable[Stake]/2,IF(BetTable[Outcome]="Lose",0,IF(BetTable[Outcome]="Void",BetTable[Stake],)))))</f>
        <v>0</v>
      </c>
      <c r="AG35" s="164">
        <f>IF(BetTable[Outcome2]="Win",BetTable[WBA2-Commission],IF(BetTable[Outcome2]="Win Half Stake",(BetTable[S2]/2)+BetTable[WBA2-Commission]/2,IF(BetTable[Outcome2]="Lose Half Stake",BetTable[S2]/2,IF(BetTable[Outcome2]="Lose",0,IF(BetTable[Outcome2]="Void",BetTable[S2],)))))</f>
        <v>0</v>
      </c>
      <c r="AH35" s="164">
        <f>IF(BetTable[Outcome3]="Win",BetTable[WBA3-Commission],IF(BetTable[Outcome3]="Win Half Stake",(BetTable[S3]/2)+BetTable[WBA3-Commission]/2,IF(BetTable[Outcome3]="Lose Half Stake",BetTable[S3]/2,IF(BetTable[Outcome3]="Lose",0,IF(BetTable[Outcome3]="Void",BetTable[S3],)))))</f>
        <v>0</v>
      </c>
      <c r="AI35" s="168">
        <f>IF(BetTable[Outcome]="",AI34,BetTable[Result]+AI34)</f>
        <v>118.74024999999997</v>
      </c>
      <c r="AJ35" s="160"/>
    </row>
    <row r="36" spans="1:36" x14ac:dyDescent="0.2">
      <c r="A36" s="159">
        <v>181025</v>
      </c>
      <c r="B36" s="160" t="s">
        <v>200</v>
      </c>
      <c r="C36" s="161" t="s">
        <v>185</v>
      </c>
      <c r="D36" s="161"/>
      <c r="E36" s="161"/>
      <c r="F36" s="162"/>
      <c r="G36" s="162"/>
      <c r="H36" s="162"/>
      <c r="I36" s="160" t="s">
        <v>419</v>
      </c>
      <c r="J36" s="163">
        <v>2.2999999999999998</v>
      </c>
      <c r="K36" s="163"/>
      <c r="L36" s="163"/>
      <c r="M36" s="164">
        <v>28</v>
      </c>
      <c r="N36" s="164"/>
      <c r="O36" s="164"/>
      <c r="P36" s="159">
        <v>1</v>
      </c>
      <c r="Q36" s="169">
        <v>0.875</v>
      </c>
      <c r="R36" s="159" t="s">
        <v>420</v>
      </c>
      <c r="S36" s="165">
        <v>3.03447185325743E-2</v>
      </c>
      <c r="T36" s="166" t="s">
        <v>382</v>
      </c>
      <c r="U36" s="166"/>
      <c r="V36" s="166"/>
      <c r="W36" s="167">
        <f>IF(BetTable[Sport]="","",BetTable[Stake]+BetTable[S2]+BetTable[S3])</f>
        <v>28</v>
      </c>
      <c r="X36" s="164">
        <f>IF(BetTable[Odds]="","",(BetTable[WBA1-Commission])-BetTable[TS])</f>
        <v>36.399999999999991</v>
      </c>
      <c r="Y36" s="168">
        <f>IF(BetTable[Outcome]="","",BetTable[WBA1]+BetTable[WBA2]+BetTable[WBA3]-BetTable[TS])</f>
        <v>-28</v>
      </c>
      <c r="Z36" s="164">
        <f>(((BetTable[Odds]-1)*BetTable[Stake])*(1-(BetTable[Comm %]))+BetTable[Stake])</f>
        <v>64.399999999999991</v>
      </c>
      <c r="AA36" s="164">
        <f>(((BetTable[O2]-1)*BetTable[S2])*(1-(BetTable[C% 2]))+BetTable[S2])</f>
        <v>0</v>
      </c>
      <c r="AB36" s="164">
        <f>(((BetTable[O3]-1)*BetTable[S3])*(1-(BetTable[C% 3]))+BetTable[S3])</f>
        <v>0</v>
      </c>
      <c r="AC36" s="165">
        <f>IFERROR(IF(BetTable[Sport]="","",BetTable[R1]/BetTable[TS]),"")</f>
        <v>1.2999999999999996</v>
      </c>
      <c r="AD36" s="165" t="str">
        <f>IF(BetTable[O2]="","",#REF!/BetTable[TS])</f>
        <v/>
      </c>
      <c r="AE36" s="165" t="str">
        <f>IFERROR(IF(BetTable[Sport]="","",#REF!/BetTable[TS]),"")</f>
        <v/>
      </c>
      <c r="AF36" s="164">
        <f>IF(BetTable[Outcome]="Win",BetTable[WBA1-Commission],IF(BetTable[Outcome]="Win Half Stake",(BetTable[Stake]/2)+BetTable[WBA1-Commission]/2,IF(BetTable[Outcome]="Lose Half Stake",BetTable[Stake]/2,IF(BetTable[Outcome]="Lose",0,IF(BetTable[Outcome]="Void",BetTable[Stake],)))))</f>
        <v>0</v>
      </c>
      <c r="AG36" s="164">
        <f>IF(BetTable[Outcome2]="Win",BetTable[WBA2-Commission],IF(BetTable[Outcome2]="Win Half Stake",(BetTable[S2]/2)+BetTable[WBA2-Commission]/2,IF(BetTable[Outcome2]="Lose Half Stake",BetTable[S2]/2,IF(BetTable[Outcome2]="Lose",0,IF(BetTable[Outcome2]="Void",BetTable[S2],)))))</f>
        <v>0</v>
      </c>
      <c r="AH36" s="164">
        <f>IF(BetTable[Outcome3]="Win",BetTable[WBA3-Commission],IF(BetTable[Outcome3]="Win Half Stake",(BetTable[S3]/2)+BetTable[WBA3-Commission]/2,IF(BetTable[Outcome3]="Lose Half Stake",BetTable[S3]/2,IF(BetTable[Outcome3]="Lose",0,IF(BetTable[Outcome3]="Void",BetTable[S3],)))))</f>
        <v>0</v>
      </c>
      <c r="AI36" s="168">
        <f>IF(BetTable[Outcome]="",AI35,BetTable[Result]+AI35)</f>
        <v>90.740249999999975</v>
      </c>
      <c r="AJ36" s="160"/>
    </row>
    <row r="37" spans="1:36" x14ac:dyDescent="0.2">
      <c r="A37" s="159">
        <v>181025</v>
      </c>
      <c r="B37" s="160" t="s">
        <v>200</v>
      </c>
      <c r="C37" s="161" t="s">
        <v>185</v>
      </c>
      <c r="D37" s="161"/>
      <c r="E37" s="161"/>
      <c r="F37" s="162"/>
      <c r="G37" s="162"/>
      <c r="H37" s="162"/>
      <c r="I37" s="160" t="s">
        <v>421</v>
      </c>
      <c r="J37" s="163">
        <v>2.25</v>
      </c>
      <c r="K37" s="163"/>
      <c r="L37" s="163"/>
      <c r="M37" s="164">
        <v>17</v>
      </c>
      <c r="N37" s="164"/>
      <c r="O37" s="164"/>
      <c r="P37" s="159">
        <v>1</v>
      </c>
      <c r="Q37" s="169">
        <v>0.78819444444444453</v>
      </c>
      <c r="R37" s="159" t="s">
        <v>422</v>
      </c>
      <c r="S37" s="165">
        <v>1.7644068346263801E-2</v>
      </c>
      <c r="T37" s="166" t="s">
        <v>382</v>
      </c>
      <c r="U37" s="166"/>
      <c r="V37" s="166"/>
      <c r="W37" s="167">
        <f>IF(BetTable[Sport]="","",BetTable[Stake]+BetTable[S2]+BetTable[S3])</f>
        <v>17</v>
      </c>
      <c r="X37" s="164">
        <f>IF(BetTable[Odds]="","",(BetTable[WBA1-Commission])-BetTable[TS])</f>
        <v>21.25</v>
      </c>
      <c r="Y37" s="168">
        <f>IF(BetTable[Outcome]="","",BetTable[WBA1]+BetTable[WBA2]+BetTable[WBA3]-BetTable[TS])</f>
        <v>-17</v>
      </c>
      <c r="Z37" s="164">
        <f>(((BetTable[Odds]-1)*BetTable[Stake])*(1-(BetTable[Comm %]))+BetTable[Stake])</f>
        <v>38.25</v>
      </c>
      <c r="AA37" s="164">
        <f>(((BetTable[O2]-1)*BetTable[S2])*(1-(BetTable[C% 2]))+BetTable[S2])</f>
        <v>0</v>
      </c>
      <c r="AB37" s="164">
        <f>(((BetTable[O3]-1)*BetTable[S3])*(1-(BetTable[C% 3]))+BetTable[S3])</f>
        <v>0</v>
      </c>
      <c r="AC37" s="165">
        <f>IFERROR(IF(BetTable[Sport]="","",BetTable[R1]/BetTable[TS]),"")</f>
        <v>1.25</v>
      </c>
      <c r="AD37" s="165" t="str">
        <f>IF(BetTable[O2]="","",#REF!/BetTable[TS])</f>
        <v/>
      </c>
      <c r="AE37" s="165" t="str">
        <f>IFERROR(IF(BetTable[Sport]="","",#REF!/BetTable[TS]),"")</f>
        <v/>
      </c>
      <c r="AF37" s="164">
        <f>IF(BetTable[Outcome]="Win",BetTable[WBA1-Commission],IF(BetTable[Outcome]="Win Half Stake",(BetTable[Stake]/2)+BetTable[WBA1-Commission]/2,IF(BetTable[Outcome]="Lose Half Stake",BetTable[Stake]/2,IF(BetTable[Outcome]="Lose",0,IF(BetTable[Outcome]="Void",BetTable[Stake],)))))</f>
        <v>0</v>
      </c>
      <c r="AG37" s="164">
        <f>IF(BetTable[Outcome2]="Win",BetTable[WBA2-Commission],IF(BetTable[Outcome2]="Win Half Stake",(BetTable[S2]/2)+BetTable[WBA2-Commission]/2,IF(BetTable[Outcome2]="Lose Half Stake",BetTable[S2]/2,IF(BetTable[Outcome2]="Lose",0,IF(BetTable[Outcome2]="Void",BetTable[S2],)))))</f>
        <v>0</v>
      </c>
      <c r="AH37" s="164">
        <f>IF(BetTable[Outcome3]="Win",BetTable[WBA3-Commission],IF(BetTable[Outcome3]="Win Half Stake",(BetTable[S3]/2)+BetTable[WBA3-Commission]/2,IF(BetTable[Outcome3]="Lose Half Stake",BetTable[S3]/2,IF(BetTable[Outcome3]="Lose",0,IF(BetTable[Outcome3]="Void",BetTable[S3],)))))</f>
        <v>0</v>
      </c>
      <c r="AI37" s="168">
        <f>IF(BetTable[Outcome]="",AI36,BetTable[Result]+AI36)</f>
        <v>73.740249999999975</v>
      </c>
      <c r="AJ37" s="160"/>
    </row>
    <row r="38" spans="1:36" x14ac:dyDescent="0.2">
      <c r="A38" s="159">
        <v>181025</v>
      </c>
      <c r="B38" s="160" t="s">
        <v>8</v>
      </c>
      <c r="C38" s="161" t="s">
        <v>91</v>
      </c>
      <c r="D38" s="161"/>
      <c r="E38" s="161"/>
      <c r="F38" s="162"/>
      <c r="G38" s="162"/>
      <c r="H38" s="162"/>
      <c r="I38" s="160" t="s">
        <v>423</v>
      </c>
      <c r="J38" s="163">
        <v>2.5299999999999998</v>
      </c>
      <c r="K38" s="163"/>
      <c r="L38" s="163"/>
      <c r="M38" s="164">
        <v>37</v>
      </c>
      <c r="N38" s="164"/>
      <c r="O38" s="164"/>
      <c r="P38" s="159">
        <v>2</v>
      </c>
      <c r="Q38" s="169">
        <v>0.83333333333333337</v>
      </c>
      <c r="R38" s="159" t="s">
        <v>424</v>
      </c>
      <c r="S38" s="165">
        <v>4.6544419314666699E-2</v>
      </c>
      <c r="T38" s="166" t="s">
        <v>382</v>
      </c>
      <c r="U38" s="166"/>
      <c r="V38" s="166"/>
      <c r="W38" s="167">
        <f>IF(BetTable[Sport]="","",BetTable[Stake]+BetTable[S2]+BetTable[S3])</f>
        <v>37</v>
      </c>
      <c r="X38" s="164">
        <f>IF(BetTable[Odds]="","",(BetTable[WBA1-Commission])-BetTable[TS])</f>
        <v>56.609999999999985</v>
      </c>
      <c r="Y38" s="168">
        <f>IF(BetTable[Outcome]="","",BetTable[WBA1]+BetTable[WBA2]+BetTable[WBA3]-BetTable[TS])</f>
        <v>-37</v>
      </c>
      <c r="Z38" s="164">
        <f>(((BetTable[Odds]-1)*BetTable[Stake])*(1-(BetTable[Comm %]))+BetTable[Stake])</f>
        <v>93.609999999999985</v>
      </c>
      <c r="AA38" s="164">
        <f>(((BetTable[O2]-1)*BetTable[S2])*(1-(BetTable[C% 2]))+BetTable[S2])</f>
        <v>0</v>
      </c>
      <c r="AB38" s="164">
        <f>(((BetTable[O3]-1)*BetTable[S3])*(1-(BetTable[C% 3]))+BetTable[S3])</f>
        <v>0</v>
      </c>
      <c r="AC38" s="165">
        <f>IFERROR(IF(BetTable[Sport]="","",BetTable[R1]/BetTable[TS]),"")</f>
        <v>1.5299999999999996</v>
      </c>
      <c r="AD38" s="165" t="str">
        <f>IF(BetTable[O2]="","",#REF!/BetTable[TS])</f>
        <v/>
      </c>
      <c r="AE38" s="165" t="str">
        <f>IFERROR(IF(BetTable[Sport]="","",#REF!/BetTable[TS]),"")</f>
        <v/>
      </c>
      <c r="AF38" s="164">
        <f>IF(BetTable[Outcome]="Win",BetTable[WBA1-Commission],IF(BetTable[Outcome]="Win Half Stake",(BetTable[Stake]/2)+BetTable[WBA1-Commission]/2,IF(BetTable[Outcome]="Lose Half Stake",BetTable[Stake]/2,IF(BetTable[Outcome]="Lose",0,IF(BetTable[Outcome]="Void",BetTable[Stake],)))))</f>
        <v>0</v>
      </c>
      <c r="AG38" s="164">
        <f>IF(BetTable[Outcome2]="Win",BetTable[WBA2-Commission],IF(BetTable[Outcome2]="Win Half Stake",(BetTable[S2]/2)+BetTable[WBA2-Commission]/2,IF(BetTable[Outcome2]="Lose Half Stake",BetTable[S2]/2,IF(BetTable[Outcome2]="Lose",0,IF(BetTable[Outcome2]="Void",BetTable[S2],)))))</f>
        <v>0</v>
      </c>
      <c r="AH38" s="164">
        <f>IF(BetTable[Outcome3]="Win",BetTable[WBA3-Commission],IF(BetTable[Outcome3]="Win Half Stake",(BetTable[S3]/2)+BetTable[WBA3-Commission]/2,IF(BetTable[Outcome3]="Lose Half Stake",BetTable[S3]/2,IF(BetTable[Outcome3]="Lose",0,IF(BetTable[Outcome3]="Void",BetTable[S3],)))))</f>
        <v>0</v>
      </c>
      <c r="AI38" s="168">
        <f>IF(BetTable[Outcome]="",AI37,BetTable[Result]+AI37)</f>
        <v>36.740249999999975</v>
      </c>
      <c r="AJ38" s="160"/>
    </row>
    <row r="39" spans="1:36" x14ac:dyDescent="0.2">
      <c r="A39" s="159" t="s">
        <v>426</v>
      </c>
      <c r="B39" s="160" t="s">
        <v>8</v>
      </c>
      <c r="C39" s="161" t="s">
        <v>91</v>
      </c>
      <c r="D39" s="161"/>
      <c r="E39" s="161"/>
      <c r="F39" s="162"/>
      <c r="G39" s="162"/>
      <c r="H39" s="162"/>
      <c r="I39" s="160" t="s">
        <v>427</v>
      </c>
      <c r="J39" s="163">
        <v>2.23</v>
      </c>
      <c r="K39" s="163"/>
      <c r="L39" s="163"/>
      <c r="M39" s="164">
        <v>23</v>
      </c>
      <c r="N39" s="164"/>
      <c r="O39" s="164"/>
      <c r="P39" s="159" t="s">
        <v>428</v>
      </c>
      <c r="Q39" s="159" t="s">
        <v>429</v>
      </c>
      <c r="R39" s="159" t="s">
        <v>430</v>
      </c>
      <c r="S39" s="165">
        <v>2.37107022686526E-2</v>
      </c>
      <c r="T39" s="166" t="s">
        <v>372</v>
      </c>
      <c r="U39" s="166"/>
      <c r="V39" s="166"/>
      <c r="W39" s="167">
        <f>IF(BetTable[Sport]="","",BetTable[Stake]+BetTable[S2]+BetTable[S3])</f>
        <v>23</v>
      </c>
      <c r="X39" s="164">
        <f>IF(BetTable[Odds]="","",(BetTable[WBA1-Commission])-BetTable[TS])</f>
        <v>28.29</v>
      </c>
      <c r="Y39" s="168">
        <f>IF(BetTable[Outcome]="","",BetTable[WBA1]+BetTable[WBA2]+BetTable[WBA3]-BetTable[TS])</f>
        <v>28.29</v>
      </c>
      <c r="Z39" s="164">
        <f>(((BetTable[Odds]-1)*BetTable[Stake])*(1-(BetTable[Comm %]))+BetTable[Stake])</f>
        <v>51.29</v>
      </c>
      <c r="AA39" s="164">
        <f>(((BetTable[O2]-1)*BetTable[S2])*(1-(BetTable[C% 2]))+BetTable[S2])</f>
        <v>0</v>
      </c>
      <c r="AB39" s="164">
        <f>(((BetTable[O3]-1)*BetTable[S3])*(1-(BetTable[C% 3]))+BetTable[S3])</f>
        <v>0</v>
      </c>
      <c r="AC39" s="165">
        <f>IFERROR(IF(BetTable[Sport]="","",BetTable[R1]/BetTable[TS]),"")</f>
        <v>1.23</v>
      </c>
      <c r="AD39" s="165" t="str">
        <f>IF(BetTable[O2]="","",#REF!/BetTable[TS])</f>
        <v/>
      </c>
      <c r="AE39" s="165" t="str">
        <f>IFERROR(IF(BetTable[Sport]="","",#REF!/BetTable[TS]),"")</f>
        <v/>
      </c>
      <c r="AF39" s="164">
        <f>IF(BetTable[Outcome]="Win",BetTable[WBA1-Commission],IF(BetTable[Outcome]="Win Half Stake",(BetTable[Stake]/2)+BetTable[WBA1-Commission]/2,IF(BetTable[Outcome]="Lose Half Stake",BetTable[Stake]/2,IF(BetTable[Outcome]="Lose",0,IF(BetTable[Outcome]="Void",BetTable[Stake],)))))</f>
        <v>51.29</v>
      </c>
      <c r="AG39" s="164">
        <f>IF(BetTable[Outcome2]="Win",BetTable[WBA2-Commission],IF(BetTable[Outcome2]="Win Half Stake",(BetTable[S2]/2)+BetTable[WBA2-Commission]/2,IF(BetTable[Outcome2]="Lose Half Stake",BetTable[S2]/2,IF(BetTable[Outcome2]="Lose",0,IF(BetTable[Outcome2]="Void",BetTable[S2],)))))</f>
        <v>0</v>
      </c>
      <c r="AH39" s="164">
        <f>IF(BetTable[Outcome3]="Win",BetTable[WBA3-Commission],IF(BetTable[Outcome3]="Win Half Stake",(BetTable[S3]/2)+BetTable[WBA3-Commission]/2,IF(BetTable[Outcome3]="Lose Half Stake",BetTable[S3]/2,IF(BetTable[Outcome3]="Lose",0,IF(BetTable[Outcome3]="Void",BetTable[S3],)))))</f>
        <v>0</v>
      </c>
      <c r="AI39" s="168">
        <f>IF(BetTable[Outcome]="",AI38,BetTable[Result]+AI38)</f>
        <v>65.030249999999967</v>
      </c>
      <c r="AJ39" s="160"/>
    </row>
    <row r="40" spans="1:36" x14ac:dyDescent="0.2">
      <c r="A40" s="159" t="s">
        <v>426</v>
      </c>
      <c r="B40" s="160" t="s">
        <v>200</v>
      </c>
      <c r="C40" s="161" t="s">
        <v>91</v>
      </c>
      <c r="D40" s="161"/>
      <c r="E40" s="161"/>
      <c r="F40" s="162"/>
      <c r="G40" s="162"/>
      <c r="H40" s="162"/>
      <c r="I40" s="160" t="s">
        <v>431</v>
      </c>
      <c r="J40" s="163">
        <v>1.65</v>
      </c>
      <c r="K40" s="163"/>
      <c r="L40" s="163"/>
      <c r="M40" s="164">
        <v>44</v>
      </c>
      <c r="N40" s="164"/>
      <c r="O40" s="164"/>
      <c r="P40" s="159" t="s">
        <v>385</v>
      </c>
      <c r="Q40" s="159" t="s">
        <v>432</v>
      </c>
      <c r="R40" s="159" t="s">
        <v>433</v>
      </c>
      <c r="S40" s="165">
        <v>2.3743098755609801E-2</v>
      </c>
      <c r="T40" s="166" t="s">
        <v>372</v>
      </c>
      <c r="U40" s="166"/>
      <c r="V40" s="166"/>
      <c r="W40" s="167">
        <f>IF(BetTable[Sport]="","",BetTable[Stake]+BetTable[S2]+BetTable[S3])</f>
        <v>44</v>
      </c>
      <c r="X40" s="164">
        <f>IF(BetTable[Odds]="","",(BetTable[WBA1-Commission])-BetTable[TS])</f>
        <v>28.599999999999994</v>
      </c>
      <c r="Y40" s="168">
        <f>IF(BetTable[Outcome]="","",BetTable[WBA1]+BetTable[WBA2]+BetTable[WBA3]-BetTable[TS])</f>
        <v>28.599999999999994</v>
      </c>
      <c r="Z40" s="164">
        <f>(((BetTable[Odds]-1)*BetTable[Stake])*(1-(BetTable[Comm %]))+BetTable[Stake])</f>
        <v>72.599999999999994</v>
      </c>
      <c r="AA40" s="164">
        <f>(((BetTable[O2]-1)*BetTable[S2])*(1-(BetTable[C% 2]))+BetTable[S2])</f>
        <v>0</v>
      </c>
      <c r="AB40" s="164">
        <f>(((BetTable[O3]-1)*BetTable[S3])*(1-(BetTable[C% 3]))+BetTable[S3])</f>
        <v>0</v>
      </c>
      <c r="AC40" s="165">
        <f>IFERROR(IF(BetTable[Sport]="","",BetTable[R1]/BetTable[TS]),"")</f>
        <v>0.64999999999999991</v>
      </c>
      <c r="AD40" s="165" t="str">
        <f>IF(BetTable[O2]="","",#REF!/BetTable[TS])</f>
        <v/>
      </c>
      <c r="AE40" s="165" t="str">
        <f>IFERROR(IF(BetTable[Sport]="","",#REF!/BetTable[TS]),"")</f>
        <v/>
      </c>
      <c r="AF40" s="164">
        <f>IF(BetTable[Outcome]="Win",BetTable[WBA1-Commission],IF(BetTable[Outcome]="Win Half Stake",(BetTable[Stake]/2)+BetTable[WBA1-Commission]/2,IF(BetTable[Outcome]="Lose Half Stake",BetTable[Stake]/2,IF(BetTable[Outcome]="Lose",0,IF(BetTable[Outcome]="Void",BetTable[Stake],)))))</f>
        <v>72.599999999999994</v>
      </c>
      <c r="AG40" s="164">
        <f>IF(BetTable[Outcome2]="Win",BetTable[WBA2-Commission],IF(BetTable[Outcome2]="Win Half Stake",(BetTable[S2]/2)+BetTable[WBA2-Commission]/2,IF(BetTable[Outcome2]="Lose Half Stake",BetTable[S2]/2,IF(BetTable[Outcome2]="Lose",0,IF(BetTable[Outcome2]="Void",BetTable[S2],)))))</f>
        <v>0</v>
      </c>
      <c r="AH40" s="164">
        <f>IF(BetTable[Outcome3]="Win",BetTable[WBA3-Commission],IF(BetTable[Outcome3]="Win Half Stake",(BetTable[S3]/2)+BetTable[WBA3-Commission]/2,IF(BetTable[Outcome3]="Lose Half Stake",BetTable[S3]/2,IF(BetTable[Outcome3]="Lose",0,IF(BetTable[Outcome3]="Void",BetTable[S3],)))))</f>
        <v>0</v>
      </c>
      <c r="AI40" s="168">
        <f>IF(BetTable[Outcome]="",AI39,BetTable[Result]+AI39)</f>
        <v>93.630249999999961</v>
      </c>
      <c r="AJ40" s="160"/>
    </row>
    <row r="41" spans="1:36" x14ac:dyDescent="0.2">
      <c r="A41" s="159" t="s">
        <v>426</v>
      </c>
      <c r="B41" s="160" t="s">
        <v>8</v>
      </c>
      <c r="C41" s="161" t="s">
        <v>91</v>
      </c>
      <c r="D41" s="161"/>
      <c r="E41" s="161"/>
      <c r="F41" s="162"/>
      <c r="G41" s="162"/>
      <c r="H41" s="162"/>
      <c r="I41" s="160" t="s">
        <v>434</v>
      </c>
      <c r="J41" s="163">
        <v>1.5</v>
      </c>
      <c r="K41" s="163"/>
      <c r="L41" s="163"/>
      <c r="M41" s="164">
        <v>32</v>
      </c>
      <c r="N41" s="164"/>
      <c r="O41" s="164"/>
      <c r="P41" s="159" t="s">
        <v>435</v>
      </c>
      <c r="Q41" s="159" t="s">
        <v>436</v>
      </c>
      <c r="R41" s="159" t="s">
        <v>437</v>
      </c>
      <c r="S41" s="165">
        <v>3.0340819305282901E-2</v>
      </c>
      <c r="T41" s="166" t="s">
        <v>382</v>
      </c>
      <c r="U41" s="166"/>
      <c r="V41" s="166"/>
      <c r="W41" s="167">
        <f>IF(BetTable[Sport]="","",BetTable[Stake]+BetTable[S2]+BetTable[S3])</f>
        <v>32</v>
      </c>
      <c r="X41" s="164">
        <f>IF(BetTable[Odds]="","",(BetTable[WBA1-Commission])-BetTable[TS])</f>
        <v>16</v>
      </c>
      <c r="Y41" s="168">
        <f>IF(BetTable[Outcome]="","",BetTable[WBA1]+BetTable[WBA2]+BetTable[WBA3]-BetTable[TS])</f>
        <v>-32</v>
      </c>
      <c r="Z41" s="164">
        <f>(((BetTable[Odds]-1)*BetTable[Stake])*(1-(BetTable[Comm %]))+BetTable[Stake])</f>
        <v>48</v>
      </c>
      <c r="AA41" s="164">
        <f>(((BetTable[O2]-1)*BetTable[S2])*(1-(BetTable[C% 2]))+BetTable[S2])</f>
        <v>0</v>
      </c>
      <c r="AB41" s="164">
        <f>(((BetTable[O3]-1)*BetTable[S3])*(1-(BetTable[C% 3]))+BetTable[S3])</f>
        <v>0</v>
      </c>
      <c r="AC41" s="165">
        <f>IFERROR(IF(BetTable[Sport]="","",BetTable[R1]/BetTable[TS]),"")</f>
        <v>0.5</v>
      </c>
      <c r="AD41" s="165" t="str">
        <f>IF(BetTable[O2]="","",#REF!/BetTable[TS])</f>
        <v/>
      </c>
      <c r="AE41" s="165" t="str">
        <f>IFERROR(IF(BetTable[Sport]="","",#REF!/BetTable[TS]),"")</f>
        <v/>
      </c>
      <c r="AF41" s="164">
        <f>IF(BetTable[Outcome]="Win",BetTable[WBA1-Commission],IF(BetTable[Outcome]="Win Half Stake",(BetTable[Stake]/2)+BetTable[WBA1-Commission]/2,IF(BetTable[Outcome]="Lose Half Stake",BetTable[Stake]/2,IF(BetTable[Outcome]="Lose",0,IF(BetTable[Outcome]="Void",BetTable[Stake],)))))</f>
        <v>0</v>
      </c>
      <c r="AG41" s="164">
        <f>IF(BetTable[Outcome2]="Win",BetTable[WBA2-Commission],IF(BetTable[Outcome2]="Win Half Stake",(BetTable[S2]/2)+BetTable[WBA2-Commission]/2,IF(BetTable[Outcome2]="Lose Half Stake",BetTable[S2]/2,IF(BetTable[Outcome2]="Lose",0,IF(BetTable[Outcome2]="Void",BetTable[S2],)))))</f>
        <v>0</v>
      </c>
      <c r="AH41" s="164">
        <f>IF(BetTable[Outcome3]="Win",BetTable[WBA3-Commission],IF(BetTable[Outcome3]="Win Half Stake",(BetTable[S3]/2)+BetTable[WBA3-Commission]/2,IF(BetTable[Outcome3]="Lose Half Stake",BetTable[S3]/2,IF(BetTable[Outcome3]="Lose",0,IF(BetTable[Outcome3]="Void",BetTable[S3],)))))</f>
        <v>0</v>
      </c>
      <c r="AI41" s="168">
        <f>IF(BetTable[Outcome]="",AI40,BetTable[Result]+AI40)</f>
        <v>61.630249999999961</v>
      </c>
      <c r="AJ41" s="160"/>
    </row>
    <row r="42" spans="1:36" x14ac:dyDescent="0.2">
      <c r="A42" s="159" t="s">
        <v>426</v>
      </c>
      <c r="B42" s="160" t="s">
        <v>8</v>
      </c>
      <c r="C42" s="161" t="s">
        <v>216</v>
      </c>
      <c r="D42" s="161"/>
      <c r="E42" s="161"/>
      <c r="F42" s="162"/>
      <c r="G42" s="162"/>
      <c r="H42" s="162"/>
      <c r="I42" s="160" t="s">
        <v>438</v>
      </c>
      <c r="J42" s="163">
        <v>2.65</v>
      </c>
      <c r="K42" s="163"/>
      <c r="L42" s="163"/>
      <c r="M42" s="164">
        <v>16</v>
      </c>
      <c r="N42" s="164"/>
      <c r="O42" s="164"/>
      <c r="P42" s="159" t="s">
        <v>428</v>
      </c>
      <c r="Q42" s="159" t="s">
        <v>439</v>
      </c>
      <c r="R42" s="159" t="s">
        <v>440</v>
      </c>
      <c r="S42" s="165">
        <v>2.3104271026096999E-2</v>
      </c>
      <c r="T42" s="166" t="s">
        <v>382</v>
      </c>
      <c r="U42" s="166"/>
      <c r="V42" s="166"/>
      <c r="W42" s="167">
        <f>IF(BetTable[Sport]="","",BetTable[Stake]+BetTable[S2]+BetTable[S3])</f>
        <v>16</v>
      </c>
      <c r="X42" s="164">
        <f>IF(BetTable[Odds]="","",(BetTable[WBA1-Commission])-BetTable[TS])</f>
        <v>26.4</v>
      </c>
      <c r="Y42" s="168">
        <f>IF(BetTable[Outcome]="","",BetTable[WBA1]+BetTable[WBA2]+BetTable[WBA3]-BetTable[TS])</f>
        <v>-16</v>
      </c>
      <c r="Z42" s="164">
        <f>(((BetTable[Odds]-1)*BetTable[Stake])*(1-(BetTable[Comm %]))+BetTable[Stake])</f>
        <v>42.4</v>
      </c>
      <c r="AA42" s="164">
        <f>(((BetTable[O2]-1)*BetTable[S2])*(1-(BetTable[C% 2]))+BetTable[S2])</f>
        <v>0</v>
      </c>
      <c r="AB42" s="164">
        <f>(((BetTable[O3]-1)*BetTable[S3])*(1-(BetTable[C% 3]))+BetTable[S3])</f>
        <v>0</v>
      </c>
      <c r="AC42" s="165">
        <f>IFERROR(IF(BetTable[Sport]="","",BetTable[R1]/BetTable[TS]),"")</f>
        <v>1.65</v>
      </c>
      <c r="AD42" s="165" t="str">
        <f>IF(BetTable[O2]="","",#REF!/BetTable[TS])</f>
        <v/>
      </c>
      <c r="AE42" s="165" t="str">
        <f>IFERROR(IF(BetTable[Sport]="","",#REF!/BetTable[TS]),"")</f>
        <v/>
      </c>
      <c r="AF42" s="164">
        <f>IF(BetTable[Outcome]="Win",BetTable[WBA1-Commission],IF(BetTable[Outcome]="Win Half Stake",(BetTable[Stake]/2)+BetTable[WBA1-Commission]/2,IF(BetTable[Outcome]="Lose Half Stake",BetTable[Stake]/2,IF(BetTable[Outcome]="Lose",0,IF(BetTable[Outcome]="Void",BetTable[Stake],)))))</f>
        <v>0</v>
      </c>
      <c r="AG42" s="164">
        <f>IF(BetTable[Outcome2]="Win",BetTable[WBA2-Commission],IF(BetTable[Outcome2]="Win Half Stake",(BetTable[S2]/2)+BetTable[WBA2-Commission]/2,IF(BetTable[Outcome2]="Lose Half Stake",BetTable[S2]/2,IF(BetTable[Outcome2]="Lose",0,IF(BetTable[Outcome2]="Void",BetTable[S2],)))))</f>
        <v>0</v>
      </c>
      <c r="AH42" s="164">
        <f>IF(BetTable[Outcome3]="Win",BetTable[WBA3-Commission],IF(BetTable[Outcome3]="Win Half Stake",(BetTable[S3]/2)+BetTable[WBA3-Commission]/2,IF(BetTable[Outcome3]="Lose Half Stake",BetTable[S3]/2,IF(BetTable[Outcome3]="Lose",0,IF(BetTable[Outcome3]="Void",BetTable[S3],)))))</f>
        <v>0</v>
      </c>
      <c r="AI42" s="168">
        <f>IF(BetTable[Outcome]="",AI41,BetTable[Result]+AI41)</f>
        <v>45.630249999999961</v>
      </c>
      <c r="AJ42" s="160"/>
    </row>
    <row r="43" spans="1:36" x14ac:dyDescent="0.2">
      <c r="A43" s="159" t="s">
        <v>426</v>
      </c>
      <c r="B43" s="160" t="s">
        <v>200</v>
      </c>
      <c r="C43" s="161" t="s">
        <v>234</v>
      </c>
      <c r="D43" s="161"/>
      <c r="E43" s="161"/>
      <c r="F43" s="162"/>
      <c r="G43" s="162"/>
      <c r="H43" s="162"/>
      <c r="I43" s="160" t="s">
        <v>441</v>
      </c>
      <c r="J43" s="163">
        <v>5.3</v>
      </c>
      <c r="K43" s="163"/>
      <c r="L43" s="163"/>
      <c r="M43" s="164">
        <v>10</v>
      </c>
      <c r="N43" s="164"/>
      <c r="O43" s="164"/>
      <c r="P43" s="159" t="s">
        <v>442</v>
      </c>
      <c r="Q43" s="159" t="s">
        <v>443</v>
      </c>
      <c r="R43" s="159" t="s">
        <v>444</v>
      </c>
      <c r="S43" s="165">
        <v>3.5837805900384601E-2</v>
      </c>
      <c r="T43" s="166" t="s">
        <v>372</v>
      </c>
      <c r="U43" s="166"/>
      <c r="V43" s="166"/>
      <c r="W43" s="167">
        <f>IF(BetTable[Sport]="","",BetTable[Stake]+BetTable[S2]+BetTable[S3])</f>
        <v>10</v>
      </c>
      <c r="X43" s="164">
        <f>IF(BetTable[Odds]="","",(BetTable[WBA1-Commission])-BetTable[TS])</f>
        <v>43</v>
      </c>
      <c r="Y43" s="168">
        <f>IF(BetTable[Outcome]="","",BetTable[WBA1]+BetTable[WBA2]+BetTable[WBA3]-BetTable[TS])</f>
        <v>43</v>
      </c>
      <c r="Z43" s="164">
        <f>(((BetTable[Odds]-1)*BetTable[Stake])*(1-(BetTable[Comm %]))+BetTable[Stake])</f>
        <v>53</v>
      </c>
      <c r="AA43" s="164">
        <f>(((BetTable[O2]-1)*BetTable[S2])*(1-(BetTable[C% 2]))+BetTable[S2])</f>
        <v>0</v>
      </c>
      <c r="AB43" s="164">
        <f>(((BetTable[O3]-1)*BetTable[S3])*(1-(BetTable[C% 3]))+BetTable[S3])</f>
        <v>0</v>
      </c>
      <c r="AC43" s="165">
        <f>IFERROR(IF(BetTable[Sport]="","",BetTable[R1]/BetTable[TS]),"")</f>
        <v>4.3</v>
      </c>
      <c r="AD43" s="165" t="str">
        <f>IF(BetTable[O2]="","",#REF!/BetTable[TS])</f>
        <v/>
      </c>
      <c r="AE43" s="165" t="str">
        <f>IFERROR(IF(BetTable[Sport]="","",#REF!/BetTable[TS]),"")</f>
        <v/>
      </c>
      <c r="AF43" s="164">
        <f>IF(BetTable[Outcome]="Win",BetTable[WBA1-Commission],IF(BetTable[Outcome]="Win Half Stake",(BetTable[Stake]/2)+BetTable[WBA1-Commission]/2,IF(BetTable[Outcome]="Lose Half Stake",BetTable[Stake]/2,IF(BetTable[Outcome]="Lose",0,IF(BetTable[Outcome]="Void",BetTable[Stake],)))))</f>
        <v>53</v>
      </c>
      <c r="AG43" s="164">
        <f>IF(BetTable[Outcome2]="Win",BetTable[WBA2-Commission],IF(BetTable[Outcome2]="Win Half Stake",(BetTable[S2]/2)+BetTable[WBA2-Commission]/2,IF(BetTable[Outcome2]="Lose Half Stake",BetTable[S2]/2,IF(BetTable[Outcome2]="Lose",0,IF(BetTable[Outcome2]="Void",BetTable[S2],)))))</f>
        <v>0</v>
      </c>
      <c r="AH43" s="164">
        <f>IF(BetTable[Outcome3]="Win",BetTable[WBA3-Commission],IF(BetTable[Outcome3]="Win Half Stake",(BetTable[S3]/2)+BetTable[WBA3-Commission]/2,IF(BetTable[Outcome3]="Lose Half Stake",BetTable[S3]/2,IF(BetTable[Outcome3]="Lose",0,IF(BetTable[Outcome3]="Void",BetTable[S3],)))))</f>
        <v>0</v>
      </c>
      <c r="AI43" s="168">
        <f>IF(BetTable[Outcome]="",AI42,BetTable[Result]+AI42)</f>
        <v>88.630249999999961</v>
      </c>
      <c r="AJ43" s="160"/>
    </row>
    <row r="44" spans="1:36" x14ac:dyDescent="0.2">
      <c r="A44" s="159" t="s">
        <v>426</v>
      </c>
      <c r="B44" s="160" t="s">
        <v>200</v>
      </c>
      <c r="C44" s="161" t="s">
        <v>234</v>
      </c>
      <c r="D44" s="161"/>
      <c r="E44" s="161"/>
      <c r="F44" s="162"/>
      <c r="G44" s="162"/>
      <c r="H44" s="162"/>
      <c r="I44" s="160" t="s">
        <v>445</v>
      </c>
      <c r="J44" s="163">
        <v>1.58</v>
      </c>
      <c r="K44" s="163"/>
      <c r="L44" s="163"/>
      <c r="M44" s="164">
        <v>39</v>
      </c>
      <c r="N44" s="164"/>
      <c r="O44" s="164"/>
      <c r="P44" s="159" t="s">
        <v>406</v>
      </c>
      <c r="Q44" s="159" t="s">
        <v>432</v>
      </c>
      <c r="R44" s="159" t="s">
        <v>446</v>
      </c>
      <c r="S44" s="165">
        <v>1.8825497907954101E-2</v>
      </c>
      <c r="T44" s="166" t="s">
        <v>510</v>
      </c>
      <c r="U44" s="166"/>
      <c r="V44" s="166"/>
      <c r="W44" s="167">
        <f>IF(BetTable[Sport]="","",BetTable[Stake]+BetTable[S2]+BetTable[S3])</f>
        <v>39</v>
      </c>
      <c r="X44" s="164">
        <f>IF(BetTable[Odds]="","",(BetTable[WBA1-Commission])-BetTable[TS])</f>
        <v>22.620000000000005</v>
      </c>
      <c r="Y44" s="168">
        <f>IF(BetTable[Outcome]="","",BetTable[WBA1]+BetTable[WBA2]+BetTable[WBA3]-BetTable[TS])</f>
        <v>11.310000000000002</v>
      </c>
      <c r="Z44" s="164">
        <f>(((BetTable[Odds]-1)*BetTable[Stake])*(1-(BetTable[Comm %]))+BetTable[Stake])</f>
        <v>61.620000000000005</v>
      </c>
      <c r="AA44" s="164">
        <f>(((BetTable[O2]-1)*BetTable[S2])*(1-(BetTable[C% 2]))+BetTable[S2])</f>
        <v>0</v>
      </c>
      <c r="AB44" s="164">
        <f>(((BetTable[O3]-1)*BetTable[S3])*(1-(BetTable[C% 3]))+BetTable[S3])</f>
        <v>0</v>
      </c>
      <c r="AC44" s="165">
        <f>IFERROR(IF(BetTable[Sport]="","",BetTable[R1]/BetTable[TS]),"")</f>
        <v>0.58000000000000007</v>
      </c>
      <c r="AD44" s="165" t="str">
        <f>IF(BetTable[O2]="","",#REF!/BetTable[TS])</f>
        <v/>
      </c>
      <c r="AE44" s="165" t="str">
        <f>IFERROR(IF(BetTable[Sport]="","",#REF!/BetTable[TS]),"")</f>
        <v/>
      </c>
      <c r="AF44" s="164">
        <f>IF(BetTable[Outcome]="Win",BetTable[WBA1-Commission],IF(BetTable[Outcome]="Win Half Stake",(BetTable[Stake]/2)+BetTable[WBA1-Commission]/2,IF(BetTable[Outcome]="Lose Half Stake",BetTable[Stake]/2,IF(BetTable[Outcome]="Lose",0,IF(BetTable[Outcome]="Void",BetTable[Stake],)))))</f>
        <v>50.31</v>
      </c>
      <c r="AG44" s="164">
        <f>IF(BetTable[Outcome2]="Win",BetTable[WBA2-Commission],IF(BetTable[Outcome2]="Win Half Stake",(BetTable[S2]/2)+BetTable[WBA2-Commission]/2,IF(BetTable[Outcome2]="Lose Half Stake",BetTable[S2]/2,IF(BetTable[Outcome2]="Lose",0,IF(BetTable[Outcome2]="Void",BetTable[S2],)))))</f>
        <v>0</v>
      </c>
      <c r="AH44" s="164">
        <f>IF(BetTable[Outcome3]="Win",BetTable[WBA3-Commission],IF(BetTable[Outcome3]="Win Half Stake",(BetTable[S3]/2)+BetTable[WBA3-Commission]/2,IF(BetTable[Outcome3]="Lose Half Stake",BetTable[S3]/2,IF(BetTable[Outcome3]="Lose",0,IF(BetTable[Outcome3]="Void",BetTable[S3],)))))</f>
        <v>0</v>
      </c>
      <c r="AI44" s="168">
        <f>IF(BetTable[Outcome]="",AI43,BetTable[Result]+AI43)</f>
        <v>99.940249999999963</v>
      </c>
      <c r="AJ44" s="160"/>
    </row>
    <row r="45" spans="1:36" x14ac:dyDescent="0.2">
      <c r="A45" s="159" t="s">
        <v>426</v>
      </c>
      <c r="B45" s="160" t="s">
        <v>200</v>
      </c>
      <c r="C45" s="161" t="s">
        <v>234</v>
      </c>
      <c r="D45" s="161"/>
      <c r="E45" s="161"/>
      <c r="F45" s="162"/>
      <c r="G45" s="162"/>
      <c r="H45" s="162"/>
      <c r="I45" s="160" t="s">
        <v>447</v>
      </c>
      <c r="J45" s="163">
        <v>2.1240000000000001</v>
      </c>
      <c r="K45" s="163"/>
      <c r="L45" s="163"/>
      <c r="M45" s="164">
        <v>28</v>
      </c>
      <c r="N45" s="164"/>
      <c r="O45" s="164"/>
      <c r="P45" s="159" t="s">
        <v>448</v>
      </c>
      <c r="Q45" s="159" t="s">
        <v>439</v>
      </c>
      <c r="R45" s="159" t="s">
        <v>449</v>
      </c>
      <c r="S45" s="165">
        <v>2.66777043566001E-2</v>
      </c>
      <c r="T45" s="166" t="s">
        <v>382</v>
      </c>
      <c r="U45" s="166"/>
      <c r="V45" s="166"/>
      <c r="W45" s="167">
        <f>IF(BetTable[Sport]="","",BetTable[Stake]+BetTable[S2]+BetTable[S3])</f>
        <v>28</v>
      </c>
      <c r="X45" s="164">
        <f>IF(BetTable[Odds]="","",(BetTable[WBA1-Commission])-BetTable[TS])</f>
        <v>31.472000000000001</v>
      </c>
      <c r="Y45" s="168">
        <f>IF(BetTable[Outcome]="","",BetTable[WBA1]+BetTable[WBA2]+BetTable[WBA3]-BetTable[TS])</f>
        <v>-28</v>
      </c>
      <c r="Z45" s="164">
        <f>(((BetTable[Odds]-1)*BetTable[Stake])*(1-(BetTable[Comm %]))+BetTable[Stake])</f>
        <v>59.472000000000001</v>
      </c>
      <c r="AA45" s="164">
        <f>(((BetTable[O2]-1)*BetTable[S2])*(1-(BetTable[C% 2]))+BetTable[S2])</f>
        <v>0</v>
      </c>
      <c r="AB45" s="164">
        <f>(((BetTable[O3]-1)*BetTable[S3])*(1-(BetTable[C% 3]))+BetTable[S3])</f>
        <v>0</v>
      </c>
      <c r="AC45" s="165">
        <f>IFERROR(IF(BetTable[Sport]="","",BetTable[R1]/BetTable[TS]),"")</f>
        <v>1.1240000000000001</v>
      </c>
      <c r="AD45" s="165" t="str">
        <f>IF(BetTable[O2]="","",#REF!/BetTable[TS])</f>
        <v/>
      </c>
      <c r="AE45" s="165" t="str">
        <f>IFERROR(IF(BetTable[Sport]="","",#REF!/BetTable[TS]),"")</f>
        <v/>
      </c>
      <c r="AF45" s="164">
        <f>IF(BetTable[Outcome]="Win",BetTable[WBA1-Commission],IF(BetTable[Outcome]="Win Half Stake",(BetTable[Stake]/2)+BetTable[WBA1-Commission]/2,IF(BetTable[Outcome]="Lose Half Stake",BetTable[Stake]/2,IF(BetTable[Outcome]="Lose",0,IF(BetTable[Outcome]="Void",BetTable[Stake],)))))</f>
        <v>0</v>
      </c>
      <c r="AG45" s="164">
        <f>IF(BetTable[Outcome2]="Win",BetTable[WBA2-Commission],IF(BetTable[Outcome2]="Win Half Stake",(BetTable[S2]/2)+BetTable[WBA2-Commission]/2,IF(BetTable[Outcome2]="Lose Half Stake",BetTable[S2]/2,IF(BetTable[Outcome2]="Lose",0,IF(BetTable[Outcome2]="Void",BetTable[S2],)))))</f>
        <v>0</v>
      </c>
      <c r="AH45" s="164">
        <f>IF(BetTable[Outcome3]="Win",BetTable[WBA3-Commission],IF(BetTable[Outcome3]="Win Half Stake",(BetTable[S3]/2)+BetTable[WBA3-Commission]/2,IF(BetTable[Outcome3]="Lose Half Stake",BetTable[S3]/2,IF(BetTable[Outcome3]="Lose",0,IF(BetTable[Outcome3]="Void",BetTable[S3],)))))</f>
        <v>0</v>
      </c>
      <c r="AI45" s="168">
        <f>IF(BetTable[Outcome]="",AI44,BetTable[Result]+AI44)</f>
        <v>71.940249999999963</v>
      </c>
      <c r="AJ45" s="160"/>
    </row>
    <row r="46" spans="1:36" x14ac:dyDescent="0.2">
      <c r="A46" s="159" t="s">
        <v>426</v>
      </c>
      <c r="B46" s="160" t="s">
        <v>200</v>
      </c>
      <c r="C46" s="161" t="s">
        <v>234</v>
      </c>
      <c r="D46" s="161"/>
      <c r="E46" s="161"/>
      <c r="F46" s="162"/>
      <c r="G46" s="162"/>
      <c r="H46" s="162"/>
      <c r="I46" s="160" t="s">
        <v>450</v>
      </c>
      <c r="J46" s="163">
        <v>1.97</v>
      </c>
      <c r="K46" s="163"/>
      <c r="L46" s="163"/>
      <c r="M46" s="164">
        <v>24</v>
      </c>
      <c r="N46" s="164"/>
      <c r="O46" s="164"/>
      <c r="P46" s="159" t="s">
        <v>360</v>
      </c>
      <c r="Q46" s="159" t="s">
        <v>439</v>
      </c>
      <c r="R46" s="159" t="s">
        <v>451</v>
      </c>
      <c r="S46" s="165">
        <v>1.9785103191183599E-2</v>
      </c>
      <c r="T46" s="166" t="s">
        <v>372</v>
      </c>
      <c r="U46" s="166"/>
      <c r="V46" s="166"/>
      <c r="W46" s="167">
        <f>IF(BetTable[Sport]="","",BetTable[Stake]+BetTable[S2]+BetTable[S3])</f>
        <v>24</v>
      </c>
      <c r="X46" s="164">
        <f>IF(BetTable[Odds]="","",(BetTable[WBA1-Commission])-BetTable[TS])</f>
        <v>23.28</v>
      </c>
      <c r="Y46" s="168">
        <f>IF(BetTable[Outcome]="","",BetTable[WBA1]+BetTable[WBA2]+BetTable[WBA3]-BetTable[TS])</f>
        <v>23.28</v>
      </c>
      <c r="Z46" s="164">
        <f>(((BetTable[Odds]-1)*BetTable[Stake])*(1-(BetTable[Comm %]))+BetTable[Stake])</f>
        <v>47.28</v>
      </c>
      <c r="AA46" s="164">
        <f>(((BetTable[O2]-1)*BetTable[S2])*(1-(BetTable[C% 2]))+BetTable[S2])</f>
        <v>0</v>
      </c>
      <c r="AB46" s="164">
        <f>(((BetTable[O3]-1)*BetTable[S3])*(1-(BetTable[C% 3]))+BetTable[S3])</f>
        <v>0</v>
      </c>
      <c r="AC46" s="165">
        <f>IFERROR(IF(BetTable[Sport]="","",BetTable[R1]/BetTable[TS]),"")</f>
        <v>0.97000000000000008</v>
      </c>
      <c r="AD46" s="165" t="str">
        <f>IF(BetTable[O2]="","",#REF!/BetTable[TS])</f>
        <v/>
      </c>
      <c r="AE46" s="165" t="str">
        <f>IFERROR(IF(BetTable[Sport]="","",#REF!/BetTable[TS]),"")</f>
        <v/>
      </c>
      <c r="AF46" s="164">
        <f>IF(BetTable[Outcome]="Win",BetTable[WBA1-Commission],IF(BetTable[Outcome]="Win Half Stake",(BetTable[Stake]/2)+BetTable[WBA1-Commission]/2,IF(BetTable[Outcome]="Lose Half Stake",BetTable[Stake]/2,IF(BetTable[Outcome]="Lose",0,IF(BetTable[Outcome]="Void",BetTable[Stake],)))))</f>
        <v>47.28</v>
      </c>
      <c r="AG46" s="164">
        <f>IF(BetTable[Outcome2]="Win",BetTable[WBA2-Commission],IF(BetTable[Outcome2]="Win Half Stake",(BetTable[S2]/2)+BetTable[WBA2-Commission]/2,IF(BetTable[Outcome2]="Lose Half Stake",BetTable[S2]/2,IF(BetTable[Outcome2]="Lose",0,IF(BetTable[Outcome2]="Void",BetTable[S2],)))))</f>
        <v>0</v>
      </c>
      <c r="AH46" s="164">
        <f>IF(BetTable[Outcome3]="Win",BetTable[WBA3-Commission],IF(BetTable[Outcome3]="Win Half Stake",(BetTable[S3]/2)+BetTable[WBA3-Commission]/2,IF(BetTable[Outcome3]="Lose Half Stake",BetTable[S3]/2,IF(BetTable[Outcome3]="Lose",0,IF(BetTable[Outcome3]="Void",BetTable[S3],)))))</f>
        <v>0</v>
      </c>
      <c r="AI46" s="168">
        <f>IF(BetTable[Outcome]="",AI45,BetTable[Result]+AI45)</f>
        <v>95.220249999999965</v>
      </c>
      <c r="AJ46" s="160"/>
    </row>
    <row r="47" spans="1:36" x14ac:dyDescent="0.2">
      <c r="A47" s="159" t="s">
        <v>426</v>
      </c>
      <c r="B47" s="160" t="s">
        <v>200</v>
      </c>
      <c r="C47" s="161" t="s">
        <v>234</v>
      </c>
      <c r="D47" s="161"/>
      <c r="E47" s="161"/>
      <c r="F47" s="162"/>
      <c r="G47" s="162"/>
      <c r="H47" s="162"/>
      <c r="I47" s="160" t="s">
        <v>452</v>
      </c>
      <c r="J47" s="163">
        <v>1.82</v>
      </c>
      <c r="K47" s="163"/>
      <c r="L47" s="163"/>
      <c r="M47" s="164">
        <v>28</v>
      </c>
      <c r="N47" s="164"/>
      <c r="O47" s="164"/>
      <c r="P47" s="159" t="s">
        <v>453</v>
      </c>
      <c r="Q47" s="159" t="s">
        <v>454</v>
      </c>
      <c r="R47" s="159" t="s">
        <v>455</v>
      </c>
      <c r="S47" s="165">
        <v>1.9150780867541101E-2</v>
      </c>
      <c r="T47" s="166" t="s">
        <v>372</v>
      </c>
      <c r="U47" s="166"/>
      <c r="V47" s="166"/>
      <c r="W47" s="167">
        <f>IF(BetTable[Sport]="","",BetTable[Stake]+BetTable[S2]+BetTable[S3])</f>
        <v>28</v>
      </c>
      <c r="X47" s="164">
        <f>IF(BetTable[Odds]="","",(BetTable[WBA1-Commission])-BetTable[TS])</f>
        <v>22.96</v>
      </c>
      <c r="Y47" s="168">
        <f>IF(BetTable[Outcome]="","",BetTable[WBA1]+BetTable[WBA2]+BetTable[WBA3]-BetTable[TS])</f>
        <v>22.96</v>
      </c>
      <c r="Z47" s="164">
        <f>(((BetTable[Odds]-1)*BetTable[Stake])*(1-(BetTable[Comm %]))+BetTable[Stake])</f>
        <v>50.96</v>
      </c>
      <c r="AA47" s="164">
        <f>(((BetTable[O2]-1)*BetTable[S2])*(1-(BetTable[C% 2]))+BetTable[S2])</f>
        <v>0</v>
      </c>
      <c r="AB47" s="164">
        <f>(((BetTable[O3]-1)*BetTable[S3])*(1-(BetTable[C% 3]))+BetTable[S3])</f>
        <v>0</v>
      </c>
      <c r="AC47" s="165">
        <f>IFERROR(IF(BetTable[Sport]="","",BetTable[R1]/BetTable[TS]),"")</f>
        <v>0.82000000000000006</v>
      </c>
      <c r="AD47" s="165" t="str">
        <f>IF(BetTable[O2]="","",#REF!/BetTable[TS])</f>
        <v/>
      </c>
      <c r="AE47" s="165" t="str">
        <f>IFERROR(IF(BetTable[Sport]="","",#REF!/BetTable[TS]),"")</f>
        <v/>
      </c>
      <c r="AF47" s="164">
        <f>IF(BetTable[Outcome]="Win",BetTable[WBA1-Commission],IF(BetTable[Outcome]="Win Half Stake",(BetTable[Stake]/2)+BetTable[WBA1-Commission]/2,IF(BetTable[Outcome]="Lose Half Stake",BetTable[Stake]/2,IF(BetTable[Outcome]="Lose",0,IF(BetTable[Outcome]="Void",BetTable[Stake],)))))</f>
        <v>50.96</v>
      </c>
      <c r="AG47" s="164">
        <f>IF(BetTable[Outcome2]="Win",BetTable[WBA2-Commission],IF(BetTable[Outcome2]="Win Half Stake",(BetTable[S2]/2)+BetTable[WBA2-Commission]/2,IF(BetTable[Outcome2]="Lose Half Stake",BetTable[S2]/2,IF(BetTable[Outcome2]="Lose",0,IF(BetTable[Outcome2]="Void",BetTable[S2],)))))</f>
        <v>0</v>
      </c>
      <c r="AH47" s="164">
        <f>IF(BetTable[Outcome3]="Win",BetTable[WBA3-Commission],IF(BetTable[Outcome3]="Win Half Stake",(BetTable[S3]/2)+BetTable[WBA3-Commission]/2,IF(BetTable[Outcome3]="Lose Half Stake",BetTable[S3]/2,IF(BetTable[Outcome3]="Lose",0,IF(BetTable[Outcome3]="Void",BetTable[S3],)))))</f>
        <v>0</v>
      </c>
      <c r="AI47" s="168">
        <f>IF(BetTable[Outcome]="",AI46,BetTable[Result]+AI46)</f>
        <v>118.18024999999997</v>
      </c>
      <c r="AJ47" s="160"/>
    </row>
    <row r="48" spans="1:36" x14ac:dyDescent="0.2">
      <c r="A48" s="159" t="s">
        <v>426</v>
      </c>
      <c r="B48" s="160" t="s">
        <v>200</v>
      </c>
      <c r="C48" s="161" t="s">
        <v>234</v>
      </c>
      <c r="D48" s="161"/>
      <c r="E48" s="161"/>
      <c r="F48" s="162"/>
      <c r="G48" s="162"/>
      <c r="H48" s="162"/>
      <c r="I48" s="160" t="s">
        <v>456</v>
      </c>
      <c r="J48" s="163">
        <v>2.1629999999999998</v>
      </c>
      <c r="K48" s="163"/>
      <c r="L48" s="163"/>
      <c r="M48" s="164">
        <v>17</v>
      </c>
      <c r="N48" s="164"/>
      <c r="O48" s="164"/>
      <c r="P48" s="159" t="s">
        <v>457</v>
      </c>
      <c r="Q48" s="159" t="s">
        <v>458</v>
      </c>
      <c r="R48" s="159" t="s">
        <v>459</v>
      </c>
      <c r="S48" s="165">
        <v>1.6599257704730301E-2</v>
      </c>
      <c r="T48" s="166" t="s">
        <v>372</v>
      </c>
      <c r="U48" s="166"/>
      <c r="V48" s="166"/>
      <c r="W48" s="167">
        <f>IF(BetTable[Sport]="","",BetTable[Stake]+BetTable[S2]+BetTable[S3])</f>
        <v>17</v>
      </c>
      <c r="X48" s="164">
        <f>IF(BetTable[Odds]="","",(BetTable[WBA1-Commission])-BetTable[TS])</f>
        <v>19.771000000000001</v>
      </c>
      <c r="Y48" s="168">
        <f>IF(BetTable[Outcome]="","",BetTable[WBA1]+BetTable[WBA2]+BetTable[WBA3]-BetTable[TS])</f>
        <v>19.771000000000001</v>
      </c>
      <c r="Z48" s="164">
        <f>(((BetTable[Odds]-1)*BetTable[Stake])*(1-(BetTable[Comm %]))+BetTable[Stake])</f>
        <v>36.771000000000001</v>
      </c>
      <c r="AA48" s="164">
        <f>(((BetTable[O2]-1)*BetTable[S2])*(1-(BetTable[C% 2]))+BetTable[S2])</f>
        <v>0</v>
      </c>
      <c r="AB48" s="164">
        <f>(((BetTable[O3]-1)*BetTable[S3])*(1-(BetTable[C% 3]))+BetTable[S3])</f>
        <v>0</v>
      </c>
      <c r="AC48" s="165">
        <f>IFERROR(IF(BetTable[Sport]="","",BetTable[R1]/BetTable[TS]),"")</f>
        <v>1.163</v>
      </c>
      <c r="AD48" s="165" t="str">
        <f>IF(BetTable[O2]="","",#REF!/BetTable[TS])</f>
        <v/>
      </c>
      <c r="AE48" s="165" t="str">
        <f>IFERROR(IF(BetTable[Sport]="","",#REF!/BetTable[TS]),"")</f>
        <v/>
      </c>
      <c r="AF48" s="164">
        <f>IF(BetTable[Outcome]="Win",BetTable[WBA1-Commission],IF(BetTable[Outcome]="Win Half Stake",(BetTable[Stake]/2)+BetTable[WBA1-Commission]/2,IF(BetTable[Outcome]="Lose Half Stake",BetTable[Stake]/2,IF(BetTable[Outcome]="Lose",0,IF(BetTable[Outcome]="Void",BetTable[Stake],)))))</f>
        <v>36.771000000000001</v>
      </c>
      <c r="AG48" s="164">
        <f>IF(BetTable[Outcome2]="Win",BetTable[WBA2-Commission],IF(BetTable[Outcome2]="Win Half Stake",(BetTable[S2]/2)+BetTable[WBA2-Commission]/2,IF(BetTable[Outcome2]="Lose Half Stake",BetTable[S2]/2,IF(BetTable[Outcome2]="Lose",0,IF(BetTable[Outcome2]="Void",BetTable[S2],)))))</f>
        <v>0</v>
      </c>
      <c r="AH48" s="164">
        <f>IF(BetTable[Outcome3]="Win",BetTable[WBA3-Commission],IF(BetTable[Outcome3]="Win Half Stake",(BetTable[S3]/2)+BetTable[WBA3-Commission]/2,IF(BetTable[Outcome3]="Lose Half Stake",BetTable[S3]/2,IF(BetTable[Outcome3]="Lose",0,IF(BetTable[Outcome3]="Void",BetTable[S3],)))))</f>
        <v>0</v>
      </c>
      <c r="AI48" s="168">
        <f>IF(BetTable[Outcome]="",AI47,BetTable[Result]+AI47)</f>
        <v>137.95124999999996</v>
      </c>
      <c r="AJ48" s="160"/>
    </row>
    <row r="49" spans="1:36" x14ac:dyDescent="0.2">
      <c r="A49" s="159" t="s">
        <v>426</v>
      </c>
      <c r="B49" s="160" t="s">
        <v>200</v>
      </c>
      <c r="C49" s="161" t="s">
        <v>234</v>
      </c>
      <c r="D49" s="161"/>
      <c r="E49" s="161"/>
      <c r="F49" s="162"/>
      <c r="G49" s="162"/>
      <c r="H49" s="162"/>
      <c r="I49" s="160" t="s">
        <v>460</v>
      </c>
      <c r="J49" s="163">
        <v>2.0640000000000001</v>
      </c>
      <c r="K49" s="163"/>
      <c r="L49" s="163"/>
      <c r="M49" s="164">
        <v>17</v>
      </c>
      <c r="N49" s="164"/>
      <c r="O49" s="164"/>
      <c r="P49" s="159" t="s">
        <v>360</v>
      </c>
      <c r="Q49" s="159" t="s">
        <v>461</v>
      </c>
      <c r="R49" s="159" t="s">
        <v>462</v>
      </c>
      <c r="S49" s="165">
        <v>1.55363711287652E-2</v>
      </c>
      <c r="T49" s="166" t="s">
        <v>382</v>
      </c>
      <c r="U49" s="166"/>
      <c r="V49" s="166"/>
      <c r="W49" s="167">
        <f>IF(BetTable[Sport]="","",BetTable[Stake]+BetTable[S2]+BetTable[S3])</f>
        <v>17</v>
      </c>
      <c r="X49" s="164">
        <f>IF(BetTable[Odds]="","",(BetTable[WBA1-Commission])-BetTable[TS])</f>
        <v>18.088000000000001</v>
      </c>
      <c r="Y49" s="168">
        <f>IF(BetTable[Outcome]="","",BetTable[WBA1]+BetTable[WBA2]+BetTable[WBA3]-BetTable[TS])</f>
        <v>-17</v>
      </c>
      <c r="Z49" s="164">
        <f>(((BetTable[Odds]-1)*BetTable[Stake])*(1-(BetTable[Comm %]))+BetTable[Stake])</f>
        <v>35.088000000000001</v>
      </c>
      <c r="AA49" s="164">
        <f>(((BetTable[O2]-1)*BetTable[S2])*(1-(BetTable[C% 2]))+BetTable[S2])</f>
        <v>0</v>
      </c>
      <c r="AB49" s="164">
        <f>(((BetTable[O3]-1)*BetTable[S3])*(1-(BetTable[C% 3]))+BetTable[S3])</f>
        <v>0</v>
      </c>
      <c r="AC49" s="165">
        <f>IFERROR(IF(BetTable[Sport]="","",BetTable[R1]/BetTable[TS]),"")</f>
        <v>1.0640000000000001</v>
      </c>
      <c r="AD49" s="165" t="str">
        <f>IF(BetTable[O2]="","",#REF!/BetTable[TS])</f>
        <v/>
      </c>
      <c r="AE49" s="165" t="str">
        <f>IFERROR(IF(BetTable[Sport]="","",#REF!/BetTable[TS]),"")</f>
        <v/>
      </c>
      <c r="AF49" s="164">
        <f>IF(BetTable[Outcome]="Win",BetTable[WBA1-Commission],IF(BetTable[Outcome]="Win Half Stake",(BetTable[Stake]/2)+BetTable[WBA1-Commission]/2,IF(BetTable[Outcome]="Lose Half Stake",BetTable[Stake]/2,IF(BetTable[Outcome]="Lose",0,IF(BetTable[Outcome]="Void",BetTable[Stake],)))))</f>
        <v>0</v>
      </c>
      <c r="AG49" s="164">
        <f>IF(BetTable[Outcome2]="Win",BetTable[WBA2-Commission],IF(BetTable[Outcome2]="Win Half Stake",(BetTable[S2]/2)+BetTable[WBA2-Commission]/2,IF(BetTable[Outcome2]="Lose Half Stake",BetTable[S2]/2,IF(BetTable[Outcome2]="Lose",0,IF(BetTable[Outcome2]="Void",BetTable[S2],)))))</f>
        <v>0</v>
      </c>
      <c r="AH49" s="164">
        <f>IF(BetTable[Outcome3]="Win",BetTable[WBA3-Commission],IF(BetTable[Outcome3]="Win Half Stake",(BetTable[S3]/2)+BetTable[WBA3-Commission]/2,IF(BetTable[Outcome3]="Lose Half Stake",BetTable[S3]/2,IF(BetTable[Outcome3]="Lose",0,IF(BetTable[Outcome3]="Void",BetTable[S3],)))))</f>
        <v>0</v>
      </c>
      <c r="AI49" s="168">
        <f>IF(BetTable[Outcome]="",AI48,BetTable[Result]+AI48)</f>
        <v>120.95124999999996</v>
      </c>
      <c r="AJ49" s="160"/>
    </row>
    <row r="50" spans="1:36" x14ac:dyDescent="0.2">
      <c r="A50" s="159" t="s">
        <v>426</v>
      </c>
      <c r="B50" s="160" t="s">
        <v>200</v>
      </c>
      <c r="C50" s="161" t="s">
        <v>91</v>
      </c>
      <c r="D50" s="161"/>
      <c r="E50" s="161"/>
      <c r="F50" s="162"/>
      <c r="G50" s="162"/>
      <c r="H50" s="162"/>
      <c r="I50" s="160" t="s">
        <v>463</v>
      </c>
      <c r="J50" s="163">
        <v>1.58</v>
      </c>
      <c r="K50" s="163"/>
      <c r="L50" s="163"/>
      <c r="M50" s="164">
        <v>45</v>
      </c>
      <c r="N50" s="164"/>
      <c r="O50" s="164"/>
      <c r="P50" s="159" t="s">
        <v>360</v>
      </c>
      <c r="Q50" s="159" t="s">
        <v>432</v>
      </c>
      <c r="R50" s="159" t="s">
        <v>464</v>
      </c>
      <c r="S50" s="165">
        <v>3.1091772249706801E-2</v>
      </c>
      <c r="T50" s="166" t="s">
        <v>372</v>
      </c>
      <c r="U50" s="166"/>
      <c r="V50" s="166"/>
      <c r="W50" s="167">
        <f>IF(BetTable[Sport]="","",BetTable[Stake]+BetTable[S2]+BetTable[S3])</f>
        <v>45</v>
      </c>
      <c r="X50" s="164">
        <f>IF(BetTable[Odds]="","",(BetTable[WBA1-Commission])-BetTable[TS])</f>
        <v>26.099999999999994</v>
      </c>
      <c r="Y50" s="168">
        <f>IF(BetTable[Outcome]="","",BetTable[WBA1]+BetTable[WBA2]+BetTable[WBA3]-BetTable[TS])</f>
        <v>26.099999999999994</v>
      </c>
      <c r="Z50" s="164">
        <f>(((BetTable[Odds]-1)*BetTable[Stake])*(1-(BetTable[Comm %]))+BetTable[Stake])</f>
        <v>71.099999999999994</v>
      </c>
      <c r="AA50" s="164">
        <f>(((BetTable[O2]-1)*BetTable[S2])*(1-(BetTable[C% 2]))+BetTable[S2])</f>
        <v>0</v>
      </c>
      <c r="AB50" s="164">
        <f>(((BetTable[O3]-1)*BetTable[S3])*(1-(BetTable[C% 3]))+BetTable[S3])</f>
        <v>0</v>
      </c>
      <c r="AC50" s="165">
        <f>IFERROR(IF(BetTable[Sport]="","",BetTable[R1]/BetTable[TS]),"")</f>
        <v>0.57999999999999985</v>
      </c>
      <c r="AD50" s="165" t="str">
        <f>IF(BetTable[O2]="","",#REF!/BetTable[TS])</f>
        <v/>
      </c>
      <c r="AE50" s="165" t="str">
        <f>IFERROR(IF(BetTable[Sport]="","",#REF!/BetTable[TS]),"")</f>
        <v/>
      </c>
      <c r="AF50" s="164">
        <f>IF(BetTable[Outcome]="Win",BetTable[WBA1-Commission],IF(BetTable[Outcome]="Win Half Stake",(BetTable[Stake]/2)+BetTable[WBA1-Commission]/2,IF(BetTable[Outcome]="Lose Half Stake",BetTable[Stake]/2,IF(BetTable[Outcome]="Lose",0,IF(BetTable[Outcome]="Void",BetTable[Stake],)))))</f>
        <v>71.099999999999994</v>
      </c>
      <c r="AG50" s="164">
        <f>IF(BetTable[Outcome2]="Win",BetTable[WBA2-Commission],IF(BetTable[Outcome2]="Win Half Stake",(BetTable[S2]/2)+BetTable[WBA2-Commission]/2,IF(BetTable[Outcome2]="Lose Half Stake",BetTable[S2]/2,IF(BetTable[Outcome2]="Lose",0,IF(BetTable[Outcome2]="Void",BetTable[S2],)))))</f>
        <v>0</v>
      </c>
      <c r="AH50" s="164">
        <f>IF(BetTable[Outcome3]="Win",BetTable[WBA3-Commission],IF(BetTable[Outcome3]="Win Half Stake",(BetTable[S3]/2)+BetTable[WBA3-Commission]/2,IF(BetTable[Outcome3]="Lose Half Stake",BetTable[S3]/2,IF(BetTable[Outcome3]="Lose",0,IF(BetTable[Outcome3]="Void",BetTable[S3],)))))</f>
        <v>0</v>
      </c>
      <c r="AI50" s="168">
        <f>IF(BetTable[Outcome]="",AI49,BetTable[Result]+AI49)</f>
        <v>147.05124999999995</v>
      </c>
      <c r="AJ50" s="160"/>
    </row>
    <row r="51" spans="1:36" x14ac:dyDescent="0.2">
      <c r="A51" s="159" t="s">
        <v>426</v>
      </c>
      <c r="B51" s="160" t="s">
        <v>200</v>
      </c>
      <c r="C51" s="161" t="s">
        <v>216</v>
      </c>
      <c r="D51" s="161"/>
      <c r="E51" s="161"/>
      <c r="F51" s="162"/>
      <c r="G51" s="162"/>
      <c r="H51" s="162"/>
      <c r="I51" s="160" t="s">
        <v>465</v>
      </c>
      <c r="J51" s="163">
        <v>1.704</v>
      </c>
      <c r="K51" s="163"/>
      <c r="L51" s="163"/>
      <c r="M51" s="164">
        <v>60</v>
      </c>
      <c r="N51" s="164"/>
      <c r="O51" s="164"/>
      <c r="P51" s="159" t="s">
        <v>409</v>
      </c>
      <c r="Q51" s="159" t="s">
        <v>466</v>
      </c>
      <c r="R51" s="159" t="s">
        <v>467</v>
      </c>
      <c r="S51" s="165">
        <v>3.4971203439566403E-2</v>
      </c>
      <c r="T51" s="166" t="s">
        <v>510</v>
      </c>
      <c r="U51" s="166"/>
      <c r="V51" s="166"/>
      <c r="W51" s="167">
        <f>IF(BetTable[Sport]="","",BetTable[Stake]+BetTable[S2]+BetTable[S3])</f>
        <v>60</v>
      </c>
      <c r="X51" s="164">
        <f>IF(BetTable[Odds]="","",(BetTable[WBA1-Commission])-BetTable[TS])</f>
        <v>42.239999999999995</v>
      </c>
      <c r="Y51" s="168">
        <f>IF(BetTable[Outcome]="","",BetTable[WBA1]+BetTable[WBA2]+BetTable[WBA3]-BetTable[TS])</f>
        <v>21.120000000000005</v>
      </c>
      <c r="Z51" s="164">
        <f>(((BetTable[Odds]-1)*BetTable[Stake])*(1-(BetTable[Comm %]))+BetTable[Stake])</f>
        <v>102.24</v>
      </c>
      <c r="AA51" s="164">
        <f>(((BetTable[O2]-1)*BetTable[S2])*(1-(BetTable[C% 2]))+BetTable[S2])</f>
        <v>0</v>
      </c>
      <c r="AB51" s="164">
        <f>(((BetTable[O3]-1)*BetTable[S3])*(1-(BetTable[C% 3]))+BetTable[S3])</f>
        <v>0</v>
      </c>
      <c r="AC51" s="165">
        <f>IFERROR(IF(BetTable[Sport]="","",BetTable[R1]/BetTable[TS]),"")</f>
        <v>0.70399999999999996</v>
      </c>
      <c r="AD51" s="165" t="str">
        <f>IF(BetTable[O2]="","",#REF!/BetTable[TS])</f>
        <v/>
      </c>
      <c r="AE51" s="165" t="str">
        <f>IFERROR(IF(BetTable[Sport]="","",#REF!/BetTable[TS]),"")</f>
        <v/>
      </c>
      <c r="AF51" s="164">
        <f>IF(BetTable[Outcome]="Win",BetTable[WBA1-Commission],IF(BetTable[Outcome]="Win Half Stake",(BetTable[Stake]/2)+BetTable[WBA1-Commission]/2,IF(BetTable[Outcome]="Lose Half Stake",BetTable[Stake]/2,IF(BetTable[Outcome]="Lose",0,IF(BetTable[Outcome]="Void",BetTable[Stake],)))))</f>
        <v>81.12</v>
      </c>
      <c r="AG51" s="164">
        <f>IF(BetTable[Outcome2]="Win",BetTable[WBA2-Commission],IF(BetTable[Outcome2]="Win Half Stake",(BetTable[S2]/2)+BetTable[WBA2-Commission]/2,IF(BetTable[Outcome2]="Lose Half Stake",BetTable[S2]/2,IF(BetTable[Outcome2]="Lose",0,IF(BetTable[Outcome2]="Void",BetTable[S2],)))))</f>
        <v>0</v>
      </c>
      <c r="AH51" s="164">
        <f>IF(BetTable[Outcome3]="Win",BetTable[WBA3-Commission],IF(BetTable[Outcome3]="Win Half Stake",(BetTable[S3]/2)+BetTable[WBA3-Commission]/2,IF(BetTable[Outcome3]="Lose Half Stake",BetTable[S3]/2,IF(BetTable[Outcome3]="Lose",0,IF(BetTable[Outcome3]="Void",BetTable[S3],)))))</f>
        <v>0</v>
      </c>
      <c r="AI51" s="168">
        <f>IF(BetTable[Outcome]="",AI50,BetTable[Result]+AI50)</f>
        <v>168.17124999999996</v>
      </c>
      <c r="AJ51" s="160"/>
    </row>
    <row r="52" spans="1:36" x14ac:dyDescent="0.2">
      <c r="A52" s="159" t="s">
        <v>426</v>
      </c>
      <c r="B52" s="160" t="s">
        <v>200</v>
      </c>
      <c r="C52" s="161" t="s">
        <v>234</v>
      </c>
      <c r="D52" s="161"/>
      <c r="E52" s="161"/>
      <c r="F52" s="162"/>
      <c r="G52" s="162"/>
      <c r="H52" s="162"/>
      <c r="I52" s="160" t="s">
        <v>468</v>
      </c>
      <c r="J52" s="163">
        <v>1.86</v>
      </c>
      <c r="K52" s="163"/>
      <c r="L52" s="163"/>
      <c r="M52" s="164">
        <v>23</v>
      </c>
      <c r="N52" s="164"/>
      <c r="O52" s="164"/>
      <c r="P52" s="159" t="s">
        <v>469</v>
      </c>
      <c r="Q52" s="159" t="s">
        <v>470</v>
      </c>
      <c r="R52" s="159" t="s">
        <v>471</v>
      </c>
      <c r="S52" s="165">
        <v>1.6658112777541E-2</v>
      </c>
      <c r="T52" s="166" t="s">
        <v>382</v>
      </c>
      <c r="U52" s="166"/>
      <c r="V52" s="166"/>
      <c r="W52" s="167">
        <f>IF(BetTable[Sport]="","",BetTable[Stake]+BetTable[S2]+BetTable[S3])</f>
        <v>23</v>
      </c>
      <c r="X52" s="164">
        <f>IF(BetTable[Odds]="","",(BetTable[WBA1-Commission])-BetTable[TS])</f>
        <v>19.78</v>
      </c>
      <c r="Y52" s="168">
        <f>IF(BetTable[Outcome]="","",BetTable[WBA1]+BetTable[WBA2]+BetTable[WBA3]-BetTable[TS])</f>
        <v>-23</v>
      </c>
      <c r="Z52" s="164">
        <f>(((BetTable[Odds]-1)*BetTable[Stake])*(1-(BetTable[Comm %]))+BetTable[Stake])</f>
        <v>42.78</v>
      </c>
      <c r="AA52" s="164">
        <f>(((BetTable[O2]-1)*BetTable[S2])*(1-(BetTable[C% 2]))+BetTable[S2])</f>
        <v>0</v>
      </c>
      <c r="AB52" s="164">
        <f>(((BetTable[O3]-1)*BetTable[S3])*(1-(BetTable[C% 3]))+BetTable[S3])</f>
        <v>0</v>
      </c>
      <c r="AC52" s="165">
        <f>IFERROR(IF(BetTable[Sport]="","",BetTable[R1]/BetTable[TS]),"")</f>
        <v>0.8600000000000001</v>
      </c>
      <c r="AD52" s="165" t="str">
        <f>IF(BetTable[O2]="","",#REF!/BetTable[TS])</f>
        <v/>
      </c>
      <c r="AE52" s="165" t="str">
        <f>IFERROR(IF(BetTable[Sport]="","",#REF!/BetTable[TS]),"")</f>
        <v/>
      </c>
      <c r="AF52" s="164">
        <f>IF(BetTable[Outcome]="Win",BetTable[WBA1-Commission],IF(BetTable[Outcome]="Win Half Stake",(BetTable[Stake]/2)+BetTable[WBA1-Commission]/2,IF(BetTable[Outcome]="Lose Half Stake",BetTable[Stake]/2,IF(BetTable[Outcome]="Lose",0,IF(BetTable[Outcome]="Void",BetTable[Stake],)))))</f>
        <v>0</v>
      </c>
      <c r="AG52" s="164">
        <f>IF(BetTable[Outcome2]="Win",BetTable[WBA2-Commission],IF(BetTable[Outcome2]="Win Half Stake",(BetTable[S2]/2)+BetTable[WBA2-Commission]/2,IF(BetTable[Outcome2]="Lose Half Stake",BetTable[S2]/2,IF(BetTable[Outcome2]="Lose",0,IF(BetTable[Outcome2]="Void",BetTable[S2],)))))</f>
        <v>0</v>
      </c>
      <c r="AH52" s="164">
        <f>IF(BetTable[Outcome3]="Win",BetTable[WBA3-Commission],IF(BetTable[Outcome3]="Win Half Stake",(BetTable[S3]/2)+BetTable[WBA3-Commission]/2,IF(BetTable[Outcome3]="Lose Half Stake",BetTable[S3]/2,IF(BetTable[Outcome3]="Lose",0,IF(BetTable[Outcome3]="Void",BetTable[S3],)))))</f>
        <v>0</v>
      </c>
      <c r="AI52" s="168">
        <f>IF(BetTable[Outcome]="",AI51,BetTable[Result]+AI51)</f>
        <v>145.17124999999996</v>
      </c>
      <c r="AJ52" s="160"/>
    </row>
    <row r="53" spans="1:36" x14ac:dyDescent="0.2">
      <c r="A53" s="159" t="s">
        <v>426</v>
      </c>
      <c r="B53" s="160" t="s">
        <v>200</v>
      </c>
      <c r="C53" s="161" t="s">
        <v>91</v>
      </c>
      <c r="D53" s="161"/>
      <c r="E53" s="161"/>
      <c r="F53" s="162"/>
      <c r="G53" s="162"/>
      <c r="H53" s="162"/>
      <c r="I53" s="160" t="s">
        <v>472</v>
      </c>
      <c r="J53" s="163">
        <v>2.35</v>
      </c>
      <c r="K53" s="163"/>
      <c r="L53" s="163"/>
      <c r="M53" s="164">
        <v>14</v>
      </c>
      <c r="N53" s="164"/>
      <c r="O53" s="164"/>
      <c r="P53" s="159" t="s">
        <v>473</v>
      </c>
      <c r="Q53" s="159" t="s">
        <v>474</v>
      </c>
      <c r="R53" s="159" t="s">
        <v>475</v>
      </c>
      <c r="S53" s="165">
        <v>1.5646467269422301E-2</v>
      </c>
      <c r="T53" s="166" t="s">
        <v>372</v>
      </c>
      <c r="U53" s="166"/>
      <c r="V53" s="166"/>
      <c r="W53" s="167">
        <f>IF(BetTable[Sport]="","",BetTable[Stake]+BetTable[S2]+BetTable[S3])</f>
        <v>14</v>
      </c>
      <c r="X53" s="164">
        <f>IF(BetTable[Odds]="","",(BetTable[WBA1-Commission])-BetTable[TS])</f>
        <v>18.900000000000006</v>
      </c>
      <c r="Y53" s="168">
        <f>IF(BetTable[Outcome]="","",BetTable[WBA1]+BetTable[WBA2]+BetTable[WBA3]-BetTable[TS])</f>
        <v>18.900000000000006</v>
      </c>
      <c r="Z53" s="164">
        <f>(((BetTable[Odds]-1)*BetTable[Stake])*(1-(BetTable[Comm %]))+BetTable[Stake])</f>
        <v>32.900000000000006</v>
      </c>
      <c r="AA53" s="164">
        <f>(((BetTable[O2]-1)*BetTable[S2])*(1-(BetTable[C% 2]))+BetTable[S2])</f>
        <v>0</v>
      </c>
      <c r="AB53" s="164">
        <f>(((BetTable[O3]-1)*BetTable[S3])*(1-(BetTable[C% 3]))+BetTable[S3])</f>
        <v>0</v>
      </c>
      <c r="AC53" s="165">
        <f>IFERROR(IF(BetTable[Sport]="","",BetTable[R1]/BetTable[TS]),"")</f>
        <v>1.3500000000000003</v>
      </c>
      <c r="AD53" s="165" t="str">
        <f>IF(BetTable[O2]="","",#REF!/BetTable[TS])</f>
        <v/>
      </c>
      <c r="AE53" s="165" t="str">
        <f>IFERROR(IF(BetTable[Sport]="","",#REF!/BetTable[TS]),"")</f>
        <v/>
      </c>
      <c r="AF53" s="164">
        <f>IF(BetTable[Outcome]="Win",BetTable[WBA1-Commission],IF(BetTable[Outcome]="Win Half Stake",(BetTable[Stake]/2)+BetTable[WBA1-Commission]/2,IF(BetTable[Outcome]="Lose Half Stake",BetTable[Stake]/2,IF(BetTable[Outcome]="Lose",0,IF(BetTable[Outcome]="Void",BetTable[Stake],)))))</f>
        <v>32.900000000000006</v>
      </c>
      <c r="AG53" s="164">
        <f>IF(BetTable[Outcome2]="Win",BetTable[WBA2-Commission],IF(BetTable[Outcome2]="Win Half Stake",(BetTable[S2]/2)+BetTable[WBA2-Commission]/2,IF(BetTable[Outcome2]="Lose Half Stake",BetTable[S2]/2,IF(BetTable[Outcome2]="Lose",0,IF(BetTable[Outcome2]="Void",BetTable[S2],)))))</f>
        <v>0</v>
      </c>
      <c r="AH53" s="164">
        <f>IF(BetTable[Outcome3]="Win",BetTable[WBA3-Commission],IF(BetTable[Outcome3]="Win Half Stake",(BetTable[S3]/2)+BetTable[WBA3-Commission]/2,IF(BetTable[Outcome3]="Lose Half Stake",BetTable[S3]/2,IF(BetTable[Outcome3]="Lose",0,IF(BetTable[Outcome3]="Void",BetTable[S3],)))))</f>
        <v>0</v>
      </c>
      <c r="AI53" s="168">
        <f>IF(BetTable[Outcome]="",AI52,BetTable[Result]+AI52)</f>
        <v>164.07124999999996</v>
      </c>
      <c r="AJ53" s="160"/>
    </row>
    <row r="54" spans="1:36" x14ac:dyDescent="0.2">
      <c r="A54" s="159" t="s">
        <v>426</v>
      </c>
      <c r="B54" s="160" t="s">
        <v>200</v>
      </c>
      <c r="C54" s="161" t="s">
        <v>91</v>
      </c>
      <c r="D54" s="161"/>
      <c r="E54" s="161"/>
      <c r="F54" s="162"/>
      <c r="G54" s="162"/>
      <c r="H54" s="162"/>
      <c r="I54" s="160" t="s">
        <v>452</v>
      </c>
      <c r="J54" s="163">
        <v>2.06</v>
      </c>
      <c r="K54" s="163"/>
      <c r="L54" s="163"/>
      <c r="M54" s="164">
        <v>26</v>
      </c>
      <c r="N54" s="164"/>
      <c r="O54" s="164"/>
      <c r="P54" s="159" t="s">
        <v>476</v>
      </c>
      <c r="Q54" s="159" t="s">
        <v>454</v>
      </c>
      <c r="R54" s="159" t="s">
        <v>477</v>
      </c>
      <c r="S54" s="165">
        <v>2.2957962953609998E-2</v>
      </c>
      <c r="T54" s="166" t="s">
        <v>382</v>
      </c>
      <c r="U54" s="166"/>
      <c r="V54" s="166"/>
      <c r="W54" s="167">
        <f>IF(BetTable[Sport]="","",BetTable[Stake]+BetTable[S2]+BetTable[S3])</f>
        <v>26</v>
      </c>
      <c r="X54" s="164">
        <f>IF(BetTable[Odds]="","",(BetTable[WBA1-Commission])-BetTable[TS])</f>
        <v>27.560000000000002</v>
      </c>
      <c r="Y54" s="168">
        <f>IF(BetTable[Outcome]="","",BetTable[WBA1]+BetTable[WBA2]+BetTable[WBA3]-BetTable[TS])</f>
        <v>-26</v>
      </c>
      <c r="Z54" s="164">
        <f>(((BetTable[Odds]-1)*BetTable[Stake])*(1-(BetTable[Comm %]))+BetTable[Stake])</f>
        <v>53.56</v>
      </c>
      <c r="AA54" s="164">
        <f>(((BetTable[O2]-1)*BetTable[S2])*(1-(BetTable[C% 2]))+BetTable[S2])</f>
        <v>0</v>
      </c>
      <c r="AB54" s="164">
        <f>(((BetTable[O3]-1)*BetTable[S3])*(1-(BetTable[C% 3]))+BetTable[S3])</f>
        <v>0</v>
      </c>
      <c r="AC54" s="165">
        <f>IFERROR(IF(BetTable[Sport]="","",BetTable[R1]/BetTable[TS]),"")</f>
        <v>1.06</v>
      </c>
      <c r="AD54" s="165" t="str">
        <f>IF(BetTable[O2]="","",#REF!/BetTable[TS])</f>
        <v/>
      </c>
      <c r="AE54" s="165" t="str">
        <f>IFERROR(IF(BetTable[Sport]="","",#REF!/BetTable[TS]),"")</f>
        <v/>
      </c>
      <c r="AF54" s="164">
        <f>IF(BetTable[Outcome]="Win",BetTable[WBA1-Commission],IF(BetTable[Outcome]="Win Half Stake",(BetTable[Stake]/2)+BetTable[WBA1-Commission]/2,IF(BetTable[Outcome]="Lose Half Stake",BetTable[Stake]/2,IF(BetTable[Outcome]="Lose",0,IF(BetTable[Outcome]="Void",BetTable[Stake],)))))</f>
        <v>0</v>
      </c>
      <c r="AG54" s="164">
        <f>IF(BetTable[Outcome2]="Win",BetTable[WBA2-Commission],IF(BetTable[Outcome2]="Win Half Stake",(BetTable[S2]/2)+BetTable[WBA2-Commission]/2,IF(BetTable[Outcome2]="Lose Half Stake",BetTable[S2]/2,IF(BetTable[Outcome2]="Lose",0,IF(BetTable[Outcome2]="Void",BetTable[S2],)))))</f>
        <v>0</v>
      </c>
      <c r="AH54" s="164">
        <f>IF(BetTable[Outcome3]="Win",BetTable[WBA3-Commission],IF(BetTable[Outcome3]="Win Half Stake",(BetTable[S3]/2)+BetTable[WBA3-Commission]/2,IF(BetTable[Outcome3]="Lose Half Stake",BetTable[S3]/2,IF(BetTable[Outcome3]="Lose",0,IF(BetTable[Outcome3]="Void",BetTable[S3],)))))</f>
        <v>0</v>
      </c>
      <c r="AI54" s="168">
        <f>IF(BetTable[Outcome]="",AI53,BetTable[Result]+AI53)</f>
        <v>138.07124999999996</v>
      </c>
      <c r="AJ54" s="160"/>
    </row>
    <row r="55" spans="1:36" x14ac:dyDescent="0.2">
      <c r="A55" s="159" t="s">
        <v>426</v>
      </c>
      <c r="B55" s="160" t="s">
        <v>200</v>
      </c>
      <c r="C55" s="161" t="s">
        <v>234</v>
      </c>
      <c r="D55" s="161"/>
      <c r="E55" s="161"/>
      <c r="F55" s="162"/>
      <c r="G55" s="162"/>
      <c r="H55" s="162"/>
      <c r="I55" s="160" t="s">
        <v>478</v>
      </c>
      <c r="J55" s="163">
        <v>1.89</v>
      </c>
      <c r="K55" s="163"/>
      <c r="L55" s="163"/>
      <c r="M55" s="164">
        <v>24</v>
      </c>
      <c r="N55" s="164"/>
      <c r="O55" s="164"/>
      <c r="P55" s="159" t="s">
        <v>348</v>
      </c>
      <c r="Q55" s="159" t="s">
        <v>432</v>
      </c>
      <c r="R55" s="159" t="s">
        <v>479</v>
      </c>
      <c r="S55" s="165">
        <v>1.7846889952153101E-2</v>
      </c>
      <c r="T55" s="166" t="s">
        <v>383</v>
      </c>
      <c r="U55" s="166"/>
      <c r="V55" s="166"/>
      <c r="W55" s="167">
        <f>IF(BetTable[Sport]="","",BetTable[Stake]+BetTable[S2]+BetTable[S3])</f>
        <v>24</v>
      </c>
      <c r="X55" s="164">
        <f>IF(BetTable[Odds]="","",(BetTable[WBA1-Commission])-BetTable[TS])</f>
        <v>21.36</v>
      </c>
      <c r="Y55" s="168">
        <f>IF(BetTable[Outcome]="","",BetTable[WBA1]+BetTable[WBA2]+BetTable[WBA3]-BetTable[TS])</f>
        <v>0</v>
      </c>
      <c r="Z55" s="164">
        <f>(((BetTable[Odds]-1)*BetTable[Stake])*(1-(BetTable[Comm %]))+BetTable[Stake])</f>
        <v>45.36</v>
      </c>
      <c r="AA55" s="164">
        <f>(((BetTable[O2]-1)*BetTable[S2])*(1-(BetTable[C% 2]))+BetTable[S2])</f>
        <v>0</v>
      </c>
      <c r="AB55" s="164">
        <f>(((BetTable[O3]-1)*BetTable[S3])*(1-(BetTable[C% 3]))+BetTable[S3])</f>
        <v>0</v>
      </c>
      <c r="AC55" s="165">
        <f>IFERROR(IF(BetTable[Sport]="","",BetTable[R1]/BetTable[TS]),"")</f>
        <v>0.89</v>
      </c>
      <c r="AD55" s="165" t="str">
        <f>IF(BetTable[O2]="","",#REF!/BetTable[TS])</f>
        <v/>
      </c>
      <c r="AE55" s="165" t="str">
        <f>IFERROR(IF(BetTable[Sport]="","",#REF!/BetTable[TS]),"")</f>
        <v/>
      </c>
      <c r="AF55" s="164">
        <f>IF(BetTable[Outcome]="Win",BetTable[WBA1-Commission],IF(BetTable[Outcome]="Win Half Stake",(BetTable[Stake]/2)+BetTable[WBA1-Commission]/2,IF(BetTable[Outcome]="Lose Half Stake",BetTable[Stake]/2,IF(BetTable[Outcome]="Lose",0,IF(BetTable[Outcome]="Void",BetTable[Stake],)))))</f>
        <v>24</v>
      </c>
      <c r="AG55" s="164">
        <f>IF(BetTable[Outcome2]="Win",BetTable[WBA2-Commission],IF(BetTable[Outcome2]="Win Half Stake",(BetTable[S2]/2)+BetTable[WBA2-Commission]/2,IF(BetTable[Outcome2]="Lose Half Stake",BetTable[S2]/2,IF(BetTable[Outcome2]="Lose",0,IF(BetTable[Outcome2]="Void",BetTable[S2],)))))</f>
        <v>0</v>
      </c>
      <c r="AH55" s="164">
        <f>IF(BetTable[Outcome3]="Win",BetTable[WBA3-Commission],IF(BetTable[Outcome3]="Win Half Stake",(BetTable[S3]/2)+BetTable[WBA3-Commission]/2,IF(BetTable[Outcome3]="Lose Half Stake",BetTable[S3]/2,IF(BetTable[Outcome3]="Lose",0,IF(BetTable[Outcome3]="Void",BetTable[S3],)))))</f>
        <v>0</v>
      </c>
      <c r="AI55" s="168">
        <f>IF(BetTable[Outcome]="",AI54,BetTable[Result]+AI54)</f>
        <v>138.07124999999996</v>
      </c>
      <c r="AJ55" s="160"/>
    </row>
    <row r="56" spans="1:36" x14ac:dyDescent="0.2">
      <c r="A56" s="159" t="s">
        <v>426</v>
      </c>
      <c r="B56" s="160" t="s">
        <v>7</v>
      </c>
      <c r="C56" s="161" t="s">
        <v>91</v>
      </c>
      <c r="D56" s="161"/>
      <c r="E56" s="161"/>
      <c r="F56" s="162"/>
      <c r="G56" s="162"/>
      <c r="H56" s="162"/>
      <c r="I56" s="160" t="s">
        <v>480</v>
      </c>
      <c r="J56" s="163">
        <v>1.89</v>
      </c>
      <c r="K56" s="163"/>
      <c r="L56" s="163"/>
      <c r="M56" s="164">
        <v>22</v>
      </c>
      <c r="N56" s="164"/>
      <c r="O56" s="164"/>
      <c r="P56" s="159" t="s">
        <v>481</v>
      </c>
      <c r="Q56" s="159" t="s">
        <v>482</v>
      </c>
      <c r="R56" s="159" t="s">
        <v>483</v>
      </c>
      <c r="S56" s="165">
        <v>1.6004176150633698E-2</v>
      </c>
      <c r="T56" s="166" t="s">
        <v>372</v>
      </c>
      <c r="U56" s="166"/>
      <c r="V56" s="166"/>
      <c r="W56" s="167">
        <f>IF(BetTable[Sport]="","",BetTable[Stake]+BetTable[S2]+BetTable[S3])</f>
        <v>22</v>
      </c>
      <c r="X56" s="164">
        <f>IF(BetTable[Odds]="","",(BetTable[WBA1-Commission])-BetTable[TS])</f>
        <v>19.579999999999998</v>
      </c>
      <c r="Y56" s="168">
        <f>IF(BetTable[Outcome]="","",BetTable[WBA1]+BetTable[WBA2]+BetTable[WBA3]-BetTable[TS])</f>
        <v>19.579999999999998</v>
      </c>
      <c r="Z56" s="164">
        <f>(((BetTable[Odds]-1)*BetTable[Stake])*(1-(BetTable[Comm %]))+BetTable[Stake])</f>
        <v>41.58</v>
      </c>
      <c r="AA56" s="164">
        <f>(((BetTable[O2]-1)*BetTable[S2])*(1-(BetTable[C% 2]))+BetTable[S2])</f>
        <v>0</v>
      </c>
      <c r="AB56" s="164">
        <f>(((BetTable[O3]-1)*BetTable[S3])*(1-(BetTable[C% 3]))+BetTable[S3])</f>
        <v>0</v>
      </c>
      <c r="AC56" s="165">
        <f>IFERROR(IF(BetTable[Sport]="","",BetTable[R1]/BetTable[TS]),"")</f>
        <v>0.8899999999999999</v>
      </c>
      <c r="AD56" s="165" t="str">
        <f>IF(BetTable[O2]="","",#REF!/BetTable[TS])</f>
        <v/>
      </c>
      <c r="AE56" s="165" t="str">
        <f>IFERROR(IF(BetTable[Sport]="","",#REF!/BetTable[TS]),"")</f>
        <v/>
      </c>
      <c r="AF56" s="164">
        <f>IF(BetTable[Outcome]="Win",BetTable[WBA1-Commission],IF(BetTable[Outcome]="Win Half Stake",(BetTable[Stake]/2)+BetTable[WBA1-Commission]/2,IF(BetTable[Outcome]="Lose Half Stake",BetTable[Stake]/2,IF(BetTable[Outcome]="Lose",0,IF(BetTable[Outcome]="Void",BetTable[Stake],)))))</f>
        <v>41.58</v>
      </c>
      <c r="AG56" s="164">
        <f>IF(BetTable[Outcome2]="Win",BetTable[WBA2-Commission],IF(BetTable[Outcome2]="Win Half Stake",(BetTable[S2]/2)+BetTable[WBA2-Commission]/2,IF(BetTable[Outcome2]="Lose Half Stake",BetTable[S2]/2,IF(BetTable[Outcome2]="Lose",0,IF(BetTable[Outcome2]="Void",BetTable[S2],)))))</f>
        <v>0</v>
      </c>
      <c r="AH56" s="164">
        <f>IF(BetTable[Outcome3]="Win",BetTable[WBA3-Commission],IF(BetTable[Outcome3]="Win Half Stake",(BetTable[S3]/2)+BetTable[WBA3-Commission]/2,IF(BetTable[Outcome3]="Lose Half Stake",BetTable[S3]/2,IF(BetTable[Outcome3]="Lose",0,IF(BetTable[Outcome3]="Void",BetTable[S3],)))))</f>
        <v>0</v>
      </c>
      <c r="AI56" s="168">
        <f>IF(BetTable[Outcome]="",AI55,BetTable[Result]+AI55)</f>
        <v>157.65124999999995</v>
      </c>
      <c r="AJ56" s="160"/>
    </row>
    <row r="57" spans="1:36" x14ac:dyDescent="0.2">
      <c r="A57" s="159" t="s">
        <v>426</v>
      </c>
      <c r="B57" s="160" t="s">
        <v>200</v>
      </c>
      <c r="C57" s="161" t="s">
        <v>91</v>
      </c>
      <c r="D57" s="161"/>
      <c r="E57" s="161"/>
      <c r="F57" s="162"/>
      <c r="G57" s="162"/>
      <c r="H57" s="162"/>
      <c r="I57" s="160" t="s">
        <v>484</v>
      </c>
      <c r="J57" s="163">
        <v>1.99</v>
      </c>
      <c r="K57" s="163"/>
      <c r="L57" s="163"/>
      <c r="M57" s="164">
        <v>21</v>
      </c>
      <c r="N57" s="164"/>
      <c r="O57" s="164"/>
      <c r="P57" s="159" t="s">
        <v>406</v>
      </c>
      <c r="Q57" s="159" t="s">
        <v>485</v>
      </c>
      <c r="R57" s="159" t="s">
        <v>486</v>
      </c>
      <c r="S57" s="165">
        <v>1.7362257881715901E-2</v>
      </c>
      <c r="T57" s="166" t="s">
        <v>382</v>
      </c>
      <c r="U57" s="166"/>
      <c r="V57" s="166"/>
      <c r="W57" s="167">
        <f>IF(BetTable[Sport]="","",BetTable[Stake]+BetTable[S2]+BetTable[S3])</f>
        <v>21</v>
      </c>
      <c r="X57" s="164">
        <f>IF(BetTable[Odds]="","",(BetTable[WBA1-Commission])-BetTable[TS])</f>
        <v>20.79</v>
      </c>
      <c r="Y57" s="168">
        <f>IF(BetTable[Outcome]="","",BetTable[WBA1]+BetTable[WBA2]+BetTable[WBA3]-BetTable[TS])</f>
        <v>-21</v>
      </c>
      <c r="Z57" s="164">
        <f>(((BetTable[Odds]-1)*BetTable[Stake])*(1-(BetTable[Comm %]))+BetTable[Stake])</f>
        <v>41.79</v>
      </c>
      <c r="AA57" s="164">
        <f>(((BetTable[O2]-1)*BetTable[S2])*(1-(BetTable[C% 2]))+BetTable[S2])</f>
        <v>0</v>
      </c>
      <c r="AB57" s="164">
        <f>(((BetTable[O3]-1)*BetTable[S3])*(1-(BetTable[C% 3]))+BetTable[S3])</f>
        <v>0</v>
      </c>
      <c r="AC57" s="165">
        <f>IFERROR(IF(BetTable[Sport]="","",BetTable[R1]/BetTable[TS]),"")</f>
        <v>0.99</v>
      </c>
      <c r="AD57" s="165" t="str">
        <f>IF(BetTable[O2]="","",#REF!/BetTable[TS])</f>
        <v/>
      </c>
      <c r="AE57" s="165" t="str">
        <f>IFERROR(IF(BetTable[Sport]="","",#REF!/BetTable[TS]),"")</f>
        <v/>
      </c>
      <c r="AF57" s="164">
        <f>IF(BetTable[Outcome]="Win",BetTable[WBA1-Commission],IF(BetTable[Outcome]="Win Half Stake",(BetTable[Stake]/2)+BetTable[WBA1-Commission]/2,IF(BetTable[Outcome]="Lose Half Stake",BetTable[Stake]/2,IF(BetTable[Outcome]="Lose",0,IF(BetTable[Outcome]="Void",BetTable[Stake],)))))</f>
        <v>0</v>
      </c>
      <c r="AG57" s="164">
        <f>IF(BetTable[Outcome2]="Win",BetTable[WBA2-Commission],IF(BetTable[Outcome2]="Win Half Stake",(BetTable[S2]/2)+BetTable[WBA2-Commission]/2,IF(BetTable[Outcome2]="Lose Half Stake",BetTable[S2]/2,IF(BetTable[Outcome2]="Lose",0,IF(BetTable[Outcome2]="Void",BetTable[S2],)))))</f>
        <v>0</v>
      </c>
      <c r="AH57" s="164">
        <f>IF(BetTable[Outcome3]="Win",BetTable[WBA3-Commission],IF(BetTable[Outcome3]="Win Half Stake",(BetTable[S3]/2)+BetTable[WBA3-Commission]/2,IF(BetTable[Outcome3]="Lose Half Stake",BetTable[S3]/2,IF(BetTable[Outcome3]="Lose",0,IF(BetTable[Outcome3]="Void",BetTable[S3],)))))</f>
        <v>0</v>
      </c>
      <c r="AI57" s="168">
        <f>IF(BetTable[Outcome]="",AI56,BetTable[Result]+AI56)</f>
        <v>136.65124999999995</v>
      </c>
      <c r="AJ57" s="160"/>
    </row>
    <row r="58" spans="1:36" x14ac:dyDescent="0.2">
      <c r="A58" s="159" t="s">
        <v>426</v>
      </c>
      <c r="B58" s="160" t="s">
        <v>9</v>
      </c>
      <c r="C58" s="161" t="s">
        <v>91</v>
      </c>
      <c r="D58" s="161"/>
      <c r="E58" s="161"/>
      <c r="F58" s="162"/>
      <c r="G58" s="162"/>
      <c r="H58" s="162"/>
      <c r="I58" s="160" t="s">
        <v>487</v>
      </c>
      <c r="J58" s="163">
        <v>2</v>
      </c>
      <c r="K58" s="163"/>
      <c r="L58" s="163"/>
      <c r="M58" s="164">
        <v>22</v>
      </c>
      <c r="N58" s="164"/>
      <c r="O58" s="164"/>
      <c r="P58" s="159" t="s">
        <v>385</v>
      </c>
      <c r="Q58" s="159" t="s">
        <v>488</v>
      </c>
      <c r="R58" s="159" t="s">
        <v>489</v>
      </c>
      <c r="S58" s="165">
        <v>1.8497567634118101E-2</v>
      </c>
      <c r="T58" s="166" t="s">
        <v>382</v>
      </c>
      <c r="U58" s="166"/>
      <c r="V58" s="166"/>
      <c r="W58" s="167">
        <f>IF(BetTable[Sport]="","",BetTable[Stake]+BetTable[S2]+BetTable[S3])</f>
        <v>22</v>
      </c>
      <c r="X58" s="164">
        <f>IF(BetTable[Odds]="","",(BetTable[WBA1-Commission])-BetTable[TS])</f>
        <v>22</v>
      </c>
      <c r="Y58" s="168">
        <f>IF(BetTable[Outcome]="","",BetTable[WBA1]+BetTable[WBA2]+BetTable[WBA3]-BetTable[TS])</f>
        <v>-22</v>
      </c>
      <c r="Z58" s="164">
        <f>(((BetTable[Odds]-1)*BetTable[Stake])*(1-(BetTable[Comm %]))+BetTable[Stake])</f>
        <v>44</v>
      </c>
      <c r="AA58" s="164">
        <f>(((BetTable[O2]-1)*BetTable[S2])*(1-(BetTable[C% 2]))+BetTable[S2])</f>
        <v>0</v>
      </c>
      <c r="AB58" s="164">
        <f>(((BetTable[O3]-1)*BetTable[S3])*(1-(BetTable[C% 3]))+BetTable[S3])</f>
        <v>0</v>
      </c>
      <c r="AC58" s="165">
        <f>IFERROR(IF(BetTable[Sport]="","",BetTable[R1]/BetTable[TS]),"")</f>
        <v>1</v>
      </c>
      <c r="AD58" s="165" t="str">
        <f>IF(BetTable[O2]="","",#REF!/BetTable[TS])</f>
        <v/>
      </c>
      <c r="AE58" s="165" t="str">
        <f>IFERROR(IF(BetTable[Sport]="","",#REF!/BetTable[TS]),"")</f>
        <v/>
      </c>
      <c r="AF58" s="164">
        <f>IF(BetTable[Outcome]="Win",BetTable[WBA1-Commission],IF(BetTable[Outcome]="Win Half Stake",(BetTable[Stake]/2)+BetTable[WBA1-Commission]/2,IF(BetTable[Outcome]="Lose Half Stake",BetTable[Stake]/2,IF(BetTable[Outcome]="Lose",0,IF(BetTable[Outcome]="Void",BetTable[Stake],)))))</f>
        <v>0</v>
      </c>
      <c r="AG58" s="164">
        <f>IF(BetTable[Outcome2]="Win",BetTable[WBA2-Commission],IF(BetTable[Outcome2]="Win Half Stake",(BetTable[S2]/2)+BetTable[WBA2-Commission]/2,IF(BetTable[Outcome2]="Lose Half Stake",BetTable[S2]/2,IF(BetTable[Outcome2]="Lose",0,IF(BetTable[Outcome2]="Void",BetTable[S2],)))))</f>
        <v>0</v>
      </c>
      <c r="AH58" s="164">
        <f>IF(BetTable[Outcome3]="Win",BetTable[WBA3-Commission],IF(BetTable[Outcome3]="Win Half Stake",(BetTable[S3]/2)+BetTable[WBA3-Commission]/2,IF(BetTable[Outcome3]="Lose Half Stake",BetTable[S3]/2,IF(BetTable[Outcome3]="Lose",0,IF(BetTable[Outcome3]="Void",BetTable[S3],)))))</f>
        <v>0</v>
      </c>
      <c r="AI58" s="168">
        <f>IF(BetTable[Outcome]="",AI57,BetTable[Result]+AI57)</f>
        <v>114.65124999999995</v>
      </c>
      <c r="AJ58" s="160"/>
    </row>
    <row r="59" spans="1:36" x14ac:dyDescent="0.2">
      <c r="A59" s="159" t="s">
        <v>426</v>
      </c>
      <c r="B59" s="160" t="s">
        <v>200</v>
      </c>
      <c r="C59" s="161" t="s">
        <v>91</v>
      </c>
      <c r="D59" s="161"/>
      <c r="E59" s="161"/>
      <c r="F59" s="162"/>
      <c r="G59" s="162"/>
      <c r="H59" s="162"/>
      <c r="I59" s="160" t="s">
        <v>490</v>
      </c>
      <c r="J59" s="163">
        <v>1.78</v>
      </c>
      <c r="K59" s="163"/>
      <c r="L59" s="163"/>
      <c r="M59" s="164">
        <v>22</v>
      </c>
      <c r="N59" s="164"/>
      <c r="O59" s="164"/>
      <c r="P59" s="159" t="s">
        <v>348</v>
      </c>
      <c r="Q59" s="159" t="s">
        <v>491</v>
      </c>
      <c r="R59" s="159" t="s">
        <v>492</v>
      </c>
      <c r="S59" s="165">
        <v>1.4018256798885799E-2</v>
      </c>
      <c r="T59" s="166" t="s">
        <v>383</v>
      </c>
      <c r="U59" s="166"/>
      <c r="V59" s="166"/>
      <c r="W59" s="167">
        <f>IF(BetTable[Sport]="","",BetTable[Stake]+BetTable[S2]+BetTable[S3])</f>
        <v>22</v>
      </c>
      <c r="X59" s="164">
        <f>IF(BetTable[Odds]="","",(BetTable[WBA1-Commission])-BetTable[TS])</f>
        <v>17.159999999999997</v>
      </c>
      <c r="Y59" s="168">
        <f>IF(BetTable[Outcome]="","",BetTable[WBA1]+BetTable[WBA2]+BetTable[WBA3]-BetTable[TS])</f>
        <v>0</v>
      </c>
      <c r="Z59" s="164">
        <f>(((BetTable[Odds]-1)*BetTable[Stake])*(1-(BetTable[Comm %]))+BetTable[Stake])</f>
        <v>39.159999999999997</v>
      </c>
      <c r="AA59" s="164">
        <f>(((BetTable[O2]-1)*BetTable[S2])*(1-(BetTable[C% 2]))+BetTable[S2])</f>
        <v>0</v>
      </c>
      <c r="AB59" s="164">
        <f>(((BetTable[O3]-1)*BetTable[S3])*(1-(BetTable[C% 3]))+BetTable[S3])</f>
        <v>0</v>
      </c>
      <c r="AC59" s="165">
        <f>IFERROR(IF(BetTable[Sport]="","",BetTable[R1]/BetTable[TS]),"")</f>
        <v>0.7799999999999998</v>
      </c>
      <c r="AD59" s="165" t="str">
        <f>IF(BetTable[O2]="","",#REF!/BetTable[TS])</f>
        <v/>
      </c>
      <c r="AE59" s="165" t="str">
        <f>IFERROR(IF(BetTable[Sport]="","",#REF!/BetTable[TS]),"")</f>
        <v/>
      </c>
      <c r="AF59" s="164">
        <f>IF(BetTable[Outcome]="Win",BetTable[WBA1-Commission],IF(BetTable[Outcome]="Win Half Stake",(BetTable[Stake]/2)+BetTable[WBA1-Commission]/2,IF(BetTable[Outcome]="Lose Half Stake",BetTable[Stake]/2,IF(BetTable[Outcome]="Lose",0,IF(BetTable[Outcome]="Void",BetTable[Stake],)))))</f>
        <v>22</v>
      </c>
      <c r="AG59" s="164">
        <f>IF(BetTable[Outcome2]="Win",BetTable[WBA2-Commission],IF(BetTable[Outcome2]="Win Half Stake",(BetTable[S2]/2)+BetTable[WBA2-Commission]/2,IF(BetTable[Outcome2]="Lose Half Stake",BetTable[S2]/2,IF(BetTable[Outcome2]="Lose",0,IF(BetTable[Outcome2]="Void",BetTable[S2],)))))</f>
        <v>0</v>
      </c>
      <c r="AH59" s="164">
        <f>IF(BetTable[Outcome3]="Win",BetTable[WBA3-Commission],IF(BetTable[Outcome3]="Win Half Stake",(BetTable[S3]/2)+BetTable[WBA3-Commission]/2,IF(BetTable[Outcome3]="Lose Half Stake",BetTable[S3]/2,IF(BetTable[Outcome3]="Lose",0,IF(BetTable[Outcome3]="Void",BetTable[S3],)))))</f>
        <v>0</v>
      </c>
      <c r="AI59" s="168">
        <f>IF(BetTable[Outcome]="",AI58,BetTable[Result]+AI58)</f>
        <v>114.65124999999995</v>
      </c>
      <c r="AJ59" s="160"/>
    </row>
    <row r="60" spans="1:36" x14ac:dyDescent="0.2">
      <c r="A60" s="159" t="s">
        <v>426</v>
      </c>
      <c r="B60" s="160" t="s">
        <v>200</v>
      </c>
      <c r="C60" s="161" t="s">
        <v>234</v>
      </c>
      <c r="D60" s="161"/>
      <c r="E60" s="161"/>
      <c r="F60" s="162"/>
      <c r="G60" s="162"/>
      <c r="H60" s="162"/>
      <c r="I60" s="160" t="s">
        <v>493</v>
      </c>
      <c r="J60" s="163">
        <v>3.05</v>
      </c>
      <c r="K60" s="163"/>
      <c r="L60" s="163"/>
      <c r="M60" s="164">
        <v>11</v>
      </c>
      <c r="N60" s="164"/>
      <c r="O60" s="164"/>
      <c r="P60" s="159" t="s">
        <v>494</v>
      </c>
      <c r="Q60" s="159" t="s">
        <v>495</v>
      </c>
      <c r="R60" s="159" t="s">
        <v>496</v>
      </c>
      <c r="S60" s="165">
        <v>1.86350301164942E-2</v>
      </c>
      <c r="T60" s="166" t="s">
        <v>372</v>
      </c>
      <c r="U60" s="166"/>
      <c r="V60" s="166"/>
      <c r="W60" s="167">
        <f>IF(BetTable[Sport]="","",BetTable[Stake]+BetTable[S2]+BetTable[S3])</f>
        <v>11</v>
      </c>
      <c r="X60" s="164">
        <f>IF(BetTable[Odds]="","",(BetTable[WBA1-Commission])-BetTable[TS])</f>
        <v>22.549999999999997</v>
      </c>
      <c r="Y60" s="168">
        <f>IF(BetTable[Outcome]="","",BetTable[WBA1]+BetTable[WBA2]+BetTable[WBA3]-BetTable[TS])</f>
        <v>22.549999999999997</v>
      </c>
      <c r="Z60" s="164">
        <f>(((BetTable[Odds]-1)*BetTable[Stake])*(1-(BetTable[Comm %]))+BetTable[Stake])</f>
        <v>33.549999999999997</v>
      </c>
      <c r="AA60" s="164">
        <f>(((BetTable[O2]-1)*BetTable[S2])*(1-(BetTable[C% 2]))+BetTable[S2])</f>
        <v>0</v>
      </c>
      <c r="AB60" s="164">
        <f>(((BetTable[O3]-1)*BetTable[S3])*(1-(BetTable[C% 3]))+BetTable[S3])</f>
        <v>0</v>
      </c>
      <c r="AC60" s="165">
        <f>IFERROR(IF(BetTable[Sport]="","",BetTable[R1]/BetTable[TS]),"")</f>
        <v>2.0499999999999998</v>
      </c>
      <c r="AD60" s="165" t="str">
        <f>IF(BetTable[O2]="","",#REF!/BetTable[TS])</f>
        <v/>
      </c>
      <c r="AE60" s="165" t="str">
        <f>IFERROR(IF(BetTable[Sport]="","",#REF!/BetTable[TS]),"")</f>
        <v/>
      </c>
      <c r="AF60" s="164">
        <f>IF(BetTable[Outcome]="Win",BetTable[WBA1-Commission],IF(BetTable[Outcome]="Win Half Stake",(BetTable[Stake]/2)+BetTable[WBA1-Commission]/2,IF(BetTable[Outcome]="Lose Half Stake",BetTable[Stake]/2,IF(BetTable[Outcome]="Lose",0,IF(BetTable[Outcome]="Void",BetTable[Stake],)))))</f>
        <v>33.549999999999997</v>
      </c>
      <c r="AG60" s="164">
        <f>IF(BetTable[Outcome2]="Win",BetTable[WBA2-Commission],IF(BetTable[Outcome2]="Win Half Stake",(BetTable[S2]/2)+BetTable[WBA2-Commission]/2,IF(BetTable[Outcome2]="Lose Half Stake",BetTable[S2]/2,IF(BetTable[Outcome2]="Lose",0,IF(BetTable[Outcome2]="Void",BetTable[S2],)))))</f>
        <v>0</v>
      </c>
      <c r="AH60" s="164">
        <f>IF(BetTable[Outcome3]="Win",BetTable[WBA3-Commission],IF(BetTable[Outcome3]="Win Half Stake",(BetTable[S3]/2)+BetTable[WBA3-Commission]/2,IF(BetTable[Outcome3]="Lose Half Stake",BetTable[S3]/2,IF(BetTable[Outcome3]="Lose",0,IF(BetTable[Outcome3]="Void",BetTable[S3],)))))</f>
        <v>0</v>
      </c>
      <c r="AI60" s="168">
        <f>IF(BetTable[Outcome]="",AI59,BetTable[Result]+AI59)</f>
        <v>137.20124999999996</v>
      </c>
      <c r="AJ60" s="160"/>
    </row>
    <row r="61" spans="1:36" x14ac:dyDescent="0.2">
      <c r="A61" s="159" t="s">
        <v>426</v>
      </c>
      <c r="B61" s="160" t="s">
        <v>9</v>
      </c>
      <c r="C61" s="161" t="s">
        <v>91</v>
      </c>
      <c r="D61" s="161"/>
      <c r="E61" s="161"/>
      <c r="F61" s="162"/>
      <c r="G61" s="162"/>
      <c r="H61" s="162"/>
      <c r="I61" s="160" t="s">
        <v>497</v>
      </c>
      <c r="J61" s="163">
        <v>2.02</v>
      </c>
      <c r="K61" s="163"/>
      <c r="L61" s="163"/>
      <c r="M61" s="164">
        <v>23</v>
      </c>
      <c r="N61" s="164"/>
      <c r="O61" s="164"/>
      <c r="P61" s="159" t="s">
        <v>498</v>
      </c>
      <c r="Q61" s="159" t="s">
        <v>488</v>
      </c>
      <c r="R61" s="159" t="s">
        <v>499</v>
      </c>
      <c r="S61" s="165">
        <v>1.9340142252319802E-2</v>
      </c>
      <c r="T61" s="166" t="s">
        <v>372</v>
      </c>
      <c r="U61" s="166"/>
      <c r="V61" s="166"/>
      <c r="W61" s="167">
        <f>IF(BetTable[Sport]="","",BetTable[Stake]+BetTable[S2]+BetTable[S3])</f>
        <v>23</v>
      </c>
      <c r="X61" s="164">
        <f>IF(BetTable[Odds]="","",(BetTable[WBA1-Commission])-BetTable[TS])</f>
        <v>23.46</v>
      </c>
      <c r="Y61" s="168">
        <f>IF(BetTable[Outcome]="","",BetTable[WBA1]+BetTable[WBA2]+BetTable[WBA3]-BetTable[TS])</f>
        <v>23.46</v>
      </c>
      <c r="Z61" s="164">
        <f>(((BetTable[Odds]-1)*BetTable[Stake])*(1-(BetTable[Comm %]))+BetTable[Stake])</f>
        <v>46.46</v>
      </c>
      <c r="AA61" s="164">
        <f>(((BetTable[O2]-1)*BetTable[S2])*(1-(BetTable[C% 2]))+BetTable[S2])</f>
        <v>0</v>
      </c>
      <c r="AB61" s="164">
        <f>(((BetTable[O3]-1)*BetTable[S3])*(1-(BetTable[C% 3]))+BetTable[S3])</f>
        <v>0</v>
      </c>
      <c r="AC61" s="165">
        <f>IFERROR(IF(BetTable[Sport]="","",BetTable[R1]/BetTable[TS]),"")</f>
        <v>1.02</v>
      </c>
      <c r="AD61" s="165" t="str">
        <f>IF(BetTable[O2]="","",#REF!/BetTable[TS])</f>
        <v/>
      </c>
      <c r="AE61" s="165" t="str">
        <f>IFERROR(IF(BetTable[Sport]="","",#REF!/BetTable[TS]),"")</f>
        <v/>
      </c>
      <c r="AF61" s="164">
        <f>IF(BetTable[Outcome]="Win",BetTable[WBA1-Commission],IF(BetTable[Outcome]="Win Half Stake",(BetTable[Stake]/2)+BetTable[WBA1-Commission]/2,IF(BetTable[Outcome]="Lose Half Stake",BetTable[Stake]/2,IF(BetTable[Outcome]="Lose",0,IF(BetTable[Outcome]="Void",BetTable[Stake],)))))</f>
        <v>46.46</v>
      </c>
      <c r="AG61" s="164">
        <f>IF(BetTable[Outcome2]="Win",BetTable[WBA2-Commission],IF(BetTable[Outcome2]="Win Half Stake",(BetTable[S2]/2)+BetTable[WBA2-Commission]/2,IF(BetTable[Outcome2]="Lose Half Stake",BetTable[S2]/2,IF(BetTable[Outcome2]="Lose",0,IF(BetTable[Outcome2]="Void",BetTable[S2],)))))</f>
        <v>0</v>
      </c>
      <c r="AH61" s="164">
        <f>IF(BetTable[Outcome3]="Win",BetTable[WBA3-Commission],IF(BetTable[Outcome3]="Win Half Stake",(BetTable[S3]/2)+BetTable[WBA3-Commission]/2,IF(BetTable[Outcome3]="Lose Half Stake",BetTable[S3]/2,IF(BetTable[Outcome3]="Lose",0,IF(BetTable[Outcome3]="Void",BetTable[S3],)))))</f>
        <v>0</v>
      </c>
      <c r="AI61" s="168">
        <f>IF(BetTable[Outcome]="",AI60,BetTable[Result]+AI60)</f>
        <v>160.66124999999997</v>
      </c>
      <c r="AJ61" s="160"/>
    </row>
    <row r="62" spans="1:36" x14ac:dyDescent="0.2">
      <c r="A62" s="159" t="s">
        <v>426</v>
      </c>
      <c r="B62" s="160" t="s">
        <v>200</v>
      </c>
      <c r="C62" s="161" t="s">
        <v>91</v>
      </c>
      <c r="D62" s="161"/>
      <c r="E62" s="161"/>
      <c r="F62" s="162"/>
      <c r="G62" s="162"/>
      <c r="H62" s="162"/>
      <c r="I62" s="160" t="s">
        <v>500</v>
      </c>
      <c r="J62" s="163">
        <v>1.75</v>
      </c>
      <c r="K62" s="163"/>
      <c r="L62" s="163"/>
      <c r="M62" s="164">
        <v>27</v>
      </c>
      <c r="N62" s="164"/>
      <c r="O62" s="164"/>
      <c r="P62" s="159" t="s">
        <v>354</v>
      </c>
      <c r="Q62" s="159" t="s">
        <v>474</v>
      </c>
      <c r="R62" s="159" t="s">
        <v>501</v>
      </c>
      <c r="S62" s="165">
        <v>1.6983582836956401E-2</v>
      </c>
      <c r="T62" s="166" t="s">
        <v>382</v>
      </c>
      <c r="U62" s="166"/>
      <c r="V62" s="166"/>
      <c r="W62" s="167">
        <f>IF(BetTable[Sport]="","",BetTable[Stake]+BetTable[S2]+BetTable[S3])</f>
        <v>27</v>
      </c>
      <c r="X62" s="164">
        <f>IF(BetTable[Odds]="","",(BetTable[WBA1-Commission])-BetTable[TS])</f>
        <v>20.25</v>
      </c>
      <c r="Y62" s="168">
        <f>IF(BetTable[Outcome]="","",BetTable[WBA1]+BetTable[WBA2]+BetTable[WBA3]-BetTable[TS])</f>
        <v>-27</v>
      </c>
      <c r="Z62" s="164">
        <f>(((BetTable[Odds]-1)*BetTable[Stake])*(1-(BetTable[Comm %]))+BetTable[Stake])</f>
        <v>47.25</v>
      </c>
      <c r="AA62" s="164">
        <f>(((BetTable[O2]-1)*BetTable[S2])*(1-(BetTable[C% 2]))+BetTable[S2])</f>
        <v>0</v>
      </c>
      <c r="AB62" s="164">
        <f>(((BetTable[O3]-1)*BetTable[S3])*(1-(BetTable[C% 3]))+BetTable[S3])</f>
        <v>0</v>
      </c>
      <c r="AC62" s="165">
        <f>IFERROR(IF(BetTable[Sport]="","",BetTable[R1]/BetTable[TS]),"")</f>
        <v>0.75</v>
      </c>
      <c r="AD62" s="165" t="str">
        <f>IF(BetTable[O2]="","",#REF!/BetTable[TS])</f>
        <v/>
      </c>
      <c r="AE62" s="165" t="str">
        <f>IFERROR(IF(BetTable[Sport]="","",#REF!/BetTable[TS]),"")</f>
        <v/>
      </c>
      <c r="AF62" s="164">
        <f>IF(BetTable[Outcome]="Win",BetTable[WBA1-Commission],IF(BetTable[Outcome]="Win Half Stake",(BetTable[Stake]/2)+BetTable[WBA1-Commission]/2,IF(BetTable[Outcome]="Lose Half Stake",BetTable[Stake]/2,IF(BetTable[Outcome]="Lose",0,IF(BetTable[Outcome]="Void",BetTable[Stake],)))))</f>
        <v>0</v>
      </c>
      <c r="AG62" s="164">
        <f>IF(BetTable[Outcome2]="Win",BetTable[WBA2-Commission],IF(BetTable[Outcome2]="Win Half Stake",(BetTable[S2]/2)+BetTable[WBA2-Commission]/2,IF(BetTable[Outcome2]="Lose Half Stake",BetTable[S2]/2,IF(BetTable[Outcome2]="Lose",0,IF(BetTable[Outcome2]="Void",BetTable[S2],)))))</f>
        <v>0</v>
      </c>
      <c r="AH62" s="164">
        <f>IF(BetTable[Outcome3]="Win",BetTable[WBA3-Commission],IF(BetTable[Outcome3]="Win Half Stake",(BetTable[S3]/2)+BetTable[WBA3-Commission]/2,IF(BetTable[Outcome3]="Lose Half Stake",BetTable[S3]/2,IF(BetTable[Outcome3]="Lose",0,IF(BetTable[Outcome3]="Void",BetTable[S3],)))))</f>
        <v>0</v>
      </c>
      <c r="AI62" s="168">
        <f>IF(BetTable[Outcome]="",AI61,BetTable[Result]+AI61)</f>
        <v>133.66124999999997</v>
      </c>
      <c r="AJ62" s="160"/>
    </row>
    <row r="63" spans="1:36" x14ac:dyDescent="0.2">
      <c r="A63" s="159" t="s">
        <v>426</v>
      </c>
      <c r="B63" s="160" t="s">
        <v>8</v>
      </c>
      <c r="C63" s="161" t="s">
        <v>91</v>
      </c>
      <c r="D63" s="161"/>
      <c r="E63" s="161"/>
      <c r="F63" s="162"/>
      <c r="G63" s="162"/>
      <c r="H63" s="162"/>
      <c r="I63" s="160" t="s">
        <v>502</v>
      </c>
      <c r="J63" s="163">
        <v>2.63</v>
      </c>
      <c r="K63" s="163"/>
      <c r="L63" s="163"/>
      <c r="M63" s="164">
        <v>27</v>
      </c>
      <c r="N63" s="164"/>
      <c r="O63" s="164"/>
      <c r="P63" s="159" t="s">
        <v>428</v>
      </c>
      <c r="Q63" s="159" t="s">
        <v>503</v>
      </c>
      <c r="R63" s="159" t="s">
        <v>504</v>
      </c>
      <c r="S63" s="165">
        <v>3.7248695274282699E-2</v>
      </c>
      <c r="T63" s="166" t="s">
        <v>372</v>
      </c>
      <c r="U63" s="166"/>
      <c r="V63" s="166"/>
      <c r="W63" s="167">
        <f>IF(BetTable[Sport]="","",BetTable[Stake]+BetTable[S2]+BetTable[S3])</f>
        <v>27</v>
      </c>
      <c r="X63" s="164">
        <f>IF(BetTable[Odds]="","",(BetTable[WBA1-Commission])-BetTable[TS])</f>
        <v>44.009999999999991</v>
      </c>
      <c r="Y63" s="168">
        <f>IF(BetTable[Outcome]="","",BetTable[WBA1]+BetTable[WBA2]+BetTable[WBA3]-BetTable[TS])</f>
        <v>44.009999999999991</v>
      </c>
      <c r="Z63" s="164">
        <f>(((BetTable[Odds]-1)*BetTable[Stake])*(1-(BetTable[Comm %]))+BetTable[Stake])</f>
        <v>71.009999999999991</v>
      </c>
      <c r="AA63" s="164">
        <f>(((BetTable[O2]-1)*BetTable[S2])*(1-(BetTable[C% 2]))+BetTable[S2])</f>
        <v>0</v>
      </c>
      <c r="AB63" s="164">
        <f>(((BetTable[O3]-1)*BetTable[S3])*(1-(BetTable[C% 3]))+BetTable[S3])</f>
        <v>0</v>
      </c>
      <c r="AC63" s="165">
        <f>IFERROR(IF(BetTable[Sport]="","",BetTable[R1]/BetTable[TS]),"")</f>
        <v>1.6299999999999997</v>
      </c>
      <c r="AD63" s="165" t="str">
        <f>IF(BetTable[O2]="","",#REF!/BetTable[TS])</f>
        <v/>
      </c>
      <c r="AE63" s="165" t="str">
        <f>IFERROR(IF(BetTable[Sport]="","",#REF!/BetTable[TS]),"")</f>
        <v/>
      </c>
      <c r="AF63" s="164">
        <f>IF(BetTable[Outcome]="Win",BetTable[WBA1-Commission],IF(BetTable[Outcome]="Win Half Stake",(BetTable[Stake]/2)+BetTable[WBA1-Commission]/2,IF(BetTable[Outcome]="Lose Half Stake",BetTable[Stake]/2,IF(BetTable[Outcome]="Lose",0,IF(BetTable[Outcome]="Void",BetTable[Stake],)))))</f>
        <v>71.009999999999991</v>
      </c>
      <c r="AG63" s="164">
        <f>IF(BetTable[Outcome2]="Win",BetTable[WBA2-Commission],IF(BetTable[Outcome2]="Win Half Stake",(BetTable[S2]/2)+BetTable[WBA2-Commission]/2,IF(BetTable[Outcome2]="Lose Half Stake",BetTable[S2]/2,IF(BetTable[Outcome2]="Lose",0,IF(BetTable[Outcome2]="Void",BetTable[S2],)))))</f>
        <v>0</v>
      </c>
      <c r="AH63" s="164">
        <f>IF(BetTable[Outcome3]="Win",BetTable[WBA3-Commission],IF(BetTable[Outcome3]="Win Half Stake",(BetTable[S3]/2)+BetTable[WBA3-Commission]/2,IF(BetTable[Outcome3]="Lose Half Stake",BetTable[S3]/2,IF(BetTable[Outcome3]="Lose",0,IF(BetTable[Outcome3]="Void",BetTable[S3],)))))</f>
        <v>0</v>
      </c>
      <c r="AI63" s="168">
        <f>IF(BetTable[Outcome]="",AI62,BetTable[Result]+AI62)</f>
        <v>177.67124999999996</v>
      </c>
      <c r="AJ63" s="160"/>
    </row>
    <row r="64" spans="1:36" x14ac:dyDescent="0.2">
      <c r="A64" s="159" t="s">
        <v>426</v>
      </c>
      <c r="B64" s="160" t="s">
        <v>8</v>
      </c>
      <c r="C64" s="161" t="s">
        <v>91</v>
      </c>
      <c r="D64" s="161"/>
      <c r="E64" s="161"/>
      <c r="F64" s="162"/>
      <c r="G64" s="162"/>
      <c r="H64" s="162"/>
      <c r="I64" s="160" t="s">
        <v>505</v>
      </c>
      <c r="J64" s="163">
        <v>2.04</v>
      </c>
      <c r="K64" s="163"/>
      <c r="L64" s="163"/>
      <c r="M64" s="164">
        <v>23</v>
      </c>
      <c r="N64" s="164"/>
      <c r="O64" s="164"/>
      <c r="P64" s="159" t="s">
        <v>428</v>
      </c>
      <c r="Q64" s="159" t="s">
        <v>506</v>
      </c>
      <c r="R64" s="159" t="s">
        <v>507</v>
      </c>
      <c r="S64" s="165">
        <v>0.02</v>
      </c>
      <c r="T64" s="166" t="s">
        <v>382</v>
      </c>
      <c r="U64" s="166"/>
      <c r="V64" s="166"/>
      <c r="W64" s="167">
        <f>IF(BetTable[Sport]="","",BetTable[Stake]+BetTable[S2]+BetTable[S3])</f>
        <v>23</v>
      </c>
      <c r="X64" s="164">
        <f>IF(BetTable[Odds]="","",(BetTable[WBA1-Commission])-BetTable[TS])</f>
        <v>23.92</v>
      </c>
      <c r="Y64" s="168">
        <f>IF(BetTable[Outcome]="","",BetTable[WBA1]+BetTable[WBA2]+BetTable[WBA3]-BetTable[TS])</f>
        <v>-23</v>
      </c>
      <c r="Z64" s="164">
        <f>(((BetTable[Odds]-1)*BetTable[Stake])*(1-(BetTable[Comm %]))+BetTable[Stake])</f>
        <v>46.92</v>
      </c>
      <c r="AA64" s="164">
        <f>(((BetTable[O2]-1)*BetTable[S2])*(1-(BetTable[C% 2]))+BetTable[S2])</f>
        <v>0</v>
      </c>
      <c r="AB64" s="164">
        <f>(((BetTable[O3]-1)*BetTable[S3])*(1-(BetTable[C% 3]))+BetTable[S3])</f>
        <v>0</v>
      </c>
      <c r="AC64" s="165">
        <f>IFERROR(IF(BetTable[Sport]="","",BetTable[R1]/BetTable[TS]),"")</f>
        <v>1.04</v>
      </c>
      <c r="AD64" s="165" t="str">
        <f>IF(BetTable[O2]="","",#REF!/BetTable[TS])</f>
        <v/>
      </c>
      <c r="AE64" s="165" t="str">
        <f>IFERROR(IF(BetTable[Sport]="","",#REF!/BetTable[TS]),"")</f>
        <v/>
      </c>
      <c r="AF64" s="164">
        <f>IF(BetTable[Outcome]="Win",BetTable[WBA1-Commission],IF(BetTable[Outcome]="Win Half Stake",(BetTable[Stake]/2)+BetTable[WBA1-Commission]/2,IF(BetTable[Outcome]="Lose Half Stake",BetTable[Stake]/2,IF(BetTable[Outcome]="Lose",0,IF(BetTable[Outcome]="Void",BetTable[Stake],)))))</f>
        <v>0</v>
      </c>
      <c r="AG64" s="164">
        <f>IF(BetTable[Outcome2]="Win",BetTable[WBA2-Commission],IF(BetTable[Outcome2]="Win Half Stake",(BetTable[S2]/2)+BetTable[WBA2-Commission]/2,IF(BetTable[Outcome2]="Lose Half Stake",BetTable[S2]/2,IF(BetTable[Outcome2]="Lose",0,IF(BetTable[Outcome2]="Void",BetTable[S2],)))))</f>
        <v>0</v>
      </c>
      <c r="AH64" s="164">
        <f>IF(BetTable[Outcome3]="Win",BetTable[WBA3-Commission],IF(BetTable[Outcome3]="Win Half Stake",(BetTable[S3]/2)+BetTable[WBA3-Commission]/2,IF(BetTable[Outcome3]="Lose Half Stake",BetTable[S3]/2,IF(BetTable[Outcome3]="Lose",0,IF(BetTable[Outcome3]="Void",BetTable[S3],)))))</f>
        <v>0</v>
      </c>
      <c r="AI64" s="168">
        <f>IF(BetTable[Outcome]="",AI63,BetTable[Result]+AI63)</f>
        <v>154.67124999999996</v>
      </c>
      <c r="AJ64" s="160"/>
    </row>
    <row r="65" spans="1:36" x14ac:dyDescent="0.2">
      <c r="A65" s="159" t="s">
        <v>426</v>
      </c>
      <c r="B65" s="160" t="s">
        <v>200</v>
      </c>
      <c r="C65" s="161" t="s">
        <v>91</v>
      </c>
      <c r="D65" s="161"/>
      <c r="E65" s="161"/>
      <c r="F65" s="162"/>
      <c r="G65" s="162"/>
      <c r="H65" s="162"/>
      <c r="I65" s="160" t="s">
        <v>384</v>
      </c>
      <c r="J65" s="163">
        <v>2.08</v>
      </c>
      <c r="K65" s="163"/>
      <c r="L65" s="163"/>
      <c r="M65" s="164">
        <v>20</v>
      </c>
      <c r="N65" s="164"/>
      <c r="O65" s="164"/>
      <c r="P65" s="159" t="s">
        <v>508</v>
      </c>
      <c r="Q65" s="159" t="s">
        <v>432</v>
      </c>
      <c r="R65" s="159" t="s">
        <v>509</v>
      </c>
      <c r="S65" s="165">
        <v>1.80398227632085E-2</v>
      </c>
      <c r="T65" s="166" t="s">
        <v>382</v>
      </c>
      <c r="U65" s="166"/>
      <c r="V65" s="166"/>
      <c r="W65" s="167">
        <f>IF(BetTable[Sport]="","",BetTable[Stake]+BetTable[S2]+BetTable[S3])</f>
        <v>20</v>
      </c>
      <c r="X65" s="164">
        <f>IF(BetTable[Odds]="","",(BetTable[WBA1-Commission])-BetTable[TS])</f>
        <v>21.6</v>
      </c>
      <c r="Y65" s="168">
        <f>IF(BetTable[Outcome]="","",BetTable[WBA1]+BetTable[WBA2]+BetTable[WBA3]-BetTable[TS])</f>
        <v>-20</v>
      </c>
      <c r="Z65" s="164">
        <f>(((BetTable[Odds]-1)*BetTable[Stake])*(1-(BetTable[Comm %]))+BetTable[Stake])</f>
        <v>41.6</v>
      </c>
      <c r="AA65" s="164">
        <f>(((BetTable[O2]-1)*BetTable[S2])*(1-(BetTable[C% 2]))+BetTable[S2])</f>
        <v>0</v>
      </c>
      <c r="AB65" s="164">
        <f>(((BetTable[O3]-1)*BetTable[S3])*(1-(BetTable[C% 3]))+BetTable[S3])</f>
        <v>0</v>
      </c>
      <c r="AC65" s="165">
        <f>IFERROR(IF(BetTable[Sport]="","",BetTable[R1]/BetTable[TS]),"")</f>
        <v>1.08</v>
      </c>
      <c r="AD65" s="165" t="str">
        <f>IF(BetTable[O2]="","",#REF!/BetTable[TS])</f>
        <v/>
      </c>
      <c r="AE65" s="165" t="str">
        <f>IFERROR(IF(BetTable[Sport]="","",#REF!/BetTable[TS]),"")</f>
        <v/>
      </c>
      <c r="AF65" s="164">
        <f>IF(BetTable[Outcome]="Win",BetTable[WBA1-Commission],IF(BetTable[Outcome]="Win Half Stake",(BetTable[Stake]/2)+BetTable[WBA1-Commission]/2,IF(BetTable[Outcome]="Lose Half Stake",BetTable[Stake]/2,IF(BetTable[Outcome]="Lose",0,IF(BetTable[Outcome]="Void",BetTable[Stake],)))))</f>
        <v>0</v>
      </c>
      <c r="AG65" s="164">
        <f>IF(BetTable[Outcome2]="Win",BetTable[WBA2-Commission],IF(BetTable[Outcome2]="Win Half Stake",(BetTable[S2]/2)+BetTable[WBA2-Commission]/2,IF(BetTable[Outcome2]="Lose Half Stake",BetTable[S2]/2,IF(BetTable[Outcome2]="Lose",0,IF(BetTable[Outcome2]="Void",BetTable[S2],)))))</f>
        <v>0</v>
      </c>
      <c r="AH65" s="164">
        <f>IF(BetTable[Outcome3]="Win",BetTable[WBA3-Commission],IF(BetTable[Outcome3]="Win Half Stake",(BetTable[S3]/2)+BetTable[WBA3-Commission]/2,IF(BetTable[Outcome3]="Lose Half Stake",BetTable[S3]/2,IF(BetTable[Outcome3]="Lose",0,IF(BetTable[Outcome3]="Void",BetTable[S3],)))))</f>
        <v>0</v>
      </c>
      <c r="AI65" s="168">
        <f>IF(BetTable[Outcome]="",AI64,BetTable[Result]+AI64)</f>
        <v>134.67124999999996</v>
      </c>
      <c r="AJ65" s="160"/>
    </row>
    <row r="66" spans="1:36" x14ac:dyDescent="0.2">
      <c r="A66" s="159" t="s">
        <v>426</v>
      </c>
      <c r="B66" s="160" t="s">
        <v>200</v>
      </c>
      <c r="C66" s="161" t="s">
        <v>91</v>
      </c>
      <c r="D66" s="161"/>
      <c r="E66" s="161"/>
      <c r="F66" s="162"/>
      <c r="G66" s="162"/>
      <c r="H66" s="162"/>
      <c r="I66" s="160" t="s">
        <v>431</v>
      </c>
      <c r="J66" s="163">
        <v>1.8</v>
      </c>
      <c r="K66" s="163"/>
      <c r="L66" s="163"/>
      <c r="M66" s="164">
        <v>23</v>
      </c>
      <c r="N66" s="164"/>
      <c r="O66" s="164"/>
      <c r="P66" s="159" t="s">
        <v>406</v>
      </c>
      <c r="Q66" s="159" t="s">
        <v>432</v>
      </c>
      <c r="R66" s="159" t="s">
        <v>511</v>
      </c>
      <c r="S66" s="165">
        <v>1.52536965899259E-2</v>
      </c>
      <c r="T66" s="166" t="s">
        <v>382</v>
      </c>
      <c r="U66" s="166"/>
      <c r="V66" s="166"/>
      <c r="W66" s="167">
        <f>IF(BetTable[Sport]="","",BetTable[Stake]+BetTable[S2]+BetTable[S3])</f>
        <v>23</v>
      </c>
      <c r="X66" s="164">
        <f>IF(BetTable[Odds]="","",(BetTable[WBA1-Commission])-BetTable[TS])</f>
        <v>18.400000000000006</v>
      </c>
      <c r="Y66" s="168">
        <f>IF(BetTable[Outcome]="","",BetTable[WBA1]+BetTable[WBA2]+BetTable[WBA3]-BetTable[TS])</f>
        <v>-23</v>
      </c>
      <c r="Z66" s="164">
        <f>(((BetTable[Odds]-1)*BetTable[Stake])*(1-(BetTable[Comm %]))+BetTable[Stake])</f>
        <v>41.400000000000006</v>
      </c>
      <c r="AA66" s="164">
        <f>(((BetTable[O2]-1)*BetTable[S2])*(1-(BetTable[C% 2]))+BetTable[S2])</f>
        <v>0</v>
      </c>
      <c r="AB66" s="164">
        <f>(((BetTable[O3]-1)*BetTable[S3])*(1-(BetTable[C% 3]))+BetTable[S3])</f>
        <v>0</v>
      </c>
      <c r="AC66" s="165">
        <f>IFERROR(IF(BetTable[Sport]="","",BetTable[R1]/BetTable[TS]),"")</f>
        <v>0.80000000000000027</v>
      </c>
      <c r="AD66" s="165" t="str">
        <f>IF(BetTable[O2]="","",#REF!/BetTable[TS])</f>
        <v/>
      </c>
      <c r="AE66" s="165" t="str">
        <f>IFERROR(IF(BetTable[Sport]="","",#REF!/BetTable[TS]),"")</f>
        <v/>
      </c>
      <c r="AF66" s="164">
        <f>IF(BetTable[Outcome]="Win",BetTable[WBA1-Commission],IF(BetTable[Outcome]="Win Half Stake",(BetTable[Stake]/2)+BetTable[WBA1-Commission]/2,IF(BetTable[Outcome]="Lose Half Stake",BetTable[Stake]/2,IF(BetTable[Outcome]="Lose",0,IF(BetTable[Outcome]="Void",BetTable[Stake],)))))</f>
        <v>0</v>
      </c>
      <c r="AG66" s="164">
        <f>IF(BetTable[Outcome2]="Win",BetTable[WBA2-Commission],IF(BetTable[Outcome2]="Win Half Stake",(BetTable[S2]/2)+BetTable[WBA2-Commission]/2,IF(BetTable[Outcome2]="Lose Half Stake",BetTable[S2]/2,IF(BetTable[Outcome2]="Lose",0,IF(BetTable[Outcome2]="Void",BetTable[S2],)))))</f>
        <v>0</v>
      </c>
      <c r="AH66" s="164">
        <f>IF(BetTable[Outcome3]="Win",BetTable[WBA3-Commission],IF(BetTable[Outcome3]="Win Half Stake",(BetTable[S3]/2)+BetTable[WBA3-Commission]/2,IF(BetTable[Outcome3]="Lose Half Stake",BetTable[S3]/2,IF(BetTable[Outcome3]="Lose",0,IF(BetTable[Outcome3]="Void",BetTable[S3],)))))</f>
        <v>0</v>
      </c>
      <c r="AI66" s="168">
        <f>IF(BetTable[Outcome]="",AI65,BetTable[Result]+AI65)</f>
        <v>111.67124999999996</v>
      </c>
      <c r="AJ66" s="160"/>
    </row>
    <row r="67" spans="1:36" x14ac:dyDescent="0.2">
      <c r="A67" s="159" t="s">
        <v>426</v>
      </c>
      <c r="B67" s="160" t="s">
        <v>200</v>
      </c>
      <c r="C67" s="161" t="s">
        <v>91</v>
      </c>
      <c r="D67" s="161"/>
      <c r="E67" s="161"/>
      <c r="F67" s="162"/>
      <c r="G67" s="162"/>
      <c r="H67" s="162"/>
      <c r="I67" s="160" t="s">
        <v>512</v>
      </c>
      <c r="J67" s="163">
        <v>1.88</v>
      </c>
      <c r="K67" s="163"/>
      <c r="L67" s="163"/>
      <c r="M67" s="164">
        <v>15</v>
      </c>
      <c r="N67" s="164"/>
      <c r="O67" s="164"/>
      <c r="P67" s="159" t="s">
        <v>351</v>
      </c>
      <c r="Q67" s="159" t="s">
        <v>432</v>
      </c>
      <c r="R67" s="159" t="s">
        <v>513</v>
      </c>
      <c r="S67" s="165">
        <v>1.43102627997733E-2</v>
      </c>
      <c r="T67" s="166" t="s">
        <v>372</v>
      </c>
      <c r="U67" s="166"/>
      <c r="V67" s="166"/>
      <c r="W67" s="167">
        <f>IF(BetTable[Sport]="","",BetTable[Stake]+BetTable[S2]+BetTable[S3])</f>
        <v>15</v>
      </c>
      <c r="X67" s="164">
        <f>IF(BetTable[Odds]="","",(BetTable[WBA1-Commission])-BetTable[TS])</f>
        <v>13.2</v>
      </c>
      <c r="Y67" s="168">
        <f>IF(BetTable[Outcome]="","",BetTable[WBA1]+BetTable[WBA2]+BetTable[WBA3]-BetTable[TS])</f>
        <v>13.2</v>
      </c>
      <c r="Z67" s="164">
        <f>(((BetTable[Odds]-1)*BetTable[Stake])*(1-(BetTable[Comm %]))+BetTable[Stake])</f>
        <v>28.2</v>
      </c>
      <c r="AA67" s="164">
        <f>(((BetTable[O2]-1)*BetTable[S2])*(1-(BetTable[C% 2]))+BetTable[S2])</f>
        <v>0</v>
      </c>
      <c r="AB67" s="164">
        <f>(((BetTable[O3]-1)*BetTable[S3])*(1-(BetTable[C% 3]))+BetTable[S3])</f>
        <v>0</v>
      </c>
      <c r="AC67" s="165">
        <f>IFERROR(IF(BetTable[Sport]="","",BetTable[R1]/BetTable[TS]),"")</f>
        <v>0.88</v>
      </c>
      <c r="AD67" s="165" t="str">
        <f>IF(BetTable[O2]="","",#REF!/BetTable[TS])</f>
        <v/>
      </c>
      <c r="AE67" s="165" t="str">
        <f>IFERROR(IF(BetTable[Sport]="","",#REF!/BetTable[TS]),"")</f>
        <v/>
      </c>
      <c r="AF67" s="164">
        <f>IF(BetTable[Outcome]="Win",BetTable[WBA1-Commission],IF(BetTable[Outcome]="Win Half Stake",(BetTable[Stake]/2)+BetTable[WBA1-Commission]/2,IF(BetTable[Outcome]="Lose Half Stake",BetTable[Stake]/2,IF(BetTable[Outcome]="Lose",0,IF(BetTable[Outcome]="Void",BetTable[Stake],)))))</f>
        <v>28.2</v>
      </c>
      <c r="AG67" s="164">
        <f>IF(BetTable[Outcome2]="Win",BetTable[WBA2-Commission],IF(BetTable[Outcome2]="Win Half Stake",(BetTable[S2]/2)+BetTable[WBA2-Commission]/2,IF(BetTable[Outcome2]="Lose Half Stake",BetTable[S2]/2,IF(BetTable[Outcome2]="Lose",0,IF(BetTable[Outcome2]="Void",BetTable[S2],)))))</f>
        <v>0</v>
      </c>
      <c r="AH67" s="164">
        <f>IF(BetTable[Outcome3]="Win",BetTable[WBA3-Commission],IF(BetTable[Outcome3]="Win Half Stake",(BetTable[S3]/2)+BetTable[WBA3-Commission]/2,IF(BetTable[Outcome3]="Lose Half Stake",BetTable[S3]/2,IF(BetTable[Outcome3]="Lose",0,IF(BetTable[Outcome3]="Void",BetTable[S3],)))))</f>
        <v>0</v>
      </c>
      <c r="AI67" s="168">
        <f>IF(BetTable[Outcome]="",AI66,BetTable[Result]+AI66)</f>
        <v>124.87124999999996</v>
      </c>
      <c r="AJ67" s="160"/>
    </row>
    <row r="68" spans="1:36" x14ac:dyDescent="0.2">
      <c r="A68" s="159" t="s">
        <v>426</v>
      </c>
      <c r="B68" s="160" t="s">
        <v>9</v>
      </c>
      <c r="C68" s="161" t="s">
        <v>234</v>
      </c>
      <c r="D68" s="161"/>
      <c r="E68" s="161"/>
      <c r="F68" s="162"/>
      <c r="G68" s="162"/>
      <c r="H68" s="162"/>
      <c r="I68" s="160" t="s">
        <v>514</v>
      </c>
      <c r="J68" s="163">
        <v>2.17</v>
      </c>
      <c r="K68" s="163"/>
      <c r="L68" s="163"/>
      <c r="M68" s="164">
        <v>22</v>
      </c>
      <c r="N68" s="164"/>
      <c r="O68" s="164"/>
      <c r="P68" s="159" t="s">
        <v>435</v>
      </c>
      <c r="Q68" s="159" t="s">
        <v>466</v>
      </c>
      <c r="R68" s="159" t="s">
        <v>515</v>
      </c>
      <c r="S68" s="165">
        <v>2.1861765711387201E-2</v>
      </c>
      <c r="T68" s="166" t="s">
        <v>372</v>
      </c>
      <c r="U68" s="166"/>
      <c r="V68" s="166"/>
      <c r="W68" s="167">
        <f>IF(BetTable[Sport]="","",BetTable[Stake]+BetTable[S2]+BetTable[S3])</f>
        <v>22</v>
      </c>
      <c r="X68" s="164">
        <f>IF(BetTable[Odds]="","",(BetTable[WBA1-Commission])-BetTable[TS])</f>
        <v>25.739999999999995</v>
      </c>
      <c r="Y68" s="168">
        <f>IF(BetTable[Outcome]="","",BetTable[WBA1]+BetTable[WBA2]+BetTable[WBA3]-BetTable[TS])</f>
        <v>25.739999999999995</v>
      </c>
      <c r="Z68" s="164">
        <f>(((BetTable[Odds]-1)*BetTable[Stake])*(1-(BetTable[Comm %]))+BetTable[Stake])</f>
        <v>47.739999999999995</v>
      </c>
      <c r="AA68" s="164">
        <f>(((BetTable[O2]-1)*BetTable[S2])*(1-(BetTable[C% 2]))+BetTable[S2])</f>
        <v>0</v>
      </c>
      <c r="AB68" s="164">
        <f>(((BetTable[O3]-1)*BetTable[S3])*(1-(BetTable[C% 3]))+BetTable[S3])</f>
        <v>0</v>
      </c>
      <c r="AC68" s="165">
        <f>IFERROR(IF(BetTable[Sport]="","",BetTable[R1]/BetTable[TS]),"")</f>
        <v>1.1699999999999997</v>
      </c>
      <c r="AD68" s="165" t="str">
        <f>IF(BetTable[O2]="","",#REF!/BetTable[TS])</f>
        <v/>
      </c>
      <c r="AE68" s="165" t="str">
        <f>IFERROR(IF(BetTable[Sport]="","",#REF!/BetTable[TS]),"")</f>
        <v/>
      </c>
      <c r="AF68" s="164">
        <f>IF(BetTable[Outcome]="Win",BetTable[WBA1-Commission],IF(BetTable[Outcome]="Win Half Stake",(BetTable[Stake]/2)+BetTable[WBA1-Commission]/2,IF(BetTable[Outcome]="Lose Half Stake",BetTable[Stake]/2,IF(BetTable[Outcome]="Lose",0,IF(BetTable[Outcome]="Void",BetTable[Stake],)))))</f>
        <v>47.739999999999995</v>
      </c>
      <c r="AG68" s="164">
        <f>IF(BetTable[Outcome2]="Win",BetTable[WBA2-Commission],IF(BetTable[Outcome2]="Win Half Stake",(BetTable[S2]/2)+BetTable[WBA2-Commission]/2,IF(BetTable[Outcome2]="Lose Half Stake",BetTable[S2]/2,IF(BetTable[Outcome2]="Lose",0,IF(BetTable[Outcome2]="Void",BetTable[S2],)))))</f>
        <v>0</v>
      </c>
      <c r="AH68" s="164">
        <f>IF(BetTable[Outcome3]="Win",BetTable[WBA3-Commission],IF(BetTable[Outcome3]="Win Half Stake",(BetTable[S3]/2)+BetTable[WBA3-Commission]/2,IF(BetTable[Outcome3]="Lose Half Stake",BetTable[S3]/2,IF(BetTable[Outcome3]="Lose",0,IF(BetTable[Outcome3]="Void",BetTable[S3],)))))</f>
        <v>0</v>
      </c>
      <c r="AI68" s="168">
        <f>IF(BetTable[Outcome]="",AI67,BetTable[Result]+AI67)</f>
        <v>150.61124999999996</v>
      </c>
      <c r="AJ68" s="160"/>
    </row>
    <row r="69" spans="1:36" x14ac:dyDescent="0.2">
      <c r="A69" s="159" t="s">
        <v>426</v>
      </c>
      <c r="B69" s="160" t="s">
        <v>200</v>
      </c>
      <c r="C69" s="161" t="s">
        <v>91</v>
      </c>
      <c r="D69" s="161"/>
      <c r="E69" s="161"/>
      <c r="F69" s="162"/>
      <c r="G69" s="162"/>
      <c r="H69" s="162"/>
      <c r="I69" s="160" t="s">
        <v>516</v>
      </c>
      <c r="J69" s="163">
        <v>2.02</v>
      </c>
      <c r="K69" s="163"/>
      <c r="L69" s="163"/>
      <c r="M69" s="164">
        <v>34</v>
      </c>
      <c r="N69" s="164"/>
      <c r="O69" s="164"/>
      <c r="P69" s="159" t="s">
        <v>348</v>
      </c>
      <c r="Q69" s="159" t="s">
        <v>333</v>
      </c>
      <c r="R69" s="159" t="s">
        <v>517</v>
      </c>
      <c r="S69" s="165">
        <v>2.85030632409186E-2</v>
      </c>
      <c r="T69" s="166" t="s">
        <v>372</v>
      </c>
      <c r="U69" s="166"/>
      <c r="V69" s="166"/>
      <c r="W69" s="167">
        <f>IF(BetTable[Sport]="","",BetTable[Stake]+BetTable[S2]+BetTable[S3])</f>
        <v>34</v>
      </c>
      <c r="X69" s="164">
        <f>IF(BetTable[Odds]="","",(BetTable[WBA1-Commission])-BetTable[TS])</f>
        <v>34.680000000000007</v>
      </c>
      <c r="Y69" s="168">
        <f>IF(BetTable[Outcome]="","",BetTable[WBA1]+BetTable[WBA2]+BetTable[WBA3]-BetTable[TS])</f>
        <v>34.680000000000007</v>
      </c>
      <c r="Z69" s="164">
        <f>(((BetTable[Odds]-1)*BetTable[Stake])*(1-(BetTable[Comm %]))+BetTable[Stake])</f>
        <v>68.680000000000007</v>
      </c>
      <c r="AA69" s="164">
        <f>(((BetTable[O2]-1)*BetTable[S2])*(1-(BetTable[C% 2]))+BetTable[S2])</f>
        <v>0</v>
      </c>
      <c r="AB69" s="164">
        <f>(((BetTable[O3]-1)*BetTable[S3])*(1-(BetTable[C% 3]))+BetTable[S3])</f>
        <v>0</v>
      </c>
      <c r="AC69" s="165">
        <f>IFERROR(IF(BetTable[Sport]="","",BetTable[R1]/BetTable[TS]),"")</f>
        <v>1.0200000000000002</v>
      </c>
      <c r="AD69" s="165" t="str">
        <f>IF(BetTable[O2]="","",#REF!/BetTable[TS])</f>
        <v/>
      </c>
      <c r="AE69" s="165" t="str">
        <f>IFERROR(IF(BetTable[Sport]="","",#REF!/BetTable[TS]),"")</f>
        <v/>
      </c>
      <c r="AF69" s="164">
        <f>IF(BetTable[Outcome]="Win",BetTable[WBA1-Commission],IF(BetTable[Outcome]="Win Half Stake",(BetTable[Stake]/2)+BetTable[WBA1-Commission]/2,IF(BetTable[Outcome]="Lose Half Stake",BetTable[Stake]/2,IF(BetTable[Outcome]="Lose",0,IF(BetTable[Outcome]="Void",BetTable[Stake],)))))</f>
        <v>68.680000000000007</v>
      </c>
      <c r="AG69" s="164">
        <f>IF(BetTable[Outcome2]="Win",BetTable[WBA2-Commission],IF(BetTable[Outcome2]="Win Half Stake",(BetTable[S2]/2)+BetTable[WBA2-Commission]/2,IF(BetTable[Outcome2]="Lose Half Stake",BetTable[S2]/2,IF(BetTable[Outcome2]="Lose",0,IF(BetTable[Outcome2]="Void",BetTable[S2],)))))</f>
        <v>0</v>
      </c>
      <c r="AH69" s="164">
        <f>IF(BetTable[Outcome3]="Win",BetTable[WBA3-Commission],IF(BetTable[Outcome3]="Win Half Stake",(BetTable[S3]/2)+BetTable[WBA3-Commission]/2,IF(BetTable[Outcome3]="Lose Half Stake",BetTable[S3]/2,IF(BetTable[Outcome3]="Lose",0,IF(BetTable[Outcome3]="Void",BetTable[S3],)))))</f>
        <v>0</v>
      </c>
      <c r="AI69" s="168">
        <f>IF(BetTable[Outcome]="",AI68,BetTable[Result]+AI68)</f>
        <v>185.29124999999996</v>
      </c>
      <c r="AJ69" s="160"/>
    </row>
    <row r="70" spans="1:36" x14ac:dyDescent="0.2">
      <c r="A70" s="159" t="s">
        <v>426</v>
      </c>
      <c r="B70" s="160" t="s">
        <v>200</v>
      </c>
      <c r="C70" s="161" t="s">
        <v>234</v>
      </c>
      <c r="D70" s="161"/>
      <c r="E70" s="161"/>
      <c r="F70" s="162"/>
      <c r="G70" s="162"/>
      <c r="H70" s="162"/>
      <c r="I70" s="160" t="s">
        <v>370</v>
      </c>
      <c r="J70" s="163">
        <v>1.79</v>
      </c>
      <c r="K70" s="163"/>
      <c r="L70" s="163"/>
      <c r="M70" s="164">
        <v>24</v>
      </c>
      <c r="N70" s="164"/>
      <c r="O70" s="164"/>
      <c r="P70" s="159" t="s">
        <v>368</v>
      </c>
      <c r="Q70" s="159" t="s">
        <v>474</v>
      </c>
      <c r="R70" s="159" t="s">
        <v>518</v>
      </c>
      <c r="S70" s="165">
        <v>1.5628878111452801E-2</v>
      </c>
      <c r="T70" s="166" t="s">
        <v>372</v>
      </c>
      <c r="U70" s="166"/>
      <c r="V70" s="166"/>
      <c r="W70" s="167">
        <f>IF(BetTable[Sport]="","",BetTable[Stake]+BetTable[S2]+BetTable[S3])</f>
        <v>24</v>
      </c>
      <c r="X70" s="164">
        <f>IF(BetTable[Odds]="","",(BetTable[WBA1-Commission])-BetTable[TS])</f>
        <v>18.96</v>
      </c>
      <c r="Y70" s="168">
        <f>IF(BetTable[Outcome]="","",BetTable[WBA1]+BetTable[WBA2]+BetTable[WBA3]-BetTable[TS])</f>
        <v>18.96</v>
      </c>
      <c r="Z70" s="164">
        <f>(((BetTable[Odds]-1)*BetTable[Stake])*(1-(BetTable[Comm %]))+BetTable[Stake])</f>
        <v>42.96</v>
      </c>
      <c r="AA70" s="164">
        <f>(((BetTable[O2]-1)*BetTable[S2])*(1-(BetTable[C% 2]))+BetTable[S2])</f>
        <v>0</v>
      </c>
      <c r="AB70" s="164">
        <f>(((BetTable[O3]-1)*BetTable[S3])*(1-(BetTable[C% 3]))+BetTable[S3])</f>
        <v>0</v>
      </c>
      <c r="AC70" s="165">
        <f>IFERROR(IF(BetTable[Sport]="","",BetTable[R1]/BetTable[TS]),"")</f>
        <v>0.79</v>
      </c>
      <c r="AD70" s="165" t="str">
        <f>IF(BetTable[O2]="","",#REF!/BetTable[TS])</f>
        <v/>
      </c>
      <c r="AE70" s="165" t="str">
        <f>IFERROR(IF(BetTable[Sport]="","",#REF!/BetTable[TS]),"")</f>
        <v/>
      </c>
      <c r="AF70" s="164">
        <f>IF(BetTable[Outcome]="Win",BetTable[WBA1-Commission],IF(BetTable[Outcome]="Win Half Stake",(BetTable[Stake]/2)+BetTable[WBA1-Commission]/2,IF(BetTable[Outcome]="Lose Half Stake",BetTable[Stake]/2,IF(BetTable[Outcome]="Lose",0,IF(BetTable[Outcome]="Void",BetTable[Stake],)))))</f>
        <v>42.96</v>
      </c>
      <c r="AG70" s="164">
        <f>IF(BetTable[Outcome2]="Win",BetTable[WBA2-Commission],IF(BetTable[Outcome2]="Win Half Stake",(BetTable[S2]/2)+BetTable[WBA2-Commission]/2,IF(BetTable[Outcome2]="Lose Half Stake",BetTable[S2]/2,IF(BetTable[Outcome2]="Lose",0,IF(BetTable[Outcome2]="Void",BetTable[S2],)))))</f>
        <v>0</v>
      </c>
      <c r="AH70" s="164">
        <f>IF(BetTable[Outcome3]="Win",BetTable[WBA3-Commission],IF(BetTable[Outcome3]="Win Half Stake",(BetTable[S3]/2)+BetTable[WBA3-Commission]/2,IF(BetTable[Outcome3]="Lose Half Stake",BetTable[S3]/2,IF(BetTable[Outcome3]="Lose",0,IF(BetTable[Outcome3]="Void",BetTable[S3],)))))</f>
        <v>0</v>
      </c>
      <c r="AI70" s="168">
        <f>IF(BetTable[Outcome]="",AI69,BetTable[Result]+AI69)</f>
        <v>204.25124999999997</v>
      </c>
      <c r="AJ70" s="160"/>
    </row>
    <row r="71" spans="1:36" x14ac:dyDescent="0.2">
      <c r="A71" s="159" t="s">
        <v>426</v>
      </c>
      <c r="B71" s="160" t="s">
        <v>200</v>
      </c>
      <c r="C71" s="161" t="s">
        <v>234</v>
      </c>
      <c r="D71" s="161"/>
      <c r="E71" s="161"/>
      <c r="F71" s="162"/>
      <c r="G71" s="162"/>
      <c r="H71" s="162"/>
      <c r="I71" s="160" t="s">
        <v>519</v>
      </c>
      <c r="J71" s="163">
        <v>2.08</v>
      </c>
      <c r="K71" s="163"/>
      <c r="L71" s="163"/>
      <c r="M71" s="164">
        <v>26</v>
      </c>
      <c r="N71" s="164"/>
      <c r="O71" s="164"/>
      <c r="P71" s="159" t="s">
        <v>469</v>
      </c>
      <c r="Q71" s="159" t="s">
        <v>488</v>
      </c>
      <c r="R71" s="159" t="s">
        <v>520</v>
      </c>
      <c r="S71" s="165">
        <v>3.3933635165867499E-3</v>
      </c>
      <c r="T71" s="166" t="s">
        <v>372</v>
      </c>
      <c r="U71" s="166"/>
      <c r="V71" s="166"/>
      <c r="W71" s="167">
        <f>IF(BetTable[Sport]="","",BetTable[Stake]+BetTable[S2]+BetTable[S3])</f>
        <v>26</v>
      </c>
      <c r="X71" s="164">
        <f>IF(BetTable[Odds]="","",(BetTable[WBA1-Commission])-BetTable[TS])</f>
        <v>28.08</v>
      </c>
      <c r="Y71" s="168">
        <f>IF(BetTable[Outcome]="","",BetTable[WBA1]+BetTable[WBA2]+BetTable[WBA3]-BetTable[TS])</f>
        <v>28.08</v>
      </c>
      <c r="Z71" s="164">
        <f>(((BetTable[Odds]-1)*BetTable[Stake])*(1-(BetTable[Comm %]))+BetTable[Stake])</f>
        <v>54.08</v>
      </c>
      <c r="AA71" s="164">
        <f>(((BetTable[O2]-1)*BetTable[S2])*(1-(BetTable[C% 2]))+BetTable[S2])</f>
        <v>0</v>
      </c>
      <c r="AB71" s="164">
        <f>(((BetTable[O3]-1)*BetTable[S3])*(1-(BetTable[C% 3]))+BetTable[S3])</f>
        <v>0</v>
      </c>
      <c r="AC71" s="165">
        <f>IFERROR(IF(BetTable[Sport]="","",BetTable[R1]/BetTable[TS]),"")</f>
        <v>1.0799999999999998</v>
      </c>
      <c r="AD71" s="165" t="str">
        <f>IF(BetTable[O2]="","",#REF!/BetTable[TS])</f>
        <v/>
      </c>
      <c r="AE71" s="165" t="str">
        <f>IFERROR(IF(BetTable[Sport]="","",#REF!/BetTable[TS]),"")</f>
        <v/>
      </c>
      <c r="AF71" s="164">
        <f>IF(BetTable[Outcome]="Win",BetTable[WBA1-Commission],IF(BetTable[Outcome]="Win Half Stake",(BetTable[Stake]/2)+BetTable[WBA1-Commission]/2,IF(BetTable[Outcome]="Lose Half Stake",BetTable[Stake]/2,IF(BetTable[Outcome]="Lose",0,IF(BetTable[Outcome]="Void",BetTable[Stake],)))))</f>
        <v>54.08</v>
      </c>
      <c r="AG71" s="164">
        <f>IF(BetTable[Outcome2]="Win",BetTable[WBA2-Commission],IF(BetTable[Outcome2]="Win Half Stake",(BetTable[S2]/2)+BetTable[WBA2-Commission]/2,IF(BetTable[Outcome2]="Lose Half Stake",BetTable[S2]/2,IF(BetTable[Outcome2]="Lose",0,IF(BetTable[Outcome2]="Void",BetTable[S2],)))))</f>
        <v>0</v>
      </c>
      <c r="AH71" s="164">
        <f>IF(BetTable[Outcome3]="Win",BetTable[WBA3-Commission],IF(BetTable[Outcome3]="Win Half Stake",(BetTable[S3]/2)+BetTable[WBA3-Commission]/2,IF(BetTable[Outcome3]="Lose Half Stake",BetTable[S3]/2,IF(BetTable[Outcome3]="Lose",0,IF(BetTable[Outcome3]="Void",BetTable[S3],)))))</f>
        <v>0</v>
      </c>
      <c r="AI71" s="168">
        <f>IF(BetTable[Outcome]="",AI70,BetTable[Result]+AI70)</f>
        <v>232.33124999999995</v>
      </c>
      <c r="AJ71" s="160"/>
    </row>
    <row r="72" spans="1:36" x14ac:dyDescent="0.2">
      <c r="A72" s="159" t="s">
        <v>426</v>
      </c>
      <c r="B72" s="160" t="s">
        <v>200</v>
      </c>
      <c r="C72" s="161" t="s">
        <v>91</v>
      </c>
      <c r="D72" s="161"/>
      <c r="E72" s="161"/>
      <c r="F72" s="162"/>
      <c r="G72" s="162"/>
      <c r="H72" s="162"/>
      <c r="I72" s="160" t="s">
        <v>472</v>
      </c>
      <c r="J72" s="163">
        <v>1.68</v>
      </c>
      <c r="K72" s="163"/>
      <c r="L72" s="163"/>
      <c r="M72" s="164">
        <v>26</v>
      </c>
      <c r="N72" s="164"/>
      <c r="O72" s="164"/>
      <c r="P72" s="159" t="s">
        <v>348</v>
      </c>
      <c r="Q72" s="159" t="s">
        <v>474</v>
      </c>
      <c r="R72" s="159" t="s">
        <v>521</v>
      </c>
      <c r="S72" s="165">
        <v>1.4456942068507299E-2</v>
      </c>
      <c r="T72" s="166" t="s">
        <v>372</v>
      </c>
      <c r="U72" s="166"/>
      <c r="V72" s="166"/>
      <c r="W72" s="167">
        <f>IF(BetTable[Sport]="","",BetTable[Stake]+BetTable[S2]+BetTable[S3])</f>
        <v>26</v>
      </c>
      <c r="X72" s="164">
        <f>IF(BetTable[Odds]="","",(BetTable[WBA1-Commission])-BetTable[TS])</f>
        <v>17.68</v>
      </c>
      <c r="Y72" s="168">
        <f>IF(BetTable[Outcome]="","",BetTable[WBA1]+BetTable[WBA2]+BetTable[WBA3]-BetTable[TS])</f>
        <v>17.68</v>
      </c>
      <c r="Z72" s="164">
        <f>(((BetTable[Odds]-1)*BetTable[Stake])*(1-(BetTable[Comm %]))+BetTable[Stake])</f>
        <v>43.68</v>
      </c>
      <c r="AA72" s="164">
        <f>(((BetTable[O2]-1)*BetTable[S2])*(1-(BetTable[C% 2]))+BetTable[S2])</f>
        <v>0</v>
      </c>
      <c r="AB72" s="164">
        <f>(((BetTable[O3]-1)*BetTable[S3])*(1-(BetTable[C% 3]))+BetTable[S3])</f>
        <v>0</v>
      </c>
      <c r="AC72" s="165">
        <f>IFERROR(IF(BetTable[Sport]="","",BetTable[R1]/BetTable[TS]),"")</f>
        <v>0.67999999999999994</v>
      </c>
      <c r="AD72" s="165" t="str">
        <f>IF(BetTable[O2]="","",#REF!/BetTable[TS])</f>
        <v/>
      </c>
      <c r="AE72" s="165" t="str">
        <f>IFERROR(IF(BetTable[Sport]="","",#REF!/BetTable[TS]),"")</f>
        <v/>
      </c>
      <c r="AF72" s="164">
        <f>IF(BetTable[Outcome]="Win",BetTable[WBA1-Commission],IF(BetTable[Outcome]="Win Half Stake",(BetTable[Stake]/2)+BetTable[WBA1-Commission]/2,IF(BetTable[Outcome]="Lose Half Stake",BetTable[Stake]/2,IF(BetTable[Outcome]="Lose",0,IF(BetTable[Outcome]="Void",BetTable[Stake],)))))</f>
        <v>43.68</v>
      </c>
      <c r="AG72" s="164">
        <f>IF(BetTable[Outcome2]="Win",BetTable[WBA2-Commission],IF(BetTable[Outcome2]="Win Half Stake",(BetTable[S2]/2)+BetTable[WBA2-Commission]/2,IF(BetTable[Outcome2]="Lose Half Stake",BetTable[S2]/2,IF(BetTable[Outcome2]="Lose",0,IF(BetTable[Outcome2]="Void",BetTable[S2],)))))</f>
        <v>0</v>
      </c>
      <c r="AH72" s="164">
        <f>IF(BetTable[Outcome3]="Win",BetTable[WBA3-Commission],IF(BetTable[Outcome3]="Win Half Stake",(BetTable[S3]/2)+BetTable[WBA3-Commission]/2,IF(BetTable[Outcome3]="Lose Half Stake",BetTable[S3]/2,IF(BetTable[Outcome3]="Lose",0,IF(BetTable[Outcome3]="Void",BetTable[S3],)))))</f>
        <v>0</v>
      </c>
      <c r="AI72" s="168">
        <f>IF(BetTable[Outcome]="",AI71,BetTable[Result]+AI71)</f>
        <v>250.01124999999996</v>
      </c>
      <c r="AJ72" s="160"/>
    </row>
    <row r="73" spans="1:36" x14ac:dyDescent="0.2">
      <c r="A73" s="159" t="s">
        <v>426</v>
      </c>
      <c r="B73" s="160" t="s">
        <v>200</v>
      </c>
      <c r="C73" s="161" t="s">
        <v>91</v>
      </c>
      <c r="D73" s="161"/>
      <c r="E73" s="161"/>
      <c r="F73" s="162"/>
      <c r="G73" s="162"/>
      <c r="H73" s="162"/>
      <c r="I73" s="160" t="s">
        <v>522</v>
      </c>
      <c r="J73" s="163">
        <v>1.7</v>
      </c>
      <c r="K73" s="163"/>
      <c r="L73" s="163"/>
      <c r="M73" s="164">
        <v>43</v>
      </c>
      <c r="N73" s="164"/>
      <c r="O73" s="164"/>
      <c r="P73" s="159" t="s">
        <v>360</v>
      </c>
      <c r="Q73" s="159" t="s">
        <v>474</v>
      </c>
      <c r="R73" s="159" t="s">
        <v>523</v>
      </c>
      <c r="S73" s="165">
        <v>2.5363730936287202E-2</v>
      </c>
      <c r="T73" s="166" t="s">
        <v>383</v>
      </c>
      <c r="U73" s="166"/>
      <c r="V73" s="166"/>
      <c r="W73" s="167">
        <f>IF(BetTable[Sport]="","",BetTable[Stake]+BetTable[S2]+BetTable[S3])</f>
        <v>43</v>
      </c>
      <c r="X73" s="164">
        <f>IF(BetTable[Odds]="","",(BetTable[WBA1-Commission])-BetTable[TS])</f>
        <v>30.099999999999994</v>
      </c>
      <c r="Y73" s="168">
        <f>IF(BetTable[Outcome]="","",BetTable[WBA1]+BetTable[WBA2]+BetTable[WBA3]-BetTable[TS])</f>
        <v>0</v>
      </c>
      <c r="Z73" s="164">
        <f>(((BetTable[Odds]-1)*BetTable[Stake])*(1-(BetTable[Comm %]))+BetTable[Stake])</f>
        <v>73.099999999999994</v>
      </c>
      <c r="AA73" s="164">
        <f>(((BetTable[O2]-1)*BetTable[S2])*(1-(BetTable[C% 2]))+BetTable[S2])</f>
        <v>0</v>
      </c>
      <c r="AB73" s="164">
        <f>(((BetTable[O3]-1)*BetTable[S3])*(1-(BetTable[C% 3]))+BetTable[S3])</f>
        <v>0</v>
      </c>
      <c r="AC73" s="165">
        <f>IFERROR(IF(BetTable[Sport]="","",BetTable[R1]/BetTable[TS]),"")</f>
        <v>0.69999999999999984</v>
      </c>
      <c r="AD73" s="165" t="str">
        <f>IF(BetTable[O2]="","",#REF!/BetTable[TS])</f>
        <v/>
      </c>
      <c r="AE73" s="165" t="str">
        <f>IFERROR(IF(BetTable[Sport]="","",#REF!/BetTable[TS]),"")</f>
        <v/>
      </c>
      <c r="AF73" s="164">
        <f>IF(BetTable[Outcome]="Win",BetTable[WBA1-Commission],IF(BetTable[Outcome]="Win Half Stake",(BetTable[Stake]/2)+BetTable[WBA1-Commission]/2,IF(BetTable[Outcome]="Lose Half Stake",BetTable[Stake]/2,IF(BetTable[Outcome]="Lose",0,IF(BetTable[Outcome]="Void",BetTable[Stake],)))))</f>
        <v>43</v>
      </c>
      <c r="AG73" s="164">
        <f>IF(BetTable[Outcome2]="Win",BetTable[WBA2-Commission],IF(BetTable[Outcome2]="Win Half Stake",(BetTable[S2]/2)+BetTable[WBA2-Commission]/2,IF(BetTable[Outcome2]="Lose Half Stake",BetTable[S2]/2,IF(BetTable[Outcome2]="Lose",0,IF(BetTable[Outcome2]="Void",BetTable[S2],)))))</f>
        <v>0</v>
      </c>
      <c r="AH73" s="164">
        <f>IF(BetTable[Outcome3]="Win",BetTable[WBA3-Commission],IF(BetTable[Outcome3]="Win Half Stake",(BetTable[S3]/2)+BetTable[WBA3-Commission]/2,IF(BetTable[Outcome3]="Lose Half Stake",BetTable[S3]/2,IF(BetTable[Outcome3]="Lose",0,IF(BetTable[Outcome3]="Void",BetTable[S3],)))))</f>
        <v>0</v>
      </c>
      <c r="AI73" s="168">
        <f>IF(BetTable[Outcome]="",AI72,BetTable[Result]+AI72)</f>
        <v>250.01124999999996</v>
      </c>
      <c r="AJ73" s="160"/>
    </row>
    <row r="74" spans="1:36" x14ac:dyDescent="0.2">
      <c r="A74" s="159" t="s">
        <v>426</v>
      </c>
      <c r="B74" s="160" t="s">
        <v>200</v>
      </c>
      <c r="C74" s="161" t="s">
        <v>234</v>
      </c>
      <c r="D74" s="161"/>
      <c r="E74" s="161"/>
      <c r="F74" s="162"/>
      <c r="G74" s="162"/>
      <c r="H74" s="162"/>
      <c r="I74" s="160" t="s">
        <v>524</v>
      </c>
      <c r="J74" s="163">
        <v>2.13</v>
      </c>
      <c r="K74" s="163"/>
      <c r="L74" s="163"/>
      <c r="M74" s="164">
        <v>22</v>
      </c>
      <c r="N74" s="164"/>
      <c r="O74" s="164"/>
      <c r="P74" s="159" t="s">
        <v>348</v>
      </c>
      <c r="Q74" s="159" t="s">
        <v>458</v>
      </c>
      <c r="R74" s="159" t="s">
        <v>525</v>
      </c>
      <c r="S74" s="165">
        <v>2.0283596074569799E-2</v>
      </c>
      <c r="T74" s="166" t="s">
        <v>372</v>
      </c>
      <c r="U74" s="166"/>
      <c r="V74" s="166"/>
      <c r="W74" s="167">
        <f>IF(BetTable[Sport]="","",BetTable[Stake]+BetTable[S2]+BetTable[S3])</f>
        <v>22</v>
      </c>
      <c r="X74" s="164">
        <f>IF(BetTable[Odds]="","",(BetTable[WBA1-Commission])-BetTable[TS])</f>
        <v>24.86</v>
      </c>
      <c r="Y74" s="168">
        <f>IF(BetTable[Outcome]="","",BetTable[WBA1]+BetTable[WBA2]+BetTable[WBA3]-BetTable[TS])</f>
        <v>24.86</v>
      </c>
      <c r="Z74" s="164">
        <f>(((BetTable[Odds]-1)*BetTable[Stake])*(1-(BetTable[Comm %]))+BetTable[Stake])</f>
        <v>46.86</v>
      </c>
      <c r="AA74" s="164">
        <f>(((BetTable[O2]-1)*BetTable[S2])*(1-(BetTable[C% 2]))+BetTable[S2])</f>
        <v>0</v>
      </c>
      <c r="AB74" s="164">
        <f>(((BetTable[O3]-1)*BetTable[S3])*(1-(BetTable[C% 3]))+BetTable[S3])</f>
        <v>0</v>
      </c>
      <c r="AC74" s="165">
        <f>IFERROR(IF(BetTable[Sport]="","",BetTable[R1]/BetTable[TS]),"")</f>
        <v>1.1299999999999999</v>
      </c>
      <c r="AD74" s="165" t="str">
        <f>IF(BetTable[O2]="","",#REF!/BetTable[TS])</f>
        <v/>
      </c>
      <c r="AE74" s="165" t="str">
        <f>IFERROR(IF(BetTable[Sport]="","",#REF!/BetTable[TS]),"")</f>
        <v/>
      </c>
      <c r="AF74" s="164">
        <f>IF(BetTable[Outcome]="Win",BetTable[WBA1-Commission],IF(BetTable[Outcome]="Win Half Stake",(BetTable[Stake]/2)+BetTable[WBA1-Commission]/2,IF(BetTable[Outcome]="Lose Half Stake",BetTable[Stake]/2,IF(BetTable[Outcome]="Lose",0,IF(BetTable[Outcome]="Void",BetTable[Stake],)))))</f>
        <v>46.86</v>
      </c>
      <c r="AG74" s="164">
        <f>IF(BetTable[Outcome2]="Win",BetTable[WBA2-Commission],IF(BetTable[Outcome2]="Win Half Stake",(BetTable[S2]/2)+BetTable[WBA2-Commission]/2,IF(BetTable[Outcome2]="Lose Half Stake",BetTable[S2]/2,IF(BetTable[Outcome2]="Lose",0,IF(BetTable[Outcome2]="Void",BetTable[S2],)))))</f>
        <v>0</v>
      </c>
      <c r="AH74" s="164">
        <f>IF(BetTable[Outcome3]="Win",BetTable[WBA3-Commission],IF(BetTable[Outcome3]="Win Half Stake",(BetTable[S3]/2)+BetTable[WBA3-Commission]/2,IF(BetTable[Outcome3]="Lose Half Stake",BetTable[S3]/2,IF(BetTable[Outcome3]="Lose",0,IF(BetTable[Outcome3]="Void",BetTable[S3],)))))</f>
        <v>0</v>
      </c>
      <c r="AI74" s="168">
        <f>IF(BetTable[Outcome]="",AI73,BetTable[Result]+AI73)</f>
        <v>274.87124999999997</v>
      </c>
      <c r="AJ74" s="160"/>
    </row>
    <row r="75" spans="1:36" x14ac:dyDescent="0.2">
      <c r="A75" s="159" t="s">
        <v>426</v>
      </c>
      <c r="B75" s="160" t="s">
        <v>200</v>
      </c>
      <c r="C75" s="161" t="s">
        <v>234</v>
      </c>
      <c r="D75" s="161"/>
      <c r="E75" s="161"/>
      <c r="F75" s="162"/>
      <c r="G75" s="162"/>
      <c r="H75" s="162"/>
      <c r="I75" s="160" t="s">
        <v>526</v>
      </c>
      <c r="J75" s="163">
        <v>1.8</v>
      </c>
      <c r="K75" s="163"/>
      <c r="L75" s="163"/>
      <c r="M75" s="164">
        <v>26</v>
      </c>
      <c r="N75" s="164"/>
      <c r="O75" s="164"/>
      <c r="P75" s="159" t="s">
        <v>385</v>
      </c>
      <c r="Q75" s="159" t="s">
        <v>474</v>
      </c>
      <c r="R75" s="159" t="s">
        <v>527</v>
      </c>
      <c r="S75" s="165">
        <v>1.7465063809010101E-2</v>
      </c>
      <c r="T75" s="166" t="s">
        <v>372</v>
      </c>
      <c r="U75" s="166"/>
      <c r="V75" s="166"/>
      <c r="W75" s="167">
        <f>IF(BetTable[Sport]="","",BetTable[Stake]+BetTable[S2]+BetTable[S3])</f>
        <v>26</v>
      </c>
      <c r="X75" s="164">
        <f>IF(BetTable[Odds]="","",(BetTable[WBA1-Commission])-BetTable[TS])</f>
        <v>20.799999999999997</v>
      </c>
      <c r="Y75" s="168">
        <f>IF(BetTable[Outcome]="","",BetTable[WBA1]+BetTable[WBA2]+BetTable[WBA3]-BetTable[TS])</f>
        <v>20.799999999999997</v>
      </c>
      <c r="Z75" s="164">
        <f>(((BetTable[Odds]-1)*BetTable[Stake])*(1-(BetTable[Comm %]))+BetTable[Stake])</f>
        <v>46.8</v>
      </c>
      <c r="AA75" s="164">
        <f>(((BetTable[O2]-1)*BetTable[S2])*(1-(BetTable[C% 2]))+BetTable[S2])</f>
        <v>0</v>
      </c>
      <c r="AB75" s="164">
        <f>(((BetTable[O3]-1)*BetTable[S3])*(1-(BetTable[C% 3]))+BetTable[S3])</f>
        <v>0</v>
      </c>
      <c r="AC75" s="165">
        <f>IFERROR(IF(BetTable[Sport]="","",BetTable[R1]/BetTable[TS]),"")</f>
        <v>0.79999999999999993</v>
      </c>
      <c r="AD75" s="165" t="str">
        <f>IF(BetTable[O2]="","",#REF!/BetTable[TS])</f>
        <v/>
      </c>
      <c r="AE75" s="165" t="str">
        <f>IFERROR(IF(BetTable[Sport]="","",#REF!/BetTable[TS]),"")</f>
        <v/>
      </c>
      <c r="AF75" s="164">
        <f>IF(BetTable[Outcome]="Win",BetTable[WBA1-Commission],IF(BetTable[Outcome]="Win Half Stake",(BetTable[Stake]/2)+BetTable[WBA1-Commission]/2,IF(BetTable[Outcome]="Lose Half Stake",BetTable[Stake]/2,IF(BetTable[Outcome]="Lose",0,IF(BetTable[Outcome]="Void",BetTable[Stake],)))))</f>
        <v>46.8</v>
      </c>
      <c r="AG75" s="164">
        <f>IF(BetTable[Outcome2]="Win",BetTable[WBA2-Commission],IF(BetTable[Outcome2]="Win Half Stake",(BetTable[S2]/2)+BetTable[WBA2-Commission]/2,IF(BetTable[Outcome2]="Lose Half Stake",BetTable[S2]/2,IF(BetTable[Outcome2]="Lose",0,IF(BetTable[Outcome2]="Void",BetTable[S2],)))))</f>
        <v>0</v>
      </c>
      <c r="AH75" s="164">
        <f>IF(BetTable[Outcome3]="Win",BetTable[WBA3-Commission],IF(BetTable[Outcome3]="Win Half Stake",(BetTable[S3]/2)+BetTable[WBA3-Commission]/2,IF(BetTable[Outcome3]="Lose Half Stake",BetTable[S3]/2,IF(BetTable[Outcome3]="Lose",0,IF(BetTable[Outcome3]="Void",BetTable[S3],)))))</f>
        <v>0</v>
      </c>
      <c r="AI75" s="168">
        <f>IF(BetTable[Outcome]="",AI74,BetTable[Result]+AI74)</f>
        <v>295.67124999999999</v>
      </c>
      <c r="AJ75" s="160"/>
    </row>
    <row r="76" spans="1:36" x14ac:dyDescent="0.2">
      <c r="A76" s="159" t="s">
        <v>426</v>
      </c>
      <c r="B76" s="160" t="s">
        <v>201</v>
      </c>
      <c r="C76" s="161" t="s">
        <v>91</v>
      </c>
      <c r="D76" s="161"/>
      <c r="E76" s="161"/>
      <c r="F76" s="162"/>
      <c r="G76" s="162"/>
      <c r="H76" s="162"/>
      <c r="I76" s="160" t="s">
        <v>528</v>
      </c>
      <c r="J76" s="163">
        <v>1.94</v>
      </c>
      <c r="K76" s="163"/>
      <c r="L76" s="163"/>
      <c r="M76" s="164">
        <v>22</v>
      </c>
      <c r="N76" s="164"/>
      <c r="O76" s="164"/>
      <c r="P76" s="159" t="s">
        <v>529</v>
      </c>
      <c r="Q76" s="159" t="s">
        <v>530</v>
      </c>
      <c r="R76" s="159" t="s">
        <v>531</v>
      </c>
      <c r="S76" s="165">
        <v>1.6878498667433E-2</v>
      </c>
      <c r="T76" s="166" t="s">
        <v>372</v>
      </c>
      <c r="U76" s="166"/>
      <c r="V76" s="166"/>
      <c r="W76" s="167">
        <f>IF(BetTable[Sport]="","",BetTable[Stake]+BetTable[S2]+BetTable[S3])</f>
        <v>22</v>
      </c>
      <c r="X76" s="164">
        <f>IF(BetTable[Odds]="","",(BetTable[WBA1-Commission])-BetTable[TS])</f>
        <v>20.68</v>
      </c>
      <c r="Y76" s="168">
        <f>IF(BetTable[Outcome]="","",BetTable[WBA1]+BetTable[WBA2]+BetTable[WBA3]-BetTable[TS])</f>
        <v>20.68</v>
      </c>
      <c r="Z76" s="164">
        <f>(((BetTable[Odds]-1)*BetTable[Stake])*(1-(BetTable[Comm %]))+BetTable[Stake])</f>
        <v>42.68</v>
      </c>
      <c r="AA76" s="164">
        <f>(((BetTable[O2]-1)*BetTable[S2])*(1-(BetTable[C% 2]))+BetTable[S2])</f>
        <v>0</v>
      </c>
      <c r="AB76" s="164">
        <f>(((BetTable[O3]-1)*BetTable[S3])*(1-(BetTable[C% 3]))+BetTable[S3])</f>
        <v>0</v>
      </c>
      <c r="AC76" s="165">
        <f>IFERROR(IF(BetTable[Sport]="","",BetTable[R1]/BetTable[TS]),"")</f>
        <v>0.94</v>
      </c>
      <c r="AD76" s="165" t="str">
        <f>IF(BetTable[O2]="","",#REF!/BetTable[TS])</f>
        <v/>
      </c>
      <c r="AE76" s="165" t="str">
        <f>IFERROR(IF(BetTable[Sport]="","",#REF!/BetTable[TS]),"")</f>
        <v/>
      </c>
      <c r="AF76" s="164">
        <f>IF(BetTable[Outcome]="Win",BetTable[WBA1-Commission],IF(BetTable[Outcome]="Win Half Stake",(BetTable[Stake]/2)+BetTable[WBA1-Commission]/2,IF(BetTable[Outcome]="Lose Half Stake",BetTable[Stake]/2,IF(BetTable[Outcome]="Lose",0,IF(BetTable[Outcome]="Void",BetTable[Stake],)))))</f>
        <v>42.68</v>
      </c>
      <c r="AG76" s="164">
        <f>IF(BetTable[Outcome2]="Win",BetTable[WBA2-Commission],IF(BetTable[Outcome2]="Win Half Stake",(BetTable[S2]/2)+BetTable[WBA2-Commission]/2,IF(BetTable[Outcome2]="Lose Half Stake",BetTable[S2]/2,IF(BetTable[Outcome2]="Lose",0,IF(BetTable[Outcome2]="Void",BetTable[S2],)))))</f>
        <v>0</v>
      </c>
      <c r="AH76" s="164">
        <f>IF(BetTable[Outcome3]="Win",BetTable[WBA3-Commission],IF(BetTable[Outcome3]="Win Half Stake",(BetTable[S3]/2)+BetTable[WBA3-Commission]/2,IF(BetTable[Outcome3]="Lose Half Stake",BetTable[S3]/2,IF(BetTable[Outcome3]="Lose",0,IF(BetTable[Outcome3]="Void",BetTable[S3],)))))</f>
        <v>0</v>
      </c>
      <c r="AI76" s="168">
        <f>IF(BetTable[Outcome]="",AI75,BetTable[Result]+AI75)</f>
        <v>316.35124999999999</v>
      </c>
      <c r="AJ76" s="160"/>
    </row>
    <row r="77" spans="1:36" x14ac:dyDescent="0.2">
      <c r="A77" s="159" t="s">
        <v>426</v>
      </c>
      <c r="B77" s="160" t="s">
        <v>200</v>
      </c>
      <c r="C77" s="161" t="s">
        <v>91</v>
      </c>
      <c r="D77" s="161"/>
      <c r="E77" s="161"/>
      <c r="F77" s="162"/>
      <c r="G77" s="162"/>
      <c r="H77" s="162"/>
      <c r="I77" s="160" t="s">
        <v>532</v>
      </c>
      <c r="J77" s="163">
        <v>1.8</v>
      </c>
      <c r="K77" s="163"/>
      <c r="L77" s="163"/>
      <c r="M77" s="164">
        <v>24</v>
      </c>
      <c r="N77" s="164"/>
      <c r="O77" s="164"/>
      <c r="P77" s="159" t="s">
        <v>360</v>
      </c>
      <c r="Q77" s="159" t="s">
        <v>506</v>
      </c>
      <c r="R77" s="159" t="s">
        <v>533</v>
      </c>
      <c r="S77" s="165">
        <v>1.5907778412372099E-2</v>
      </c>
      <c r="T77" s="166" t="s">
        <v>383</v>
      </c>
      <c r="U77" s="166"/>
      <c r="V77" s="166"/>
      <c r="W77" s="167">
        <f>IF(BetTable[Sport]="","",BetTable[Stake]+BetTable[S2]+BetTable[S3])</f>
        <v>24</v>
      </c>
      <c r="X77" s="164">
        <f>IF(BetTable[Odds]="","",(BetTable[WBA1-Commission])-BetTable[TS])</f>
        <v>19.200000000000003</v>
      </c>
      <c r="Y77" s="168">
        <f>IF(BetTable[Outcome]="","",BetTable[WBA1]+BetTable[WBA2]+BetTable[WBA3]-BetTable[TS])</f>
        <v>0</v>
      </c>
      <c r="Z77" s="164">
        <f>(((BetTable[Odds]-1)*BetTable[Stake])*(1-(BetTable[Comm %]))+BetTable[Stake])</f>
        <v>43.2</v>
      </c>
      <c r="AA77" s="164">
        <f>(((BetTable[O2]-1)*BetTable[S2])*(1-(BetTable[C% 2]))+BetTable[S2])</f>
        <v>0</v>
      </c>
      <c r="AB77" s="164">
        <f>(((BetTable[O3]-1)*BetTable[S3])*(1-(BetTable[C% 3]))+BetTable[S3])</f>
        <v>0</v>
      </c>
      <c r="AC77" s="165">
        <f>IFERROR(IF(BetTable[Sport]="","",BetTable[R1]/BetTable[TS]),"")</f>
        <v>0.80000000000000016</v>
      </c>
      <c r="AD77" s="165" t="str">
        <f>IF(BetTable[O2]="","",#REF!/BetTable[TS])</f>
        <v/>
      </c>
      <c r="AE77" s="165" t="str">
        <f>IFERROR(IF(BetTable[Sport]="","",#REF!/BetTable[TS]),"")</f>
        <v/>
      </c>
      <c r="AF77" s="164">
        <f>IF(BetTable[Outcome]="Win",BetTable[WBA1-Commission],IF(BetTable[Outcome]="Win Half Stake",(BetTable[Stake]/2)+BetTable[WBA1-Commission]/2,IF(BetTable[Outcome]="Lose Half Stake",BetTable[Stake]/2,IF(BetTable[Outcome]="Lose",0,IF(BetTable[Outcome]="Void",BetTable[Stake],)))))</f>
        <v>24</v>
      </c>
      <c r="AG77" s="164">
        <f>IF(BetTable[Outcome2]="Win",BetTable[WBA2-Commission],IF(BetTable[Outcome2]="Win Half Stake",(BetTable[S2]/2)+BetTable[WBA2-Commission]/2,IF(BetTable[Outcome2]="Lose Half Stake",BetTable[S2]/2,IF(BetTable[Outcome2]="Lose",0,IF(BetTable[Outcome2]="Void",BetTable[S2],)))))</f>
        <v>0</v>
      </c>
      <c r="AH77" s="164">
        <f>IF(BetTable[Outcome3]="Win",BetTable[WBA3-Commission],IF(BetTable[Outcome3]="Win Half Stake",(BetTable[S3]/2)+BetTable[WBA3-Commission]/2,IF(BetTable[Outcome3]="Lose Half Stake",BetTable[S3]/2,IF(BetTable[Outcome3]="Lose",0,IF(BetTable[Outcome3]="Void",BetTable[S3],)))))</f>
        <v>0</v>
      </c>
      <c r="AI77" s="168">
        <f>IF(BetTable[Outcome]="",AI76,BetTable[Result]+AI76)</f>
        <v>316.35124999999999</v>
      </c>
      <c r="AJ77" s="160"/>
    </row>
    <row r="78" spans="1:36" x14ac:dyDescent="0.2">
      <c r="A78" s="159" t="s">
        <v>426</v>
      </c>
      <c r="B78" s="160" t="s">
        <v>200</v>
      </c>
      <c r="C78" s="161" t="s">
        <v>234</v>
      </c>
      <c r="D78" s="161"/>
      <c r="E78" s="161"/>
      <c r="F78" s="162"/>
      <c r="G78" s="162"/>
      <c r="H78" s="162"/>
      <c r="I78" s="160" t="s">
        <v>534</v>
      </c>
      <c r="J78" s="163">
        <v>2.02</v>
      </c>
      <c r="K78" s="163"/>
      <c r="L78" s="163"/>
      <c r="M78" s="164">
        <v>18</v>
      </c>
      <c r="N78" s="164"/>
      <c r="O78" s="164"/>
      <c r="P78" s="159" t="s">
        <v>343</v>
      </c>
      <c r="Q78" s="159" t="s">
        <v>506</v>
      </c>
      <c r="R78" s="159" t="s">
        <v>535</v>
      </c>
      <c r="S78" s="165">
        <v>1.47142388460579E-2</v>
      </c>
      <c r="T78" s="166" t="s">
        <v>510</v>
      </c>
      <c r="U78" s="166"/>
      <c r="V78" s="166"/>
      <c r="W78" s="167">
        <f>IF(BetTable[Sport]="","",BetTable[Stake]+BetTable[S2]+BetTable[S3])</f>
        <v>18</v>
      </c>
      <c r="X78" s="164">
        <f>IF(BetTable[Odds]="","",(BetTable[WBA1-Commission])-BetTable[TS])</f>
        <v>18.36</v>
      </c>
      <c r="Y78" s="168">
        <f>IF(BetTable[Outcome]="","",BetTable[WBA1]+BetTable[WBA2]+BetTable[WBA3]-BetTable[TS])</f>
        <v>9.18</v>
      </c>
      <c r="Z78" s="164">
        <f>(((BetTable[Odds]-1)*BetTable[Stake])*(1-(BetTable[Comm %]))+BetTable[Stake])</f>
        <v>36.36</v>
      </c>
      <c r="AA78" s="164">
        <f>(((BetTable[O2]-1)*BetTable[S2])*(1-(BetTable[C% 2]))+BetTable[S2])</f>
        <v>0</v>
      </c>
      <c r="AB78" s="164">
        <f>(((BetTable[O3]-1)*BetTable[S3])*(1-(BetTable[C% 3]))+BetTable[S3])</f>
        <v>0</v>
      </c>
      <c r="AC78" s="165">
        <f>IFERROR(IF(BetTable[Sport]="","",BetTable[R1]/BetTable[TS]),"")</f>
        <v>1.02</v>
      </c>
      <c r="AD78" s="165" t="str">
        <f>IF(BetTable[O2]="","",#REF!/BetTable[TS])</f>
        <v/>
      </c>
      <c r="AE78" s="165" t="str">
        <f>IFERROR(IF(BetTable[Sport]="","",#REF!/BetTable[TS]),"")</f>
        <v/>
      </c>
      <c r="AF78" s="164">
        <f>IF(BetTable[Outcome]="Win",BetTable[WBA1-Commission],IF(BetTable[Outcome]="Win Half Stake",(BetTable[Stake]/2)+BetTable[WBA1-Commission]/2,IF(BetTable[Outcome]="Lose Half Stake",BetTable[Stake]/2,IF(BetTable[Outcome]="Lose",0,IF(BetTable[Outcome]="Void",BetTable[Stake],)))))</f>
        <v>27.18</v>
      </c>
      <c r="AG78" s="164">
        <f>IF(BetTable[Outcome2]="Win",BetTable[WBA2-Commission],IF(BetTable[Outcome2]="Win Half Stake",(BetTable[S2]/2)+BetTable[WBA2-Commission]/2,IF(BetTable[Outcome2]="Lose Half Stake",BetTable[S2]/2,IF(BetTable[Outcome2]="Lose",0,IF(BetTable[Outcome2]="Void",BetTable[S2],)))))</f>
        <v>0</v>
      </c>
      <c r="AH78" s="164">
        <f>IF(BetTable[Outcome3]="Win",BetTable[WBA3-Commission],IF(BetTable[Outcome3]="Win Half Stake",(BetTable[S3]/2)+BetTable[WBA3-Commission]/2,IF(BetTable[Outcome3]="Lose Half Stake",BetTable[S3]/2,IF(BetTable[Outcome3]="Lose",0,IF(BetTable[Outcome3]="Void",BetTable[S3],)))))</f>
        <v>0</v>
      </c>
      <c r="AI78" s="168">
        <f>IF(BetTable[Outcome]="",AI77,BetTable[Result]+AI77)</f>
        <v>325.53125</v>
      </c>
      <c r="AJ78" s="160"/>
    </row>
    <row r="79" spans="1:36" x14ac:dyDescent="0.2">
      <c r="A79" s="159">
        <v>181025</v>
      </c>
      <c r="B79" s="160" t="s">
        <v>8</v>
      </c>
      <c r="C79" s="161" t="s">
        <v>91</v>
      </c>
      <c r="D79" s="161"/>
      <c r="E79" s="161"/>
      <c r="F79" s="162"/>
      <c r="G79" s="162"/>
      <c r="H79" s="162"/>
      <c r="I79" s="160" t="s">
        <v>402</v>
      </c>
      <c r="J79" s="163">
        <v>1.45</v>
      </c>
      <c r="K79" s="163"/>
      <c r="L79" s="163"/>
      <c r="M79" s="164">
        <v>32</v>
      </c>
      <c r="N79" s="164"/>
      <c r="O79" s="164"/>
      <c r="P79" s="159">
        <v>2</v>
      </c>
      <c r="Q79" s="169">
        <v>0.54166666666666663</v>
      </c>
      <c r="R79" s="159" t="s">
        <v>403</v>
      </c>
      <c r="S79" s="165">
        <v>2.1925050501071099E-2</v>
      </c>
      <c r="T79" s="166" t="s">
        <v>383</v>
      </c>
      <c r="U79" s="166"/>
      <c r="V79" s="166"/>
      <c r="W79" s="167"/>
      <c r="X79" s="164"/>
      <c r="Y79" s="168">
        <f>IF(BetTable[Outcome]="","",BetTable[WBA1]+BetTable[WBA2]+BetTable[WBA3]-BetTable[TS])</f>
        <v>0</v>
      </c>
      <c r="Z79" s="164"/>
      <c r="AA79" s="164"/>
      <c r="AB79" s="164"/>
      <c r="AC79" s="165"/>
      <c r="AD79" s="165"/>
      <c r="AE79" s="165"/>
      <c r="AF79" s="164"/>
      <c r="AG79" s="164"/>
      <c r="AH79" s="164"/>
      <c r="AI79" s="168">
        <f>IF(BetTable[Outcome]="",AI78,BetTable[Result]+AI78)</f>
        <v>325.53125</v>
      </c>
      <c r="AJ79" s="160"/>
    </row>
    <row r="80" spans="1:36" x14ac:dyDescent="0.2">
      <c r="A80" s="159" t="s">
        <v>426</v>
      </c>
      <c r="B80" s="160" t="s">
        <v>200</v>
      </c>
      <c r="C80" s="161" t="s">
        <v>91</v>
      </c>
      <c r="D80" s="161"/>
      <c r="E80" s="161"/>
      <c r="F80" s="162"/>
      <c r="G80" s="162"/>
      <c r="H80" s="162"/>
      <c r="I80" s="160" t="s">
        <v>536</v>
      </c>
      <c r="J80" s="163">
        <v>4.3</v>
      </c>
      <c r="K80" s="163"/>
      <c r="L80" s="163"/>
      <c r="M80" s="164">
        <v>11</v>
      </c>
      <c r="N80" s="164"/>
      <c r="O80" s="164"/>
      <c r="P80" s="159" t="s">
        <v>442</v>
      </c>
      <c r="Q80" s="159" t="s">
        <v>488</v>
      </c>
      <c r="R80" s="159" t="s">
        <v>537</v>
      </c>
      <c r="S80" s="165">
        <v>3.0702653731699302E-2</v>
      </c>
      <c r="T80" s="166" t="s">
        <v>383</v>
      </c>
      <c r="U80" s="166"/>
      <c r="V80" s="166"/>
      <c r="W80" s="167">
        <f>IF(BetTable[Sport]="","",BetTable[Stake]+BetTable[S2]+BetTable[S3])</f>
        <v>11</v>
      </c>
      <c r="X80" s="164">
        <f>IF(BetTable[Odds]="","",(BetTable[WBA1-Commission])-BetTable[TS])</f>
        <v>36.299999999999997</v>
      </c>
      <c r="Y80" s="168">
        <f>IF(BetTable[Outcome]="","",BetTable[WBA1]+BetTable[WBA2]+BetTable[WBA3]-BetTable[TS])</f>
        <v>0</v>
      </c>
      <c r="Z80" s="164">
        <f>(((BetTable[Odds]-1)*BetTable[Stake])*(1-(BetTable[Comm %]))+BetTable[Stake])</f>
        <v>47.3</v>
      </c>
      <c r="AA80" s="164">
        <f>(((BetTable[O2]-1)*BetTable[S2])*(1-(BetTable[C% 2]))+BetTable[S2])</f>
        <v>0</v>
      </c>
      <c r="AB80" s="164">
        <f>(((BetTable[O3]-1)*BetTable[S3])*(1-(BetTable[C% 3]))+BetTable[S3])</f>
        <v>0</v>
      </c>
      <c r="AC80" s="165">
        <f>IFERROR(IF(BetTable[Sport]="","",BetTable[R1]/BetTable[TS]),"")</f>
        <v>3.3</v>
      </c>
      <c r="AD80" s="165" t="str">
        <f>IF(BetTable[O2]="","",#REF!/BetTable[TS])</f>
        <v/>
      </c>
      <c r="AE80" s="165" t="str">
        <f>IFERROR(IF(BetTable[Sport]="","",#REF!/BetTable[TS]),"")</f>
        <v/>
      </c>
      <c r="AF80" s="164">
        <f>IF(BetTable[Outcome]="Win",BetTable[WBA1-Commission],IF(BetTable[Outcome]="Win Half Stake",(BetTable[Stake]/2)+BetTable[WBA1-Commission]/2,IF(BetTable[Outcome]="Lose Half Stake",BetTable[Stake]/2,IF(BetTable[Outcome]="Lose",0,IF(BetTable[Outcome]="Void",BetTable[Stake],)))))</f>
        <v>11</v>
      </c>
      <c r="AG80" s="164">
        <f>IF(BetTable[Outcome2]="Win",BetTable[WBA2-Commission],IF(BetTable[Outcome2]="Win Half Stake",(BetTable[S2]/2)+BetTable[WBA2-Commission]/2,IF(BetTable[Outcome2]="Lose Half Stake",BetTable[S2]/2,IF(BetTable[Outcome2]="Lose",0,IF(BetTable[Outcome2]="Void",BetTable[S2],)))))</f>
        <v>0</v>
      </c>
      <c r="AH80" s="164">
        <f>IF(BetTable[Outcome3]="Win",BetTable[WBA3-Commission],IF(BetTable[Outcome3]="Win Half Stake",(BetTable[S3]/2)+BetTable[WBA3-Commission]/2,IF(BetTable[Outcome3]="Lose Half Stake",BetTable[S3]/2,IF(BetTable[Outcome3]="Lose",0,IF(BetTable[Outcome3]="Void",BetTable[S3],)))))</f>
        <v>0</v>
      </c>
      <c r="AI80" s="168">
        <f>IF(BetTable[Outcome]="",AI79,BetTable[Result]+AI79)</f>
        <v>325.53125</v>
      </c>
      <c r="AJ80" s="160"/>
    </row>
    <row r="81" spans="1:36" x14ac:dyDescent="0.2">
      <c r="A81" s="159" t="s">
        <v>426</v>
      </c>
      <c r="B81" s="160" t="s">
        <v>201</v>
      </c>
      <c r="C81" s="161" t="s">
        <v>91</v>
      </c>
      <c r="D81" s="161"/>
      <c r="E81" s="161"/>
      <c r="F81" s="162"/>
      <c r="G81" s="162"/>
      <c r="H81" s="162"/>
      <c r="I81" s="160" t="s">
        <v>538</v>
      </c>
      <c r="J81" s="163">
        <v>2.0299999999999998</v>
      </c>
      <c r="K81" s="163"/>
      <c r="L81" s="163"/>
      <c r="M81" s="164">
        <v>17</v>
      </c>
      <c r="N81" s="164"/>
      <c r="O81" s="164"/>
      <c r="P81" s="159" t="s">
        <v>539</v>
      </c>
      <c r="Q81" s="159" t="s">
        <v>540</v>
      </c>
      <c r="R81" s="159" t="s">
        <v>541</v>
      </c>
      <c r="S81" s="165">
        <v>1.4999999999999999E-2</v>
      </c>
      <c r="T81" s="166" t="s">
        <v>382</v>
      </c>
      <c r="U81" s="166"/>
      <c r="V81" s="166"/>
      <c r="W81" s="167">
        <f>IF(BetTable[Sport]="","",BetTable[Stake]+BetTable[S2]+BetTable[S3])</f>
        <v>17</v>
      </c>
      <c r="X81" s="164">
        <f>IF(BetTable[Odds]="","",(BetTable[WBA1-Commission])-BetTable[TS])</f>
        <v>17.509999999999998</v>
      </c>
      <c r="Y81" s="168">
        <f>IF(BetTable[Outcome]="","",BetTable[WBA1]+BetTable[WBA2]+BetTable[WBA3]-BetTable[TS])</f>
        <v>-17</v>
      </c>
      <c r="Z81" s="164">
        <f>(((BetTable[Odds]-1)*BetTable[Stake])*(1-(BetTable[Comm %]))+BetTable[Stake])</f>
        <v>34.51</v>
      </c>
      <c r="AA81" s="164">
        <f>(((BetTable[O2]-1)*BetTable[S2])*(1-(BetTable[C% 2]))+BetTable[S2])</f>
        <v>0</v>
      </c>
      <c r="AB81" s="164">
        <f>(((BetTable[O3]-1)*BetTable[S3])*(1-(BetTable[C% 3]))+BetTable[S3])</f>
        <v>0</v>
      </c>
      <c r="AC81" s="165">
        <f>IFERROR(IF(BetTable[Sport]="","",BetTable[R1]/BetTable[TS]),"")</f>
        <v>1.0299999999999998</v>
      </c>
      <c r="AD81" s="165" t="str">
        <f>IF(BetTable[O2]="","",#REF!/BetTable[TS])</f>
        <v/>
      </c>
      <c r="AE81" s="165" t="str">
        <f>IFERROR(IF(BetTable[Sport]="","",#REF!/BetTable[TS]),"")</f>
        <v/>
      </c>
      <c r="AF81" s="164">
        <f>IF(BetTable[Outcome]="Win",BetTable[WBA1-Commission],IF(BetTable[Outcome]="Win Half Stake",(BetTable[Stake]/2)+BetTable[WBA1-Commission]/2,IF(BetTable[Outcome]="Lose Half Stake",BetTable[Stake]/2,IF(BetTable[Outcome]="Lose",0,IF(BetTable[Outcome]="Void",BetTable[Stake],)))))</f>
        <v>0</v>
      </c>
      <c r="AG81" s="164">
        <f>IF(BetTable[Outcome2]="Win",BetTable[WBA2-Commission],IF(BetTable[Outcome2]="Win Half Stake",(BetTable[S2]/2)+BetTable[WBA2-Commission]/2,IF(BetTable[Outcome2]="Lose Half Stake",BetTable[S2]/2,IF(BetTable[Outcome2]="Lose",0,IF(BetTable[Outcome2]="Void",BetTable[S2],)))))</f>
        <v>0</v>
      </c>
      <c r="AH81" s="164">
        <f>IF(BetTable[Outcome3]="Win",BetTable[WBA3-Commission],IF(BetTable[Outcome3]="Win Half Stake",(BetTable[S3]/2)+BetTable[WBA3-Commission]/2,IF(BetTable[Outcome3]="Lose Half Stake",BetTable[S3]/2,IF(BetTable[Outcome3]="Lose",0,IF(BetTable[Outcome3]="Void",BetTable[S3],)))))</f>
        <v>0</v>
      </c>
      <c r="AI81" s="168">
        <f>IF(BetTable[Outcome]="",AI80,BetTable[Result]+AI80)</f>
        <v>308.53125</v>
      </c>
      <c r="AJ81" s="160"/>
    </row>
    <row r="82" spans="1:36" x14ac:dyDescent="0.2">
      <c r="A82" s="159" t="s">
        <v>426</v>
      </c>
      <c r="B82" s="160" t="s">
        <v>200</v>
      </c>
      <c r="C82" s="161" t="s">
        <v>91</v>
      </c>
      <c r="D82" s="161"/>
      <c r="E82" s="161"/>
      <c r="F82" s="162"/>
      <c r="G82" s="162"/>
      <c r="H82" s="162"/>
      <c r="I82" s="160" t="s">
        <v>542</v>
      </c>
      <c r="J82" s="163">
        <v>1.92</v>
      </c>
      <c r="K82" s="163"/>
      <c r="L82" s="163"/>
      <c r="M82" s="164">
        <v>22</v>
      </c>
      <c r="N82" s="164"/>
      <c r="O82" s="164"/>
      <c r="P82" s="159" t="s">
        <v>543</v>
      </c>
      <c r="Q82" s="159" t="s">
        <v>544</v>
      </c>
      <c r="R82" s="159" t="s">
        <v>545</v>
      </c>
      <c r="S82" s="165">
        <v>1.6979950146099501E-2</v>
      </c>
      <c r="T82" s="166" t="s">
        <v>510</v>
      </c>
      <c r="U82" s="166"/>
      <c r="V82" s="166"/>
      <c r="W82" s="167">
        <f>IF(BetTable[Sport]="","",BetTable[Stake]+BetTable[S2]+BetTable[S3])</f>
        <v>22</v>
      </c>
      <c r="X82" s="164">
        <f>IF(BetTable[Odds]="","",(BetTable[WBA1-Commission])-BetTable[TS])</f>
        <v>20.239999999999995</v>
      </c>
      <c r="Y82" s="168">
        <f>IF(BetTable[Outcome]="","",BetTable[WBA1]+BetTable[WBA2]+BetTable[WBA3]-BetTable[TS])</f>
        <v>10.119999999999997</v>
      </c>
      <c r="Z82" s="164">
        <f>(((BetTable[Odds]-1)*BetTable[Stake])*(1-(BetTable[Comm %]))+BetTable[Stake])</f>
        <v>42.239999999999995</v>
      </c>
      <c r="AA82" s="164">
        <f>(((BetTable[O2]-1)*BetTable[S2])*(1-(BetTable[C% 2]))+BetTable[S2])</f>
        <v>0</v>
      </c>
      <c r="AB82" s="164">
        <f>(((BetTable[O3]-1)*BetTable[S3])*(1-(BetTable[C% 3]))+BetTable[S3])</f>
        <v>0</v>
      </c>
      <c r="AC82" s="165">
        <f>IFERROR(IF(BetTable[Sport]="","",BetTable[R1]/BetTable[TS]),"")</f>
        <v>0.91999999999999982</v>
      </c>
      <c r="AD82" s="165" t="str">
        <f>IF(BetTable[O2]="","",#REF!/BetTable[TS])</f>
        <v/>
      </c>
      <c r="AE82" s="165" t="str">
        <f>IFERROR(IF(BetTable[Sport]="","",#REF!/BetTable[TS]),"")</f>
        <v/>
      </c>
      <c r="AF82" s="164">
        <f>IF(BetTable[Outcome]="Win",BetTable[WBA1-Commission],IF(BetTable[Outcome]="Win Half Stake",(BetTable[Stake]/2)+BetTable[WBA1-Commission]/2,IF(BetTable[Outcome]="Lose Half Stake",BetTable[Stake]/2,IF(BetTable[Outcome]="Lose",0,IF(BetTable[Outcome]="Void",BetTable[Stake],)))))</f>
        <v>32.119999999999997</v>
      </c>
      <c r="AG82" s="164">
        <f>IF(BetTable[Outcome2]="Win",BetTable[WBA2-Commission],IF(BetTable[Outcome2]="Win Half Stake",(BetTable[S2]/2)+BetTable[WBA2-Commission]/2,IF(BetTable[Outcome2]="Lose Half Stake",BetTable[S2]/2,IF(BetTable[Outcome2]="Lose",0,IF(BetTable[Outcome2]="Void",BetTable[S2],)))))</f>
        <v>0</v>
      </c>
      <c r="AH82" s="164">
        <f>IF(BetTable[Outcome3]="Win",BetTable[WBA3-Commission],IF(BetTable[Outcome3]="Win Half Stake",(BetTable[S3]/2)+BetTable[WBA3-Commission]/2,IF(BetTable[Outcome3]="Lose Half Stake",BetTable[S3]/2,IF(BetTable[Outcome3]="Lose",0,IF(BetTable[Outcome3]="Void",BetTable[S3],)))))</f>
        <v>0</v>
      </c>
      <c r="AI82" s="168">
        <f>IF(BetTable[Outcome]="",AI81,BetTable[Result]+AI81)</f>
        <v>318.65125</v>
      </c>
      <c r="AJ82" s="160"/>
    </row>
    <row r="83" spans="1:36" x14ac:dyDescent="0.2">
      <c r="A83" s="159" t="s">
        <v>426</v>
      </c>
      <c r="B83" s="160" t="s">
        <v>200</v>
      </c>
      <c r="C83" s="161" t="s">
        <v>234</v>
      </c>
      <c r="D83" s="161"/>
      <c r="E83" s="161"/>
      <c r="F83" s="162"/>
      <c r="G83" s="162"/>
      <c r="H83" s="162"/>
      <c r="I83" s="160" t="s">
        <v>546</v>
      </c>
      <c r="J83" s="163">
        <v>2.08</v>
      </c>
      <c r="K83" s="163"/>
      <c r="L83" s="163"/>
      <c r="M83" s="164">
        <v>15</v>
      </c>
      <c r="N83" s="164"/>
      <c r="O83" s="164"/>
      <c r="P83" s="159" t="s">
        <v>354</v>
      </c>
      <c r="Q83" s="159" t="s">
        <v>547</v>
      </c>
      <c r="R83" s="159" t="s">
        <v>548</v>
      </c>
      <c r="S83" s="165">
        <v>1.3666171037734201E-2</v>
      </c>
      <c r="T83" s="166" t="s">
        <v>382</v>
      </c>
      <c r="U83" s="166"/>
      <c r="V83" s="166"/>
      <c r="W83" s="167">
        <f>IF(BetTable[Sport]="","",BetTable[Stake]+BetTable[S2]+BetTable[S3])</f>
        <v>15</v>
      </c>
      <c r="X83" s="164">
        <f>IF(BetTable[Odds]="","",(BetTable[WBA1-Commission])-BetTable[TS])</f>
        <v>16.200000000000003</v>
      </c>
      <c r="Y83" s="168">
        <f>IF(BetTable[Outcome]="","",BetTable[WBA1]+BetTable[WBA2]+BetTable[WBA3]-BetTable[TS])</f>
        <v>-15</v>
      </c>
      <c r="Z83" s="164">
        <f>(((BetTable[Odds]-1)*BetTable[Stake])*(1-(BetTable[Comm %]))+BetTable[Stake])</f>
        <v>31.200000000000003</v>
      </c>
      <c r="AA83" s="164">
        <f>(((BetTable[O2]-1)*BetTable[S2])*(1-(BetTable[C% 2]))+BetTable[S2])</f>
        <v>0</v>
      </c>
      <c r="AB83" s="164">
        <f>(((BetTable[O3]-1)*BetTable[S3])*(1-(BetTable[C% 3]))+BetTable[S3])</f>
        <v>0</v>
      </c>
      <c r="AC83" s="165">
        <f>IFERROR(IF(BetTable[Sport]="","",BetTable[R1]/BetTable[TS]),"")</f>
        <v>1.0800000000000003</v>
      </c>
      <c r="AD83" s="165" t="str">
        <f>IF(BetTable[O2]="","",#REF!/BetTable[TS])</f>
        <v/>
      </c>
      <c r="AE83" s="165" t="str">
        <f>IFERROR(IF(BetTable[Sport]="","",#REF!/BetTable[TS]),"")</f>
        <v/>
      </c>
      <c r="AF83" s="164">
        <f>IF(BetTable[Outcome]="Win",BetTable[WBA1-Commission],IF(BetTable[Outcome]="Win Half Stake",(BetTable[Stake]/2)+BetTable[WBA1-Commission]/2,IF(BetTable[Outcome]="Lose Half Stake",BetTable[Stake]/2,IF(BetTable[Outcome]="Lose",0,IF(BetTable[Outcome]="Void",BetTable[Stake],)))))</f>
        <v>0</v>
      </c>
      <c r="AG83" s="164">
        <f>IF(BetTable[Outcome2]="Win",BetTable[WBA2-Commission],IF(BetTable[Outcome2]="Win Half Stake",(BetTable[S2]/2)+BetTable[WBA2-Commission]/2,IF(BetTable[Outcome2]="Lose Half Stake",BetTable[S2]/2,IF(BetTable[Outcome2]="Lose",0,IF(BetTable[Outcome2]="Void",BetTable[S2],)))))</f>
        <v>0</v>
      </c>
      <c r="AH83" s="164">
        <f>IF(BetTable[Outcome3]="Win",BetTable[WBA3-Commission],IF(BetTable[Outcome3]="Win Half Stake",(BetTable[S3]/2)+BetTable[WBA3-Commission]/2,IF(BetTable[Outcome3]="Lose Half Stake",BetTable[S3]/2,IF(BetTable[Outcome3]="Lose",0,IF(BetTable[Outcome3]="Void",BetTable[S3],)))))</f>
        <v>0</v>
      </c>
      <c r="AI83" s="168">
        <f>IF(BetTable[Outcome]="",AI82,BetTable[Result]+AI82)</f>
        <v>303.65125</v>
      </c>
      <c r="AJ83" s="160"/>
    </row>
    <row r="84" spans="1:36" x14ac:dyDescent="0.2">
      <c r="A84" s="159" t="s">
        <v>426</v>
      </c>
      <c r="B84" s="160" t="s">
        <v>7</v>
      </c>
      <c r="C84" s="161" t="s">
        <v>91</v>
      </c>
      <c r="D84" s="161"/>
      <c r="E84" s="161"/>
      <c r="F84" s="162"/>
      <c r="G84" s="162"/>
      <c r="H84" s="162"/>
      <c r="I84" s="160" t="s">
        <v>554</v>
      </c>
      <c r="J84" s="163">
        <v>1.92</v>
      </c>
      <c r="K84" s="163"/>
      <c r="L84" s="163"/>
      <c r="M84" s="164">
        <v>23</v>
      </c>
      <c r="N84" s="164"/>
      <c r="O84" s="164"/>
      <c r="P84" s="159" t="s">
        <v>555</v>
      </c>
      <c r="Q84" s="159" t="s">
        <v>506</v>
      </c>
      <c r="R84" s="159" t="s">
        <v>556</v>
      </c>
      <c r="S84" s="165">
        <v>1.7317106555499801E-2</v>
      </c>
      <c r="T84" s="166" t="s">
        <v>382</v>
      </c>
      <c r="U84" s="166"/>
      <c r="V84" s="166"/>
      <c r="W84" s="167">
        <f>IF(BetTable[Sport]="","",BetTable[Stake]+BetTable[S2]+BetTable[S3])</f>
        <v>23</v>
      </c>
      <c r="X84" s="164">
        <f>IF(BetTable[Odds]="","",(BetTable[WBA1-Commission])-BetTable[TS])</f>
        <v>21.159999999999997</v>
      </c>
      <c r="Y84" s="168">
        <f>IF(BetTable[Outcome]="","",BetTable[WBA1]+BetTable[WBA2]+BetTable[WBA3]-BetTable[TS])</f>
        <v>-23</v>
      </c>
      <c r="Z84" s="164">
        <f>(((BetTable[Odds]-1)*BetTable[Stake])*(1-(BetTable[Comm %]))+BetTable[Stake])</f>
        <v>44.16</v>
      </c>
      <c r="AA84" s="164">
        <f>(((BetTable[O2]-1)*BetTable[S2])*(1-(BetTable[C% 2]))+BetTable[S2])</f>
        <v>0</v>
      </c>
      <c r="AB84" s="164">
        <f>(((BetTable[O3]-1)*BetTable[S3])*(1-(BetTable[C% 3]))+BetTable[S3])</f>
        <v>0</v>
      </c>
      <c r="AC84" s="165">
        <f>IFERROR(IF(BetTable[Sport]="","",BetTable[R1]/BetTable[TS]),"")</f>
        <v>0.91999999999999982</v>
      </c>
      <c r="AD84" s="165" t="str">
        <f>IF(BetTable[O2]="","",#REF!/BetTable[TS])</f>
        <v/>
      </c>
      <c r="AE84" s="165" t="str">
        <f>IFERROR(IF(BetTable[Sport]="","",#REF!/BetTable[TS]),"")</f>
        <v/>
      </c>
      <c r="AF84" s="164">
        <f>IF(BetTable[Outcome]="Win",BetTable[WBA1-Commission],IF(BetTable[Outcome]="Win Half Stake",(BetTable[Stake]/2)+BetTable[WBA1-Commission]/2,IF(BetTable[Outcome]="Lose Half Stake",BetTable[Stake]/2,IF(BetTable[Outcome]="Lose",0,IF(BetTable[Outcome]="Void",BetTable[Stake],)))))</f>
        <v>0</v>
      </c>
      <c r="AG84" s="164">
        <f>IF(BetTable[Outcome2]="Win",BetTable[WBA2-Commission],IF(BetTable[Outcome2]="Win Half Stake",(BetTable[S2]/2)+BetTable[WBA2-Commission]/2,IF(BetTable[Outcome2]="Lose Half Stake",BetTable[S2]/2,IF(BetTable[Outcome2]="Lose",0,IF(BetTable[Outcome2]="Void",BetTable[S2],)))))</f>
        <v>0</v>
      </c>
      <c r="AH84" s="164">
        <f>IF(BetTable[Outcome3]="Win",BetTable[WBA3-Commission],IF(BetTable[Outcome3]="Win Half Stake",(BetTable[S3]/2)+BetTable[WBA3-Commission]/2,IF(BetTable[Outcome3]="Lose Half Stake",BetTable[S3]/2,IF(BetTable[Outcome3]="Lose",0,IF(BetTable[Outcome3]="Void",BetTable[S3],)))))</f>
        <v>0</v>
      </c>
      <c r="AI84" s="168">
        <f>IF(BetTable[Outcome]="",AI83,BetTable[Result]+AI83)</f>
        <v>280.65125</v>
      </c>
      <c r="AJ84" s="160"/>
    </row>
    <row r="85" spans="1:36" x14ac:dyDescent="0.2">
      <c r="A85" s="159" t="s">
        <v>426</v>
      </c>
      <c r="B85" s="160" t="s">
        <v>200</v>
      </c>
      <c r="C85" s="161" t="s">
        <v>91</v>
      </c>
      <c r="D85" s="161"/>
      <c r="E85" s="161"/>
      <c r="F85" s="162"/>
      <c r="G85" s="162"/>
      <c r="H85" s="162"/>
      <c r="I85" s="160" t="s">
        <v>557</v>
      </c>
      <c r="J85" s="163">
        <v>1.73</v>
      </c>
      <c r="K85" s="163"/>
      <c r="L85" s="163"/>
      <c r="M85" s="164">
        <v>41</v>
      </c>
      <c r="N85" s="164"/>
      <c r="O85" s="164"/>
      <c r="P85" s="159" t="s">
        <v>406</v>
      </c>
      <c r="Q85" s="159" t="s">
        <v>491</v>
      </c>
      <c r="R85" s="159" t="s">
        <v>558</v>
      </c>
      <c r="S85" s="165">
        <v>2.4778797366890998E-2</v>
      </c>
      <c r="T85" s="166" t="s">
        <v>510</v>
      </c>
      <c r="U85" s="166"/>
      <c r="V85" s="166"/>
      <c r="W85" s="167">
        <f>IF(BetTable[Sport]="","",BetTable[Stake]+BetTable[S2]+BetTable[S3])</f>
        <v>41</v>
      </c>
      <c r="X85" s="164">
        <f>IF(BetTable[Odds]="","",(BetTable[WBA1-Commission])-BetTable[TS])</f>
        <v>29.930000000000007</v>
      </c>
      <c r="Y85" s="168">
        <f>IF(BetTable[Outcome]="","",BetTable[WBA1]+BetTable[WBA2]+BetTable[WBA3]-BetTable[TS])</f>
        <v>14.965000000000003</v>
      </c>
      <c r="Z85" s="164">
        <f>(((BetTable[Odds]-1)*BetTable[Stake])*(1-(BetTable[Comm %]))+BetTable[Stake])</f>
        <v>70.930000000000007</v>
      </c>
      <c r="AA85" s="164">
        <f>(((BetTable[O2]-1)*BetTable[S2])*(1-(BetTable[C% 2]))+BetTable[S2])</f>
        <v>0</v>
      </c>
      <c r="AB85" s="164">
        <f>(((BetTable[O3]-1)*BetTable[S3])*(1-(BetTable[C% 3]))+BetTable[S3])</f>
        <v>0</v>
      </c>
      <c r="AC85" s="165">
        <f>IFERROR(IF(BetTable[Sport]="","",BetTable[R1]/BetTable[TS]),"")</f>
        <v>0.7300000000000002</v>
      </c>
      <c r="AD85" s="165" t="str">
        <f>IF(BetTable[O2]="","",#REF!/BetTable[TS])</f>
        <v/>
      </c>
      <c r="AE85" s="165" t="str">
        <f>IFERROR(IF(BetTable[Sport]="","",#REF!/BetTable[TS]),"")</f>
        <v/>
      </c>
      <c r="AF85" s="164">
        <f>IF(BetTable[Outcome]="Win",BetTable[WBA1-Commission],IF(BetTable[Outcome]="Win Half Stake",(BetTable[Stake]/2)+BetTable[WBA1-Commission]/2,IF(BetTable[Outcome]="Lose Half Stake",BetTable[Stake]/2,IF(BetTable[Outcome]="Lose",0,IF(BetTable[Outcome]="Void",BetTable[Stake],)))))</f>
        <v>55.965000000000003</v>
      </c>
      <c r="AG85" s="164">
        <f>IF(BetTable[Outcome2]="Win",BetTable[WBA2-Commission],IF(BetTable[Outcome2]="Win Half Stake",(BetTable[S2]/2)+BetTable[WBA2-Commission]/2,IF(BetTable[Outcome2]="Lose Half Stake",BetTable[S2]/2,IF(BetTable[Outcome2]="Lose",0,IF(BetTable[Outcome2]="Void",BetTable[S2],)))))</f>
        <v>0</v>
      </c>
      <c r="AH85" s="164">
        <f>IF(BetTable[Outcome3]="Win",BetTable[WBA3-Commission],IF(BetTable[Outcome3]="Win Half Stake",(BetTable[S3]/2)+BetTable[WBA3-Commission]/2,IF(BetTable[Outcome3]="Lose Half Stake",BetTable[S3]/2,IF(BetTable[Outcome3]="Lose",0,IF(BetTable[Outcome3]="Void",BetTable[S3],)))))</f>
        <v>0</v>
      </c>
      <c r="AI85" s="168">
        <f>IF(BetTable[Outcome]="",AI84,BetTable[Result]+AI84)</f>
        <v>295.61625000000004</v>
      </c>
      <c r="AJ85" s="160"/>
    </row>
    <row r="86" spans="1:36" x14ac:dyDescent="0.2">
      <c r="A86" s="159" t="s">
        <v>426</v>
      </c>
      <c r="B86" s="160" t="s">
        <v>200</v>
      </c>
      <c r="C86" s="161" t="s">
        <v>234</v>
      </c>
      <c r="D86" s="161"/>
      <c r="E86" s="161"/>
      <c r="F86" s="162"/>
      <c r="G86" s="162"/>
      <c r="H86" s="162"/>
      <c r="I86" s="160" t="s">
        <v>559</v>
      </c>
      <c r="J86" s="163">
        <v>2.02</v>
      </c>
      <c r="K86" s="163"/>
      <c r="L86" s="163"/>
      <c r="M86" s="164">
        <v>18</v>
      </c>
      <c r="N86" s="164"/>
      <c r="O86" s="164"/>
      <c r="P86" s="159" t="s">
        <v>406</v>
      </c>
      <c r="Q86" s="159" t="s">
        <v>560</v>
      </c>
      <c r="R86" s="159" t="s">
        <v>561</v>
      </c>
      <c r="S86" s="165">
        <v>1.47142388460579E-2</v>
      </c>
      <c r="T86" s="166" t="s">
        <v>382</v>
      </c>
      <c r="U86" s="166"/>
      <c r="V86" s="166"/>
      <c r="W86" s="167">
        <f>IF(BetTable[Sport]="","",BetTable[Stake]+BetTable[S2]+BetTable[S3])</f>
        <v>18</v>
      </c>
      <c r="X86" s="164">
        <f>IF(BetTable[Odds]="","",(BetTable[WBA1-Commission])-BetTable[TS])</f>
        <v>18.36</v>
      </c>
      <c r="Y86" s="168">
        <f>IF(BetTable[Outcome]="","",BetTable[WBA1]+BetTable[WBA2]+BetTable[WBA3]-BetTable[TS])</f>
        <v>-18</v>
      </c>
      <c r="Z86" s="164">
        <f>(((BetTable[Odds]-1)*BetTable[Stake])*(1-(BetTable[Comm %]))+BetTable[Stake])</f>
        <v>36.36</v>
      </c>
      <c r="AA86" s="164">
        <f>(((BetTable[O2]-1)*BetTable[S2])*(1-(BetTable[C% 2]))+BetTable[S2])</f>
        <v>0</v>
      </c>
      <c r="AB86" s="164">
        <f>(((BetTable[O3]-1)*BetTable[S3])*(1-(BetTable[C% 3]))+BetTable[S3])</f>
        <v>0</v>
      </c>
      <c r="AC86" s="165">
        <f>IFERROR(IF(BetTable[Sport]="","",BetTable[R1]/BetTable[TS]),"")</f>
        <v>1.02</v>
      </c>
      <c r="AD86" s="165" t="str">
        <f>IF(BetTable[O2]="","",#REF!/BetTable[TS])</f>
        <v/>
      </c>
      <c r="AE86" s="165" t="str">
        <f>IFERROR(IF(BetTable[Sport]="","",#REF!/BetTable[TS]),"")</f>
        <v/>
      </c>
      <c r="AF86" s="164">
        <f>IF(BetTable[Outcome]="Win",BetTable[WBA1-Commission],IF(BetTable[Outcome]="Win Half Stake",(BetTable[Stake]/2)+BetTable[WBA1-Commission]/2,IF(BetTable[Outcome]="Lose Half Stake",BetTable[Stake]/2,IF(BetTable[Outcome]="Lose",0,IF(BetTable[Outcome]="Void",BetTable[Stake],)))))</f>
        <v>0</v>
      </c>
      <c r="AG86" s="164">
        <f>IF(BetTable[Outcome2]="Win",BetTable[WBA2-Commission],IF(BetTable[Outcome2]="Win Half Stake",(BetTable[S2]/2)+BetTable[WBA2-Commission]/2,IF(BetTable[Outcome2]="Lose Half Stake",BetTable[S2]/2,IF(BetTable[Outcome2]="Lose",0,IF(BetTable[Outcome2]="Void",BetTable[S2],)))))</f>
        <v>0</v>
      </c>
      <c r="AH86" s="164">
        <f>IF(BetTable[Outcome3]="Win",BetTable[WBA3-Commission],IF(BetTable[Outcome3]="Win Half Stake",(BetTable[S3]/2)+BetTable[WBA3-Commission]/2,IF(BetTable[Outcome3]="Lose Half Stake",BetTable[S3]/2,IF(BetTable[Outcome3]="Lose",0,IF(BetTable[Outcome3]="Void",BetTable[S3],)))))</f>
        <v>0</v>
      </c>
      <c r="AI86" s="168">
        <f>IF(BetTable[Outcome]="",AI85,BetTable[Result]+AI85)</f>
        <v>277.61625000000004</v>
      </c>
      <c r="AJ86" s="160"/>
    </row>
    <row r="87" spans="1:36" x14ac:dyDescent="0.2">
      <c r="A87" s="159" t="s">
        <v>562</v>
      </c>
      <c r="B87" s="160" t="s">
        <v>200</v>
      </c>
      <c r="C87" s="161" t="s">
        <v>91</v>
      </c>
      <c r="D87" s="161"/>
      <c r="E87" s="161"/>
      <c r="F87" s="162"/>
      <c r="G87" s="162"/>
      <c r="H87" s="162"/>
      <c r="I87" s="160" t="s">
        <v>563</v>
      </c>
      <c r="J87" s="163">
        <v>1.82</v>
      </c>
      <c r="K87" s="163"/>
      <c r="L87" s="163"/>
      <c r="M87" s="164">
        <v>22</v>
      </c>
      <c r="N87" s="164"/>
      <c r="O87" s="164"/>
      <c r="P87" s="159" t="s">
        <v>406</v>
      </c>
      <c r="Q87" s="159" t="s">
        <v>564</v>
      </c>
      <c r="R87" s="159" t="s">
        <v>565</v>
      </c>
      <c r="S87" s="165">
        <v>1.50531853093626E-2</v>
      </c>
      <c r="T87" s="166" t="s">
        <v>372</v>
      </c>
      <c r="U87" s="166"/>
      <c r="V87" s="166"/>
      <c r="W87" s="167">
        <f>IF(BetTable[Sport]="","",BetTable[Stake]+BetTable[S2]+BetTable[S3])</f>
        <v>22</v>
      </c>
      <c r="X87" s="164">
        <f>IF(BetTable[Odds]="","",(BetTable[WBA1-Commission])-BetTable[TS])</f>
        <v>18.040000000000006</v>
      </c>
      <c r="Y87" s="168">
        <f>IF(BetTable[Outcome]="","",BetTable[WBA1]+BetTable[WBA2]+BetTable[WBA3]-BetTable[TS])</f>
        <v>18.040000000000006</v>
      </c>
      <c r="Z87" s="164">
        <f>(((BetTable[Odds]-1)*BetTable[Stake])*(1-(BetTable[Comm %]))+BetTable[Stake])</f>
        <v>40.040000000000006</v>
      </c>
      <c r="AA87" s="164">
        <f>(((BetTable[O2]-1)*BetTable[S2])*(1-(BetTable[C% 2]))+BetTable[S2])</f>
        <v>0</v>
      </c>
      <c r="AB87" s="164">
        <f>(((BetTable[O3]-1)*BetTable[S3])*(1-(BetTable[C% 3]))+BetTable[S3])</f>
        <v>0</v>
      </c>
      <c r="AC87" s="165">
        <f>IFERROR(IF(BetTable[Sport]="","",BetTable[R1]/BetTable[TS]),"")</f>
        <v>0.82000000000000028</v>
      </c>
      <c r="AD87" s="165" t="str">
        <f>IF(BetTable[O2]="","",#REF!/BetTable[TS])</f>
        <v/>
      </c>
      <c r="AE87" s="165" t="str">
        <f>IFERROR(IF(BetTable[Sport]="","",#REF!/BetTable[TS]),"")</f>
        <v/>
      </c>
      <c r="AF87" s="164">
        <f>IF(BetTable[Outcome]="Win",BetTable[WBA1-Commission],IF(BetTable[Outcome]="Win Half Stake",(BetTable[Stake]/2)+BetTable[WBA1-Commission]/2,IF(BetTable[Outcome]="Lose Half Stake",BetTable[Stake]/2,IF(BetTable[Outcome]="Lose",0,IF(BetTable[Outcome]="Void",BetTable[Stake],)))))</f>
        <v>40.040000000000006</v>
      </c>
      <c r="AG87" s="164">
        <f>IF(BetTable[Outcome2]="Win",BetTable[WBA2-Commission],IF(BetTable[Outcome2]="Win Half Stake",(BetTable[S2]/2)+BetTable[WBA2-Commission]/2,IF(BetTable[Outcome2]="Lose Half Stake",BetTable[S2]/2,IF(BetTable[Outcome2]="Lose",0,IF(BetTable[Outcome2]="Void",BetTable[S2],)))))</f>
        <v>0</v>
      </c>
      <c r="AH87" s="164">
        <f>IF(BetTable[Outcome3]="Win",BetTable[WBA3-Commission],IF(BetTable[Outcome3]="Win Half Stake",(BetTable[S3]/2)+BetTable[WBA3-Commission]/2,IF(BetTable[Outcome3]="Lose Half Stake",BetTable[S3]/2,IF(BetTable[Outcome3]="Lose",0,IF(BetTable[Outcome3]="Void",BetTable[S3],)))))</f>
        <v>0</v>
      </c>
      <c r="AI87" s="168">
        <f>IF(BetTable[Outcome]="",AI86,BetTable[Result]+AI86)</f>
        <v>295.65625000000006</v>
      </c>
      <c r="AJ87" s="160"/>
    </row>
    <row r="88" spans="1:36" x14ac:dyDescent="0.2">
      <c r="A88" s="159" t="s">
        <v>562</v>
      </c>
      <c r="B88" s="160" t="s">
        <v>200</v>
      </c>
      <c r="C88" s="161" t="s">
        <v>234</v>
      </c>
      <c r="D88" s="161"/>
      <c r="E88" s="161"/>
      <c r="F88" s="162"/>
      <c r="G88" s="162"/>
      <c r="H88" s="162"/>
      <c r="I88" s="160" t="s">
        <v>566</v>
      </c>
      <c r="J88" s="163">
        <v>2.1110000000000002</v>
      </c>
      <c r="K88" s="163"/>
      <c r="L88" s="163"/>
      <c r="M88" s="164">
        <v>17</v>
      </c>
      <c r="N88" s="164"/>
      <c r="O88" s="164"/>
      <c r="P88" s="159" t="s">
        <v>360</v>
      </c>
      <c r="Q88" s="159" t="s">
        <v>482</v>
      </c>
      <c r="R88" s="159" t="s">
        <v>567</v>
      </c>
      <c r="S88" s="165">
        <v>1.6056054912139898E-2</v>
      </c>
      <c r="T88" s="166" t="s">
        <v>372</v>
      </c>
      <c r="U88" s="166"/>
      <c r="V88" s="166"/>
      <c r="W88" s="167">
        <f>IF(BetTable[Sport]="","",BetTable[Stake]+BetTable[S2]+BetTable[S3])</f>
        <v>17</v>
      </c>
      <c r="X88" s="164">
        <f>IF(BetTable[Odds]="","",(BetTable[WBA1-Commission])-BetTable[TS])</f>
        <v>18.887</v>
      </c>
      <c r="Y88" s="168">
        <f>IF(BetTable[Outcome]="","",BetTable[WBA1]+BetTable[WBA2]+BetTable[WBA3]-BetTable[TS])</f>
        <v>18.887</v>
      </c>
      <c r="Z88" s="164">
        <f>(((BetTable[Odds]-1)*BetTable[Stake])*(1-(BetTable[Comm %]))+BetTable[Stake])</f>
        <v>35.887</v>
      </c>
      <c r="AA88" s="164">
        <f>(((BetTable[O2]-1)*BetTable[S2])*(1-(BetTable[C% 2]))+BetTable[S2])</f>
        <v>0</v>
      </c>
      <c r="AB88" s="164">
        <f>(((BetTable[O3]-1)*BetTable[S3])*(1-(BetTable[C% 3]))+BetTable[S3])</f>
        <v>0</v>
      </c>
      <c r="AC88" s="165">
        <f>IFERROR(IF(BetTable[Sport]="","",BetTable[R1]/BetTable[TS]),"")</f>
        <v>1.111</v>
      </c>
      <c r="AD88" s="165" t="str">
        <f>IF(BetTable[O2]="","",#REF!/BetTable[TS])</f>
        <v/>
      </c>
      <c r="AE88" s="165" t="str">
        <f>IFERROR(IF(BetTable[Sport]="","",#REF!/BetTable[TS]),"")</f>
        <v/>
      </c>
      <c r="AF88" s="164">
        <f>IF(BetTable[Outcome]="Win",BetTable[WBA1-Commission],IF(BetTable[Outcome]="Win Half Stake",(BetTable[Stake]/2)+BetTable[WBA1-Commission]/2,IF(BetTable[Outcome]="Lose Half Stake",BetTable[Stake]/2,IF(BetTable[Outcome]="Lose",0,IF(BetTable[Outcome]="Void",BetTable[Stake],)))))</f>
        <v>35.887</v>
      </c>
      <c r="AG88" s="164">
        <f>IF(BetTable[Outcome2]="Win",BetTable[WBA2-Commission],IF(BetTable[Outcome2]="Win Half Stake",(BetTable[S2]/2)+BetTable[WBA2-Commission]/2,IF(BetTable[Outcome2]="Lose Half Stake",BetTable[S2]/2,IF(BetTable[Outcome2]="Lose",0,IF(BetTable[Outcome2]="Void",BetTable[S2],)))))</f>
        <v>0</v>
      </c>
      <c r="AH88" s="164">
        <f>IF(BetTable[Outcome3]="Win",BetTable[WBA3-Commission],IF(BetTable[Outcome3]="Win Half Stake",(BetTable[S3]/2)+BetTable[WBA3-Commission]/2,IF(BetTable[Outcome3]="Lose Half Stake",BetTable[S3]/2,IF(BetTable[Outcome3]="Lose",0,IF(BetTable[Outcome3]="Void",BetTable[S3],)))))</f>
        <v>0</v>
      </c>
      <c r="AI88" s="168">
        <f>IF(BetTable[Outcome]="",AI87,BetTable[Result]+AI87)</f>
        <v>314.54325000000006</v>
      </c>
      <c r="AJ88" s="160"/>
    </row>
    <row r="89" spans="1:36" x14ac:dyDescent="0.2">
      <c r="A89" s="159" t="s">
        <v>562</v>
      </c>
      <c r="B89" s="160" t="s">
        <v>200</v>
      </c>
      <c r="C89" s="161" t="s">
        <v>234</v>
      </c>
      <c r="D89" s="161"/>
      <c r="E89" s="161"/>
      <c r="F89" s="162"/>
      <c r="G89" s="162"/>
      <c r="H89" s="162"/>
      <c r="I89" s="160" t="s">
        <v>568</v>
      </c>
      <c r="J89" s="163">
        <v>2.0640000000000001</v>
      </c>
      <c r="K89" s="163"/>
      <c r="L89" s="163"/>
      <c r="M89" s="164">
        <v>20</v>
      </c>
      <c r="N89" s="164"/>
      <c r="O89" s="164"/>
      <c r="P89" s="159" t="s">
        <v>348</v>
      </c>
      <c r="Q89" s="159" t="s">
        <v>569</v>
      </c>
      <c r="R89" s="159" t="s">
        <v>570</v>
      </c>
      <c r="S89" s="165">
        <v>1.74061912736884E-2</v>
      </c>
      <c r="T89" s="166" t="s">
        <v>383</v>
      </c>
      <c r="U89" s="166"/>
      <c r="V89" s="166"/>
      <c r="W89" s="167">
        <f>IF(BetTable[Sport]="","",BetTable[Stake]+BetTable[S2]+BetTable[S3])</f>
        <v>20</v>
      </c>
      <c r="X89" s="164">
        <f>IF(BetTable[Odds]="","",(BetTable[WBA1-Commission])-BetTable[TS])</f>
        <v>21.28</v>
      </c>
      <c r="Y89" s="168">
        <f>IF(BetTable[Outcome]="","",BetTable[WBA1]+BetTable[WBA2]+BetTable[WBA3]-BetTable[TS])</f>
        <v>0</v>
      </c>
      <c r="Z89" s="164">
        <f>(((BetTable[Odds]-1)*BetTable[Stake])*(1-(BetTable[Comm %]))+BetTable[Stake])</f>
        <v>41.28</v>
      </c>
      <c r="AA89" s="164">
        <f>(((BetTable[O2]-1)*BetTable[S2])*(1-(BetTable[C% 2]))+BetTable[S2])</f>
        <v>0</v>
      </c>
      <c r="AB89" s="164">
        <f>(((BetTable[O3]-1)*BetTable[S3])*(1-(BetTable[C% 3]))+BetTable[S3])</f>
        <v>0</v>
      </c>
      <c r="AC89" s="165">
        <f>IFERROR(IF(BetTable[Sport]="","",BetTable[R1]/BetTable[TS]),"")</f>
        <v>1.0640000000000001</v>
      </c>
      <c r="AD89" s="165" t="str">
        <f>IF(BetTable[O2]="","",#REF!/BetTable[TS])</f>
        <v/>
      </c>
      <c r="AE89" s="165" t="str">
        <f>IFERROR(IF(BetTable[Sport]="","",#REF!/BetTable[TS]),"")</f>
        <v/>
      </c>
      <c r="AF89" s="164">
        <f>IF(BetTable[Outcome]="Win",BetTable[WBA1-Commission],IF(BetTable[Outcome]="Win Half Stake",(BetTable[Stake]/2)+BetTable[WBA1-Commission]/2,IF(BetTable[Outcome]="Lose Half Stake",BetTable[Stake]/2,IF(BetTable[Outcome]="Lose",0,IF(BetTable[Outcome]="Void",BetTable[Stake],)))))</f>
        <v>20</v>
      </c>
      <c r="AG89" s="164">
        <f>IF(BetTable[Outcome2]="Win",BetTable[WBA2-Commission],IF(BetTable[Outcome2]="Win Half Stake",(BetTable[S2]/2)+BetTable[WBA2-Commission]/2,IF(BetTable[Outcome2]="Lose Half Stake",BetTable[S2]/2,IF(BetTable[Outcome2]="Lose",0,IF(BetTable[Outcome2]="Void",BetTable[S2],)))))</f>
        <v>0</v>
      </c>
      <c r="AH89" s="164">
        <f>IF(BetTable[Outcome3]="Win",BetTable[WBA3-Commission],IF(BetTable[Outcome3]="Win Half Stake",(BetTable[S3]/2)+BetTable[WBA3-Commission]/2,IF(BetTable[Outcome3]="Lose Half Stake",BetTable[S3]/2,IF(BetTable[Outcome3]="Lose",0,IF(BetTable[Outcome3]="Void",BetTable[S3],)))))</f>
        <v>0</v>
      </c>
      <c r="AI89" s="168">
        <f>IF(BetTable[Outcome]="",AI88,BetTable[Result]+AI88)</f>
        <v>314.54325000000006</v>
      </c>
      <c r="AJ89" s="160"/>
    </row>
    <row r="90" spans="1:36" x14ac:dyDescent="0.2">
      <c r="A90" s="159" t="s">
        <v>562</v>
      </c>
      <c r="B90" s="160" t="s">
        <v>200</v>
      </c>
      <c r="C90" s="161" t="s">
        <v>234</v>
      </c>
      <c r="D90" s="161"/>
      <c r="E90" s="161"/>
      <c r="F90" s="162"/>
      <c r="G90" s="162"/>
      <c r="H90" s="162"/>
      <c r="I90" s="160" t="s">
        <v>571</v>
      </c>
      <c r="J90" s="163">
        <v>2.2349999999999999</v>
      </c>
      <c r="K90" s="163"/>
      <c r="L90" s="163"/>
      <c r="M90" s="164">
        <v>14</v>
      </c>
      <c r="N90" s="164"/>
      <c r="O90" s="164"/>
      <c r="P90" s="159" t="s">
        <v>348</v>
      </c>
      <c r="Q90" s="159" t="s">
        <v>503</v>
      </c>
      <c r="R90" s="159" t="s">
        <v>572</v>
      </c>
      <c r="S90" s="165">
        <v>1.5112560898344399E-2</v>
      </c>
      <c r="T90" s="166" t="s">
        <v>383</v>
      </c>
      <c r="U90" s="166"/>
      <c r="V90" s="166"/>
      <c r="W90" s="167">
        <f>IF(BetTable[Sport]="","",BetTable[Stake]+BetTable[S2]+BetTable[S3])</f>
        <v>14</v>
      </c>
      <c r="X90" s="164">
        <f>IF(BetTable[Odds]="","",(BetTable[WBA1-Commission])-BetTable[TS])</f>
        <v>17.29</v>
      </c>
      <c r="Y90" s="168">
        <f>IF(BetTable[Outcome]="","",BetTable[WBA1]+BetTable[WBA2]+BetTable[WBA3]-BetTable[TS])</f>
        <v>0</v>
      </c>
      <c r="Z90" s="164">
        <f>(((BetTable[Odds]-1)*BetTable[Stake])*(1-(BetTable[Comm %]))+BetTable[Stake])</f>
        <v>31.29</v>
      </c>
      <c r="AA90" s="164">
        <f>(((BetTable[O2]-1)*BetTable[S2])*(1-(BetTable[C% 2]))+BetTable[S2])</f>
        <v>0</v>
      </c>
      <c r="AB90" s="164">
        <f>(((BetTable[O3]-1)*BetTable[S3])*(1-(BetTable[C% 3]))+BetTable[S3])</f>
        <v>0</v>
      </c>
      <c r="AC90" s="165">
        <f>IFERROR(IF(BetTable[Sport]="","",BetTable[R1]/BetTable[TS]),"")</f>
        <v>1.2349999999999999</v>
      </c>
      <c r="AD90" s="165" t="str">
        <f>IF(BetTable[O2]="","",#REF!/BetTable[TS])</f>
        <v/>
      </c>
      <c r="AE90" s="165" t="str">
        <f>IFERROR(IF(BetTable[Sport]="","",#REF!/BetTable[TS]),"")</f>
        <v/>
      </c>
      <c r="AF90" s="164">
        <f>IF(BetTable[Outcome]="Win",BetTable[WBA1-Commission],IF(BetTable[Outcome]="Win Half Stake",(BetTable[Stake]/2)+BetTable[WBA1-Commission]/2,IF(BetTable[Outcome]="Lose Half Stake",BetTable[Stake]/2,IF(BetTable[Outcome]="Lose",0,IF(BetTable[Outcome]="Void",BetTable[Stake],)))))</f>
        <v>14</v>
      </c>
      <c r="AG90" s="164">
        <f>IF(BetTable[Outcome2]="Win",BetTable[WBA2-Commission],IF(BetTable[Outcome2]="Win Half Stake",(BetTable[S2]/2)+BetTable[WBA2-Commission]/2,IF(BetTable[Outcome2]="Lose Half Stake",BetTable[S2]/2,IF(BetTable[Outcome2]="Lose",0,IF(BetTable[Outcome2]="Void",BetTable[S2],)))))</f>
        <v>0</v>
      </c>
      <c r="AH90" s="164">
        <f>IF(BetTable[Outcome3]="Win",BetTable[WBA3-Commission],IF(BetTable[Outcome3]="Win Half Stake",(BetTable[S3]/2)+BetTable[WBA3-Commission]/2,IF(BetTable[Outcome3]="Lose Half Stake",BetTable[S3]/2,IF(BetTable[Outcome3]="Lose",0,IF(BetTable[Outcome3]="Void",BetTable[S3],)))))</f>
        <v>0</v>
      </c>
      <c r="AI90" s="168">
        <f>IF(BetTable[Outcome]="",AI89,BetTable[Result]+AI89)</f>
        <v>314.54325000000006</v>
      </c>
      <c r="AJ90" s="160"/>
    </row>
    <row r="91" spans="1:36" x14ac:dyDescent="0.2">
      <c r="A91" s="159" t="s">
        <v>562</v>
      </c>
      <c r="B91" s="160" t="s">
        <v>200</v>
      </c>
      <c r="C91" s="161" t="s">
        <v>234</v>
      </c>
      <c r="D91" s="161"/>
      <c r="E91" s="161"/>
      <c r="F91" s="162"/>
      <c r="G91" s="162"/>
      <c r="H91" s="162"/>
      <c r="I91" s="160" t="s">
        <v>573</v>
      </c>
      <c r="J91" s="163">
        <v>1.88</v>
      </c>
      <c r="K91" s="163"/>
      <c r="L91" s="163"/>
      <c r="M91" s="164">
        <v>54</v>
      </c>
      <c r="N91" s="164"/>
      <c r="O91" s="164"/>
      <c r="P91" s="159" t="s">
        <v>348</v>
      </c>
      <c r="Q91" s="159" t="s">
        <v>574</v>
      </c>
      <c r="R91" s="159" t="s">
        <v>575</v>
      </c>
      <c r="S91" s="165">
        <v>3.9543653646351998E-2</v>
      </c>
      <c r="T91" s="166" t="s">
        <v>383</v>
      </c>
      <c r="U91" s="166"/>
      <c r="V91" s="166"/>
      <c r="W91" s="167">
        <f>IF(BetTable[Sport]="","",BetTable[Stake]+BetTable[S2]+BetTable[S3])</f>
        <v>54</v>
      </c>
      <c r="X91" s="164">
        <f>IF(BetTable[Odds]="","",(BetTable[WBA1-Commission])-BetTable[TS])</f>
        <v>47.519999999999996</v>
      </c>
      <c r="Y91" s="168">
        <f>IF(BetTable[Outcome]="","",BetTable[WBA1]+BetTable[WBA2]+BetTable[WBA3]-BetTable[TS])</f>
        <v>0</v>
      </c>
      <c r="Z91" s="164">
        <f>(((BetTable[Odds]-1)*BetTable[Stake])*(1-(BetTable[Comm %]))+BetTable[Stake])</f>
        <v>101.52</v>
      </c>
      <c r="AA91" s="164">
        <f>(((BetTable[O2]-1)*BetTable[S2])*(1-(BetTable[C% 2]))+BetTable[S2])</f>
        <v>0</v>
      </c>
      <c r="AB91" s="164">
        <f>(((BetTable[O3]-1)*BetTable[S3])*(1-(BetTable[C% 3]))+BetTable[S3])</f>
        <v>0</v>
      </c>
      <c r="AC91" s="165">
        <f>IFERROR(IF(BetTable[Sport]="","",BetTable[R1]/BetTable[TS]),"")</f>
        <v>0.87999999999999989</v>
      </c>
      <c r="AD91" s="165" t="str">
        <f>IF(BetTable[O2]="","",#REF!/BetTable[TS])</f>
        <v/>
      </c>
      <c r="AE91" s="165" t="str">
        <f>IFERROR(IF(BetTable[Sport]="","",#REF!/BetTable[TS]),"")</f>
        <v/>
      </c>
      <c r="AF91" s="164">
        <f>IF(BetTable[Outcome]="Win",BetTable[WBA1-Commission],IF(BetTable[Outcome]="Win Half Stake",(BetTable[Stake]/2)+BetTable[WBA1-Commission]/2,IF(BetTable[Outcome]="Lose Half Stake",BetTable[Stake]/2,IF(BetTable[Outcome]="Lose",0,IF(BetTable[Outcome]="Void",BetTable[Stake],)))))</f>
        <v>54</v>
      </c>
      <c r="AG91" s="164">
        <f>IF(BetTable[Outcome2]="Win",BetTable[WBA2-Commission],IF(BetTable[Outcome2]="Win Half Stake",(BetTable[S2]/2)+BetTable[WBA2-Commission]/2,IF(BetTable[Outcome2]="Lose Half Stake",BetTable[S2]/2,IF(BetTable[Outcome2]="Lose",0,IF(BetTable[Outcome2]="Void",BetTable[S2],)))))</f>
        <v>0</v>
      </c>
      <c r="AH91" s="164">
        <f>IF(BetTable[Outcome3]="Win",BetTable[WBA3-Commission],IF(BetTable[Outcome3]="Win Half Stake",(BetTable[S3]/2)+BetTable[WBA3-Commission]/2,IF(BetTable[Outcome3]="Lose Half Stake",BetTable[S3]/2,IF(BetTable[Outcome3]="Lose",0,IF(BetTable[Outcome3]="Void",BetTable[S3],)))))</f>
        <v>0</v>
      </c>
      <c r="AI91" s="168">
        <f>IF(BetTable[Outcome]="",AI90,BetTable[Result]+AI90)</f>
        <v>314.54325000000006</v>
      </c>
      <c r="AJ91" s="160"/>
    </row>
    <row r="92" spans="1:36" x14ac:dyDescent="0.2">
      <c r="A92" s="159" t="s">
        <v>426</v>
      </c>
      <c r="B92" s="160" t="s">
        <v>7</v>
      </c>
      <c r="C92" s="161" t="s">
        <v>91</v>
      </c>
      <c r="D92" s="161"/>
      <c r="E92" s="161"/>
      <c r="F92" s="162"/>
      <c r="G92" s="162"/>
      <c r="H92" s="162"/>
      <c r="I92" s="160" t="s">
        <v>550</v>
      </c>
      <c r="J92" s="163">
        <v>1.9</v>
      </c>
      <c r="K92" s="163"/>
      <c r="L92" s="163"/>
      <c r="M92" s="164">
        <v>23</v>
      </c>
      <c r="N92" s="164"/>
      <c r="O92" s="164"/>
      <c r="P92" s="159" t="s">
        <v>551</v>
      </c>
      <c r="Q92" s="159" t="s">
        <v>552</v>
      </c>
      <c r="R92" s="159" t="s">
        <v>553</v>
      </c>
      <c r="S92" s="165">
        <v>1.7274585017238601E-2</v>
      </c>
      <c r="T92" s="166" t="s">
        <v>372</v>
      </c>
      <c r="U92" s="166"/>
      <c r="V92" s="166"/>
      <c r="W92" s="167">
        <f>IF(BetTable[Sport]="","",BetTable[Stake]+BetTable[S2]+BetTable[S3])</f>
        <v>23</v>
      </c>
      <c r="X92" s="164">
        <f>IF(BetTable[Odds]="","",(BetTable[WBA1-Commission])-BetTable[TS])</f>
        <v>20.700000000000003</v>
      </c>
      <c r="Y92" s="168">
        <f>IF(BetTable[Outcome]="","",BetTable[WBA1]+BetTable[WBA2]+BetTable[WBA3]-BetTable[TS])</f>
        <v>20.700000000000003</v>
      </c>
      <c r="Z92" s="164">
        <f>(((BetTable[Odds]-1)*BetTable[Stake])*(1-(BetTable[Comm %]))+BetTable[Stake])</f>
        <v>43.7</v>
      </c>
      <c r="AA92" s="164">
        <f>(((BetTable[O2]-1)*BetTable[S2])*(1-(BetTable[C% 2]))+BetTable[S2])</f>
        <v>0</v>
      </c>
      <c r="AB92" s="164">
        <f>(((BetTable[O3]-1)*BetTable[S3])*(1-(BetTable[C% 3]))+BetTable[S3])</f>
        <v>0</v>
      </c>
      <c r="AC92" s="165">
        <f>IFERROR(IF(BetTable[Sport]="","",BetTable[R1]/BetTable[TS]),"")</f>
        <v>0.90000000000000013</v>
      </c>
      <c r="AD92" s="165" t="str">
        <f>IF(BetTable[O2]="","",#REF!/BetTable[TS])</f>
        <v/>
      </c>
      <c r="AE92" s="165" t="str">
        <f>IFERROR(IF(BetTable[Sport]="","",#REF!/BetTable[TS]),"")</f>
        <v/>
      </c>
      <c r="AF92" s="164">
        <f>IF(BetTable[Outcome]="Win",BetTable[WBA1-Commission],IF(BetTable[Outcome]="Win Half Stake",(BetTable[Stake]/2)+BetTable[WBA1-Commission]/2,IF(BetTable[Outcome]="Lose Half Stake",BetTable[Stake]/2,IF(BetTable[Outcome]="Lose",0,IF(BetTable[Outcome]="Void",BetTable[Stake],)))))</f>
        <v>43.7</v>
      </c>
      <c r="AG92" s="164">
        <f>IF(BetTable[Outcome2]="Win",BetTable[WBA2-Commission],IF(BetTable[Outcome2]="Win Half Stake",(BetTable[S2]/2)+BetTable[WBA2-Commission]/2,IF(BetTable[Outcome2]="Lose Half Stake",BetTable[S2]/2,IF(BetTable[Outcome2]="Lose",0,IF(BetTable[Outcome2]="Void",BetTable[S2],)))))</f>
        <v>0</v>
      </c>
      <c r="AH92" s="164">
        <f>IF(BetTable[Outcome3]="Win",BetTable[WBA3-Commission],IF(BetTable[Outcome3]="Win Half Stake",(BetTable[S3]/2)+BetTable[WBA3-Commission]/2,IF(BetTable[Outcome3]="Lose Half Stake",BetTable[S3]/2,IF(BetTable[Outcome3]="Lose",0,IF(BetTable[Outcome3]="Void",BetTable[S3],)))))</f>
        <v>0</v>
      </c>
      <c r="AI92" s="168">
        <f>IF(BetTable[Outcome]="",AI91,BetTable[Result]+AI91)</f>
        <v>335.24325000000005</v>
      </c>
      <c r="AJ92" s="160"/>
    </row>
    <row r="93" spans="1:36" x14ac:dyDescent="0.2">
      <c r="A93" s="159" t="s">
        <v>562</v>
      </c>
      <c r="B93" s="160" t="s">
        <v>7</v>
      </c>
      <c r="C93" s="161" t="s">
        <v>216</v>
      </c>
      <c r="D93" s="161"/>
      <c r="E93" s="161"/>
      <c r="F93" s="162"/>
      <c r="G93" s="162"/>
      <c r="H93" s="162"/>
      <c r="I93" s="160" t="s">
        <v>579</v>
      </c>
      <c r="J93" s="163">
        <v>1.909</v>
      </c>
      <c r="K93" s="163"/>
      <c r="L93" s="163"/>
      <c r="M93" s="164">
        <v>65</v>
      </c>
      <c r="N93" s="164"/>
      <c r="O93" s="164"/>
      <c r="P93" s="159" t="s">
        <v>580</v>
      </c>
      <c r="Q93" s="159" t="s">
        <v>581</v>
      </c>
      <c r="R93" s="159" t="s">
        <v>582</v>
      </c>
      <c r="S93" s="165">
        <v>5.4316303609521097E-2</v>
      </c>
      <c r="T93" s="166" t="s">
        <v>382</v>
      </c>
      <c r="U93" s="166"/>
      <c r="V93" s="166"/>
      <c r="W93" s="167">
        <f>IF(BetTable[Sport]="","",BetTable[Stake]+BetTable[S2]+BetTable[S3])</f>
        <v>65</v>
      </c>
      <c r="X93" s="164">
        <f>IF(BetTable[Odds]="","",(BetTable[WBA1-Commission])-BetTable[TS])</f>
        <v>59.085000000000008</v>
      </c>
      <c r="Y93" s="168">
        <f>IF(BetTable[Outcome]="","",BetTable[WBA1]+BetTable[WBA2]+BetTable[WBA3]-BetTable[TS])</f>
        <v>-65</v>
      </c>
      <c r="Z93" s="164">
        <f>(((BetTable[Odds]-1)*BetTable[Stake])*(1-(BetTable[Comm %]))+BetTable[Stake])</f>
        <v>124.08500000000001</v>
      </c>
      <c r="AA93" s="164">
        <f>(((BetTable[O2]-1)*BetTable[S2])*(1-(BetTable[C% 2]))+BetTable[S2])</f>
        <v>0</v>
      </c>
      <c r="AB93" s="164">
        <f>(((BetTable[O3]-1)*BetTable[S3])*(1-(BetTable[C% 3]))+BetTable[S3])</f>
        <v>0</v>
      </c>
      <c r="AC93" s="165">
        <f>IFERROR(IF(BetTable[Sport]="","",BetTable[R1]/BetTable[TS]),"")</f>
        <v>0.90900000000000014</v>
      </c>
      <c r="AD93" s="165" t="str">
        <f>IF(BetTable[O2]="","",#REF!/BetTable[TS])</f>
        <v/>
      </c>
      <c r="AE93" s="165" t="str">
        <f>IFERROR(IF(BetTable[Sport]="","",#REF!/BetTable[TS]),"")</f>
        <v/>
      </c>
      <c r="AF93" s="164">
        <f>IF(BetTable[Outcome]="Win",BetTable[WBA1-Commission],IF(BetTable[Outcome]="Win Half Stake",(BetTable[Stake]/2)+BetTable[WBA1-Commission]/2,IF(BetTable[Outcome]="Lose Half Stake",BetTable[Stake]/2,IF(BetTable[Outcome]="Lose",0,IF(BetTable[Outcome]="Void",BetTable[Stake],)))))</f>
        <v>0</v>
      </c>
      <c r="AG93" s="164">
        <f>IF(BetTable[Outcome2]="Win",BetTable[WBA2-Commission],IF(BetTable[Outcome2]="Win Half Stake",(BetTable[S2]/2)+BetTable[WBA2-Commission]/2,IF(BetTable[Outcome2]="Lose Half Stake",BetTable[S2]/2,IF(BetTable[Outcome2]="Lose",0,IF(BetTable[Outcome2]="Void",BetTable[S2],)))))</f>
        <v>0</v>
      </c>
      <c r="AH93" s="164">
        <f>IF(BetTable[Outcome3]="Win",BetTable[WBA3-Commission],IF(BetTable[Outcome3]="Win Half Stake",(BetTable[S3]/2)+BetTable[WBA3-Commission]/2,IF(BetTable[Outcome3]="Lose Half Stake",BetTable[S3]/2,IF(BetTable[Outcome3]="Lose",0,IF(BetTable[Outcome3]="Void",BetTable[S3],)))))</f>
        <v>0</v>
      </c>
      <c r="AI93" s="168">
        <f>IF(BetTable[Outcome]="",AI92,BetTable[Result]+AI92)</f>
        <v>270.24325000000005</v>
      </c>
      <c r="AJ93" s="160"/>
    </row>
    <row r="94" spans="1:36" x14ac:dyDescent="0.2">
      <c r="A94" s="159" t="s">
        <v>562</v>
      </c>
      <c r="B94" s="160" t="s">
        <v>7</v>
      </c>
      <c r="C94" s="161" t="s">
        <v>91</v>
      </c>
      <c r="D94" s="161"/>
      <c r="E94" s="161"/>
      <c r="F94" s="162"/>
      <c r="G94" s="162"/>
      <c r="H94" s="162"/>
      <c r="I94" s="160" t="s">
        <v>583</v>
      </c>
      <c r="J94" s="163">
        <v>2.0699999999999998</v>
      </c>
      <c r="K94" s="163"/>
      <c r="L94" s="163"/>
      <c r="M94" s="164">
        <v>18</v>
      </c>
      <c r="N94" s="164"/>
      <c r="O94" s="164"/>
      <c r="P94" s="159" t="s">
        <v>584</v>
      </c>
      <c r="Q94" s="159" t="s">
        <v>585</v>
      </c>
      <c r="R94" s="159" t="s">
        <v>586</v>
      </c>
      <c r="S94" s="165">
        <v>1.6215765240906801E-2</v>
      </c>
      <c r="T94" s="166" t="s">
        <v>382</v>
      </c>
      <c r="U94" s="166"/>
      <c r="V94" s="166"/>
      <c r="W94" s="167">
        <f>IF(BetTable[Sport]="","",BetTable[Stake]+BetTable[S2]+BetTable[S3])</f>
        <v>18</v>
      </c>
      <c r="X94" s="164">
        <f>IF(BetTable[Odds]="","",(BetTable[WBA1-Commission])-BetTable[TS])</f>
        <v>19.259999999999998</v>
      </c>
      <c r="Y94" s="168">
        <f>IF(BetTable[Outcome]="","",BetTable[WBA1]+BetTable[WBA2]+BetTable[WBA3]-BetTable[TS])</f>
        <v>-18</v>
      </c>
      <c r="Z94" s="164">
        <f>(((BetTable[Odds]-1)*BetTable[Stake])*(1-(BetTable[Comm %]))+BetTable[Stake])</f>
        <v>37.26</v>
      </c>
      <c r="AA94" s="164">
        <f>(((BetTable[O2]-1)*BetTable[S2])*(1-(BetTable[C% 2]))+BetTable[S2])</f>
        <v>0</v>
      </c>
      <c r="AB94" s="164">
        <f>(((BetTable[O3]-1)*BetTable[S3])*(1-(BetTable[C% 3]))+BetTable[S3])</f>
        <v>0</v>
      </c>
      <c r="AC94" s="165">
        <f>IFERROR(IF(BetTable[Sport]="","",BetTable[R1]/BetTable[TS]),"")</f>
        <v>1.0699999999999998</v>
      </c>
      <c r="AD94" s="165" t="str">
        <f>IF(BetTable[O2]="","",#REF!/BetTable[TS])</f>
        <v/>
      </c>
      <c r="AE94" s="165" t="str">
        <f>IFERROR(IF(BetTable[Sport]="","",#REF!/BetTable[TS]),"")</f>
        <v/>
      </c>
      <c r="AF94" s="164">
        <f>IF(BetTable[Outcome]="Win",BetTable[WBA1-Commission],IF(BetTable[Outcome]="Win Half Stake",(BetTable[Stake]/2)+BetTable[WBA1-Commission]/2,IF(BetTable[Outcome]="Lose Half Stake",BetTable[Stake]/2,IF(BetTable[Outcome]="Lose",0,IF(BetTable[Outcome]="Void",BetTable[Stake],)))))</f>
        <v>0</v>
      </c>
      <c r="AG94" s="164">
        <f>IF(BetTable[Outcome2]="Win",BetTable[WBA2-Commission],IF(BetTable[Outcome2]="Win Half Stake",(BetTable[S2]/2)+BetTable[WBA2-Commission]/2,IF(BetTable[Outcome2]="Lose Half Stake",BetTable[S2]/2,IF(BetTable[Outcome2]="Lose",0,IF(BetTable[Outcome2]="Void",BetTable[S2],)))))</f>
        <v>0</v>
      </c>
      <c r="AH94" s="164">
        <f>IF(BetTable[Outcome3]="Win",BetTable[WBA3-Commission],IF(BetTable[Outcome3]="Win Half Stake",(BetTable[S3]/2)+BetTable[WBA3-Commission]/2,IF(BetTable[Outcome3]="Lose Half Stake",BetTable[S3]/2,IF(BetTable[Outcome3]="Lose",0,IF(BetTable[Outcome3]="Void",BetTable[S3],)))))</f>
        <v>0</v>
      </c>
      <c r="AI94" s="168">
        <f>IF(BetTable[Outcome]="",AI93,BetTable[Result]+AI93)</f>
        <v>252.24325000000005</v>
      </c>
      <c r="AJ94" s="160"/>
    </row>
    <row r="95" spans="1:36" x14ac:dyDescent="0.2">
      <c r="A95" s="159" t="s">
        <v>562</v>
      </c>
      <c r="B95" s="160" t="s">
        <v>200</v>
      </c>
      <c r="C95" s="161" t="s">
        <v>91</v>
      </c>
      <c r="D95" s="161"/>
      <c r="E95" s="161"/>
      <c r="F95" s="162"/>
      <c r="G95" s="162"/>
      <c r="H95" s="162"/>
      <c r="I95" s="160" t="s">
        <v>587</v>
      </c>
      <c r="J95" s="163">
        <v>2.04</v>
      </c>
      <c r="K95" s="163"/>
      <c r="L95" s="163"/>
      <c r="M95" s="164">
        <v>20</v>
      </c>
      <c r="N95" s="164"/>
      <c r="O95" s="164"/>
      <c r="P95" s="159" t="s">
        <v>588</v>
      </c>
      <c r="Q95" s="159" t="s">
        <v>333</v>
      </c>
      <c r="R95" s="159" t="s">
        <v>589</v>
      </c>
      <c r="S95" s="165">
        <v>1.7631959709083801E-2</v>
      </c>
      <c r="T95" s="166" t="s">
        <v>372</v>
      </c>
      <c r="U95" s="166"/>
      <c r="V95" s="166"/>
      <c r="W95" s="167">
        <f>IF(BetTable[Sport]="","",BetTable[Stake]+BetTable[S2]+BetTable[S3])</f>
        <v>20</v>
      </c>
      <c r="X95" s="164">
        <f>IF(BetTable[Odds]="","",(BetTable[WBA1-Commission])-BetTable[TS])</f>
        <v>20.799999999999997</v>
      </c>
      <c r="Y95" s="168">
        <f>IF(BetTable[Outcome]="","",BetTable[WBA1]+BetTable[WBA2]+BetTable[WBA3]-BetTable[TS])</f>
        <v>20.799999999999997</v>
      </c>
      <c r="Z95" s="164">
        <f>(((BetTable[Odds]-1)*BetTable[Stake])*(1-(BetTable[Comm %]))+BetTable[Stake])</f>
        <v>40.799999999999997</v>
      </c>
      <c r="AA95" s="164">
        <f>(((BetTable[O2]-1)*BetTable[S2])*(1-(BetTable[C% 2]))+BetTable[S2])</f>
        <v>0</v>
      </c>
      <c r="AB95" s="164">
        <f>(((BetTable[O3]-1)*BetTable[S3])*(1-(BetTable[C% 3]))+BetTable[S3])</f>
        <v>0</v>
      </c>
      <c r="AC95" s="165">
        <f>IFERROR(IF(BetTable[Sport]="","",BetTable[R1]/BetTable[TS]),"")</f>
        <v>1.0399999999999998</v>
      </c>
      <c r="AD95" s="165" t="str">
        <f>IF(BetTable[O2]="","",#REF!/BetTable[TS])</f>
        <v/>
      </c>
      <c r="AE95" s="165" t="str">
        <f>IFERROR(IF(BetTable[Sport]="","",#REF!/BetTable[TS]),"")</f>
        <v/>
      </c>
      <c r="AF95" s="164">
        <f>IF(BetTable[Outcome]="Win",BetTable[WBA1-Commission],IF(BetTable[Outcome]="Win Half Stake",(BetTable[Stake]/2)+BetTable[WBA1-Commission]/2,IF(BetTable[Outcome]="Lose Half Stake",BetTable[Stake]/2,IF(BetTable[Outcome]="Lose",0,IF(BetTable[Outcome]="Void",BetTable[Stake],)))))</f>
        <v>40.799999999999997</v>
      </c>
      <c r="AG95" s="164">
        <f>IF(BetTable[Outcome2]="Win",BetTable[WBA2-Commission],IF(BetTable[Outcome2]="Win Half Stake",(BetTable[S2]/2)+BetTable[WBA2-Commission]/2,IF(BetTable[Outcome2]="Lose Half Stake",BetTable[S2]/2,IF(BetTable[Outcome2]="Lose",0,IF(BetTable[Outcome2]="Void",BetTable[S2],)))))</f>
        <v>0</v>
      </c>
      <c r="AH95" s="164">
        <f>IF(BetTable[Outcome3]="Win",BetTable[WBA3-Commission],IF(BetTable[Outcome3]="Win Half Stake",(BetTable[S3]/2)+BetTable[WBA3-Commission]/2,IF(BetTable[Outcome3]="Lose Half Stake",BetTable[S3]/2,IF(BetTable[Outcome3]="Lose",0,IF(BetTable[Outcome3]="Void",BetTable[S3],)))))</f>
        <v>0</v>
      </c>
      <c r="AI95" s="168">
        <f>IF(BetTable[Outcome]="",AI94,BetTable[Result]+AI94)</f>
        <v>273.04325000000006</v>
      </c>
      <c r="AJ95" s="160"/>
    </row>
    <row r="96" spans="1:36" x14ac:dyDescent="0.2">
      <c r="A96" s="159" t="s">
        <v>562</v>
      </c>
      <c r="B96" s="160" t="s">
        <v>8</v>
      </c>
      <c r="C96" s="161" t="s">
        <v>91</v>
      </c>
      <c r="D96" s="161"/>
      <c r="E96" s="161"/>
      <c r="F96" s="162"/>
      <c r="G96" s="162"/>
      <c r="H96" s="162"/>
      <c r="I96" s="160" t="s">
        <v>590</v>
      </c>
      <c r="J96" s="163">
        <v>2.33</v>
      </c>
      <c r="K96" s="163"/>
      <c r="L96" s="163"/>
      <c r="M96" s="164">
        <v>16</v>
      </c>
      <c r="N96" s="164"/>
      <c r="O96" s="164"/>
      <c r="P96" s="159" t="s">
        <v>428</v>
      </c>
      <c r="Q96" s="159" t="s">
        <v>443</v>
      </c>
      <c r="R96" s="159" t="s">
        <v>591</v>
      </c>
      <c r="S96" s="165">
        <v>1.82731824697186E-2</v>
      </c>
      <c r="T96" s="166" t="s">
        <v>382</v>
      </c>
      <c r="U96" s="166"/>
      <c r="V96" s="166"/>
      <c r="W96" s="167">
        <f>IF(BetTable[Sport]="","",BetTable[Stake]+BetTable[S2]+BetTable[S3])</f>
        <v>16</v>
      </c>
      <c r="X96" s="164">
        <f>IF(BetTable[Odds]="","",(BetTable[WBA1-Commission])-BetTable[TS])</f>
        <v>21.28</v>
      </c>
      <c r="Y96" s="168">
        <f>IF(BetTable[Outcome]="","",BetTable[WBA1]+BetTable[WBA2]+BetTable[WBA3]-BetTable[TS])</f>
        <v>-16</v>
      </c>
      <c r="Z96" s="164">
        <f>(((BetTable[Odds]-1)*BetTable[Stake])*(1-(BetTable[Comm %]))+BetTable[Stake])</f>
        <v>37.28</v>
      </c>
      <c r="AA96" s="164">
        <f>(((BetTable[O2]-1)*BetTable[S2])*(1-(BetTable[C% 2]))+BetTable[S2])</f>
        <v>0</v>
      </c>
      <c r="AB96" s="164">
        <f>(((BetTable[O3]-1)*BetTable[S3])*(1-(BetTable[C% 3]))+BetTable[S3])</f>
        <v>0</v>
      </c>
      <c r="AC96" s="165">
        <f>IFERROR(IF(BetTable[Sport]="","",BetTable[R1]/BetTable[TS]),"")</f>
        <v>1.33</v>
      </c>
      <c r="AD96" s="165" t="str">
        <f>IF(BetTable[O2]="","",#REF!/BetTable[TS])</f>
        <v/>
      </c>
      <c r="AE96" s="165" t="str">
        <f>IFERROR(IF(BetTable[Sport]="","",#REF!/BetTable[TS]),"")</f>
        <v/>
      </c>
      <c r="AF96" s="164">
        <f>IF(BetTable[Outcome]="Win",BetTable[WBA1-Commission],IF(BetTable[Outcome]="Win Half Stake",(BetTable[Stake]/2)+BetTable[WBA1-Commission]/2,IF(BetTable[Outcome]="Lose Half Stake",BetTable[Stake]/2,IF(BetTable[Outcome]="Lose",0,IF(BetTable[Outcome]="Void",BetTable[Stake],)))))</f>
        <v>0</v>
      </c>
      <c r="AG96" s="164">
        <f>IF(BetTable[Outcome2]="Win",BetTable[WBA2-Commission],IF(BetTable[Outcome2]="Win Half Stake",(BetTable[S2]/2)+BetTable[WBA2-Commission]/2,IF(BetTable[Outcome2]="Lose Half Stake",BetTable[S2]/2,IF(BetTable[Outcome2]="Lose",0,IF(BetTable[Outcome2]="Void",BetTable[S2],)))))</f>
        <v>0</v>
      </c>
      <c r="AH96" s="164">
        <f>IF(BetTable[Outcome3]="Win",BetTable[WBA3-Commission],IF(BetTable[Outcome3]="Win Half Stake",(BetTable[S3]/2)+BetTable[WBA3-Commission]/2,IF(BetTable[Outcome3]="Lose Half Stake",BetTable[S3]/2,IF(BetTable[Outcome3]="Lose",0,IF(BetTable[Outcome3]="Void",BetTable[S3],)))))</f>
        <v>0</v>
      </c>
      <c r="AI96" s="168">
        <f>IF(BetTable[Outcome]="",AI95,BetTable[Result]+AI95)</f>
        <v>257.04325000000006</v>
      </c>
      <c r="AJ96" s="160"/>
    </row>
    <row r="97" spans="1:36" x14ac:dyDescent="0.2">
      <c r="A97" s="159" t="s">
        <v>562</v>
      </c>
      <c r="B97" s="160" t="s">
        <v>7</v>
      </c>
      <c r="C97" s="161" t="s">
        <v>91</v>
      </c>
      <c r="D97" s="161"/>
      <c r="E97" s="161"/>
      <c r="F97" s="162"/>
      <c r="G97" s="162"/>
      <c r="H97" s="162"/>
      <c r="I97" s="160" t="s">
        <v>550</v>
      </c>
      <c r="J97" s="163">
        <v>1.86</v>
      </c>
      <c r="K97" s="163"/>
      <c r="L97" s="163"/>
      <c r="M97" s="164">
        <v>24</v>
      </c>
      <c r="N97" s="164"/>
      <c r="O97" s="164"/>
      <c r="P97" s="159" t="s">
        <v>592</v>
      </c>
      <c r="Q97" s="159" t="s">
        <v>552</v>
      </c>
      <c r="R97" s="159" t="s">
        <v>593</v>
      </c>
      <c r="S97" s="165">
        <v>1.7221527622331999E-2</v>
      </c>
      <c r="T97" s="166" t="s">
        <v>383</v>
      </c>
      <c r="U97" s="166"/>
      <c r="V97" s="166"/>
      <c r="W97" s="167">
        <f>IF(BetTable[Sport]="","",BetTable[Stake]+BetTable[S2]+BetTable[S3])</f>
        <v>24</v>
      </c>
      <c r="X97" s="164">
        <f>IF(BetTable[Odds]="","",(BetTable[WBA1-Commission])-BetTable[TS])</f>
        <v>20.64</v>
      </c>
      <c r="Y97" s="168">
        <f>IF(BetTable[Outcome]="","",BetTable[WBA1]+BetTable[WBA2]+BetTable[WBA3]-BetTable[TS])</f>
        <v>0</v>
      </c>
      <c r="Z97" s="164">
        <f>(((BetTable[Odds]-1)*BetTable[Stake])*(1-(BetTable[Comm %]))+BetTable[Stake])</f>
        <v>44.64</v>
      </c>
      <c r="AA97" s="164">
        <f>(((BetTable[O2]-1)*BetTable[S2])*(1-(BetTable[C% 2]))+BetTable[S2])</f>
        <v>0</v>
      </c>
      <c r="AB97" s="164">
        <f>(((BetTable[O3]-1)*BetTable[S3])*(1-(BetTable[C% 3]))+BetTable[S3])</f>
        <v>0</v>
      </c>
      <c r="AC97" s="165">
        <f>IFERROR(IF(BetTable[Sport]="","",BetTable[R1]/BetTable[TS]),"")</f>
        <v>0.86</v>
      </c>
      <c r="AD97" s="165" t="str">
        <f>IF(BetTable[O2]="","",#REF!/BetTable[TS])</f>
        <v/>
      </c>
      <c r="AE97" s="165" t="str">
        <f>IFERROR(IF(BetTable[Sport]="","",#REF!/BetTable[TS]),"")</f>
        <v/>
      </c>
      <c r="AF97" s="164">
        <f>IF(BetTable[Outcome]="Win",BetTable[WBA1-Commission],IF(BetTable[Outcome]="Win Half Stake",(BetTable[Stake]/2)+BetTable[WBA1-Commission]/2,IF(BetTable[Outcome]="Lose Half Stake",BetTable[Stake]/2,IF(BetTable[Outcome]="Lose",0,IF(BetTable[Outcome]="Void",BetTable[Stake],)))))</f>
        <v>24</v>
      </c>
      <c r="AG97" s="164">
        <f>IF(BetTable[Outcome2]="Win",BetTable[WBA2-Commission],IF(BetTable[Outcome2]="Win Half Stake",(BetTable[S2]/2)+BetTable[WBA2-Commission]/2,IF(BetTable[Outcome2]="Lose Half Stake",BetTable[S2]/2,IF(BetTable[Outcome2]="Lose",0,IF(BetTable[Outcome2]="Void",BetTable[S2],)))))</f>
        <v>0</v>
      </c>
      <c r="AH97" s="164">
        <f>IF(BetTable[Outcome3]="Win",BetTable[WBA3-Commission],IF(BetTable[Outcome3]="Win Half Stake",(BetTable[S3]/2)+BetTable[WBA3-Commission]/2,IF(BetTable[Outcome3]="Lose Half Stake",BetTable[S3]/2,IF(BetTable[Outcome3]="Lose",0,IF(BetTable[Outcome3]="Void",BetTable[S3],)))))</f>
        <v>0</v>
      </c>
      <c r="AI97" s="168">
        <f>IF(BetTable[Outcome]="",AI96,BetTable[Result]+AI96)</f>
        <v>257.04325000000006</v>
      </c>
      <c r="AJ97" s="160"/>
    </row>
    <row r="98" spans="1:36" x14ac:dyDescent="0.2">
      <c r="A98" s="159" t="s">
        <v>562</v>
      </c>
      <c r="B98" s="160" t="s">
        <v>200</v>
      </c>
      <c r="C98" s="161" t="s">
        <v>91</v>
      </c>
      <c r="D98" s="161"/>
      <c r="E98" s="161"/>
      <c r="F98" s="162"/>
      <c r="G98" s="162"/>
      <c r="H98" s="162"/>
      <c r="I98" s="160" t="s">
        <v>594</v>
      </c>
      <c r="J98" s="163">
        <v>1.88</v>
      </c>
      <c r="K98" s="163"/>
      <c r="L98" s="163"/>
      <c r="M98" s="164">
        <v>30</v>
      </c>
      <c r="N98" s="164"/>
      <c r="O98" s="164"/>
      <c r="P98" s="159" t="s">
        <v>348</v>
      </c>
      <c r="Q98" s="159" t="s">
        <v>506</v>
      </c>
      <c r="R98" s="159" t="s">
        <v>595</v>
      </c>
      <c r="S98" s="165">
        <v>2.2221667913860401E-2</v>
      </c>
      <c r="T98" s="166" t="s">
        <v>383</v>
      </c>
      <c r="U98" s="166"/>
      <c r="V98" s="166"/>
      <c r="W98" s="167">
        <f>IF(BetTable[Sport]="","",BetTable[Stake]+BetTable[S2]+BetTable[S3])</f>
        <v>30</v>
      </c>
      <c r="X98" s="164">
        <f>IF(BetTable[Odds]="","",(BetTable[WBA1-Commission])-BetTable[TS])</f>
        <v>26.4</v>
      </c>
      <c r="Y98" s="168">
        <f>IF(BetTable[Outcome]="","",BetTable[WBA1]+BetTable[WBA2]+BetTable[WBA3]-BetTable[TS])</f>
        <v>0</v>
      </c>
      <c r="Z98" s="164">
        <f>(((BetTable[Odds]-1)*BetTable[Stake])*(1-(BetTable[Comm %]))+BetTable[Stake])</f>
        <v>56.4</v>
      </c>
      <c r="AA98" s="164">
        <f>(((BetTable[O2]-1)*BetTable[S2])*(1-(BetTable[C% 2]))+BetTable[S2])</f>
        <v>0</v>
      </c>
      <c r="AB98" s="164">
        <f>(((BetTable[O3]-1)*BetTable[S3])*(1-(BetTable[C% 3]))+BetTable[S3])</f>
        <v>0</v>
      </c>
      <c r="AC98" s="165">
        <f>IFERROR(IF(BetTable[Sport]="","",BetTable[R1]/BetTable[TS]),"")</f>
        <v>0.88</v>
      </c>
      <c r="AD98" s="165" t="str">
        <f>IF(BetTable[O2]="","",#REF!/BetTable[TS])</f>
        <v/>
      </c>
      <c r="AE98" s="165" t="str">
        <f>IFERROR(IF(BetTable[Sport]="","",#REF!/BetTable[TS]),"")</f>
        <v/>
      </c>
      <c r="AF98" s="164">
        <f>IF(BetTable[Outcome]="Win",BetTable[WBA1-Commission],IF(BetTable[Outcome]="Win Half Stake",(BetTable[Stake]/2)+BetTable[WBA1-Commission]/2,IF(BetTable[Outcome]="Lose Half Stake",BetTable[Stake]/2,IF(BetTable[Outcome]="Lose",0,IF(BetTable[Outcome]="Void",BetTable[Stake],)))))</f>
        <v>30</v>
      </c>
      <c r="AG98" s="164">
        <f>IF(BetTable[Outcome2]="Win",BetTable[WBA2-Commission],IF(BetTable[Outcome2]="Win Half Stake",(BetTable[S2]/2)+BetTable[WBA2-Commission]/2,IF(BetTable[Outcome2]="Lose Half Stake",BetTable[S2]/2,IF(BetTable[Outcome2]="Lose",0,IF(BetTable[Outcome2]="Void",BetTable[S2],)))))</f>
        <v>0</v>
      </c>
      <c r="AH98" s="164">
        <f>IF(BetTable[Outcome3]="Win",BetTable[WBA3-Commission],IF(BetTable[Outcome3]="Win Half Stake",(BetTable[S3]/2)+BetTable[WBA3-Commission]/2,IF(BetTable[Outcome3]="Lose Half Stake",BetTable[S3]/2,IF(BetTable[Outcome3]="Lose",0,IF(BetTable[Outcome3]="Void",BetTable[S3],)))))</f>
        <v>0</v>
      </c>
      <c r="AI98" s="168">
        <f>IF(BetTable[Outcome]="",AI97,BetTable[Result]+AI97)</f>
        <v>257.04325000000006</v>
      </c>
      <c r="AJ98" s="160"/>
    </row>
    <row r="99" spans="1:36" x14ac:dyDescent="0.2">
      <c r="A99" s="159" t="s">
        <v>562</v>
      </c>
      <c r="B99" s="160" t="s">
        <v>200</v>
      </c>
      <c r="C99" s="161" t="s">
        <v>234</v>
      </c>
      <c r="D99" s="161"/>
      <c r="E99" s="161"/>
      <c r="F99" s="162"/>
      <c r="G99" s="162"/>
      <c r="H99" s="162"/>
      <c r="I99" s="160" t="s">
        <v>596</v>
      </c>
      <c r="J99" s="163">
        <v>1.68</v>
      </c>
      <c r="K99" s="163"/>
      <c r="L99" s="163"/>
      <c r="M99" s="164">
        <v>30</v>
      </c>
      <c r="N99" s="164"/>
      <c r="O99" s="164"/>
      <c r="P99" s="159" t="s">
        <v>498</v>
      </c>
      <c r="Q99" s="159" t="s">
        <v>506</v>
      </c>
      <c r="R99" s="159" t="s">
        <v>597</v>
      </c>
      <c r="S99" s="165">
        <v>1.7102970056311301E-2</v>
      </c>
      <c r="T99" s="166" t="s">
        <v>372</v>
      </c>
      <c r="U99" s="166"/>
      <c r="V99" s="166"/>
      <c r="W99" s="167">
        <f>IF(BetTable[Sport]="","",BetTable[Stake]+BetTable[S2]+BetTable[S3])</f>
        <v>30</v>
      </c>
      <c r="X99" s="164">
        <f>IF(BetTable[Odds]="","",(BetTable[WBA1-Commission])-BetTable[TS])</f>
        <v>20.399999999999999</v>
      </c>
      <c r="Y99" s="168">
        <f>IF(BetTable[Outcome]="","",BetTable[WBA1]+BetTable[WBA2]+BetTable[WBA3]-BetTable[TS])</f>
        <v>20.399999999999999</v>
      </c>
      <c r="Z99" s="164">
        <f>(((BetTable[Odds]-1)*BetTable[Stake])*(1-(BetTable[Comm %]))+BetTable[Stake])</f>
        <v>50.4</v>
      </c>
      <c r="AA99" s="164">
        <f>(((BetTable[O2]-1)*BetTable[S2])*(1-(BetTable[C% 2]))+BetTable[S2])</f>
        <v>0</v>
      </c>
      <c r="AB99" s="164">
        <f>(((BetTable[O3]-1)*BetTable[S3])*(1-(BetTable[C% 3]))+BetTable[S3])</f>
        <v>0</v>
      </c>
      <c r="AC99" s="165">
        <f>IFERROR(IF(BetTable[Sport]="","",BetTable[R1]/BetTable[TS]),"")</f>
        <v>0.67999999999999994</v>
      </c>
      <c r="AD99" s="165" t="str">
        <f>IF(BetTable[O2]="","",#REF!/BetTable[TS])</f>
        <v/>
      </c>
      <c r="AE99" s="165" t="str">
        <f>IFERROR(IF(BetTable[Sport]="","",#REF!/BetTable[TS]),"")</f>
        <v/>
      </c>
      <c r="AF99" s="164">
        <f>IF(BetTable[Outcome]="Win",BetTable[WBA1-Commission],IF(BetTable[Outcome]="Win Half Stake",(BetTable[Stake]/2)+BetTable[WBA1-Commission]/2,IF(BetTable[Outcome]="Lose Half Stake",BetTable[Stake]/2,IF(BetTable[Outcome]="Lose",0,IF(BetTable[Outcome]="Void",BetTable[Stake],)))))</f>
        <v>50.4</v>
      </c>
      <c r="AG99" s="164">
        <f>IF(BetTable[Outcome2]="Win",BetTable[WBA2-Commission],IF(BetTable[Outcome2]="Win Half Stake",(BetTable[S2]/2)+BetTable[WBA2-Commission]/2,IF(BetTable[Outcome2]="Lose Half Stake",BetTable[S2]/2,IF(BetTable[Outcome2]="Lose",0,IF(BetTable[Outcome2]="Void",BetTable[S2],)))))</f>
        <v>0</v>
      </c>
      <c r="AH99" s="164">
        <f>IF(BetTable[Outcome3]="Win",BetTable[WBA3-Commission],IF(BetTable[Outcome3]="Win Half Stake",(BetTable[S3]/2)+BetTable[WBA3-Commission]/2,IF(BetTable[Outcome3]="Lose Half Stake",BetTable[S3]/2,IF(BetTable[Outcome3]="Lose",0,IF(BetTable[Outcome3]="Void",BetTable[S3],)))))</f>
        <v>0</v>
      </c>
      <c r="AI99" s="168">
        <f>IF(BetTable[Outcome]="",AI98,BetTable[Result]+AI98)</f>
        <v>277.44325000000003</v>
      </c>
      <c r="AJ99" s="160"/>
    </row>
    <row r="100" spans="1:36" x14ac:dyDescent="0.2">
      <c r="A100" s="159" t="s">
        <v>562</v>
      </c>
      <c r="B100" s="160" t="s">
        <v>200</v>
      </c>
      <c r="C100" s="161" t="s">
        <v>234</v>
      </c>
      <c r="D100" s="161"/>
      <c r="E100" s="161"/>
      <c r="F100" s="162"/>
      <c r="G100" s="162"/>
      <c r="H100" s="162"/>
      <c r="I100" s="160" t="s">
        <v>598</v>
      </c>
      <c r="J100" s="163">
        <v>1.89</v>
      </c>
      <c r="K100" s="163"/>
      <c r="L100" s="163"/>
      <c r="M100" s="164">
        <v>21</v>
      </c>
      <c r="N100" s="164"/>
      <c r="O100" s="164"/>
      <c r="P100" s="159" t="s">
        <v>348</v>
      </c>
      <c r="Q100" s="159" t="s">
        <v>488</v>
      </c>
      <c r="R100" s="159" t="s">
        <v>599</v>
      </c>
      <c r="S100" s="165">
        <v>1.53369010725033E-2</v>
      </c>
      <c r="T100" s="166" t="s">
        <v>372</v>
      </c>
      <c r="U100" s="166"/>
      <c r="V100" s="166"/>
      <c r="W100" s="167">
        <f>IF(BetTable[Sport]="","",BetTable[Stake]+BetTable[S2]+BetTable[S3])</f>
        <v>21</v>
      </c>
      <c r="X100" s="164">
        <f>IF(BetTable[Odds]="","",(BetTable[WBA1-Commission])-BetTable[TS])</f>
        <v>18.689999999999998</v>
      </c>
      <c r="Y100" s="168">
        <f>IF(BetTable[Outcome]="","",BetTable[WBA1]+BetTable[WBA2]+BetTable[WBA3]-BetTable[TS])</f>
        <v>18.689999999999998</v>
      </c>
      <c r="Z100" s="164">
        <f>(((BetTable[Odds]-1)*BetTable[Stake])*(1-(BetTable[Comm %]))+BetTable[Stake])</f>
        <v>39.69</v>
      </c>
      <c r="AA100" s="164">
        <f>(((BetTable[O2]-1)*BetTable[S2])*(1-(BetTable[C% 2]))+BetTable[S2])</f>
        <v>0</v>
      </c>
      <c r="AB100" s="164">
        <f>(((BetTable[O3]-1)*BetTable[S3])*(1-(BetTable[C% 3]))+BetTable[S3])</f>
        <v>0</v>
      </c>
      <c r="AC100" s="165">
        <f>IFERROR(IF(BetTable[Sport]="","",BetTable[R1]/BetTable[TS]),"")</f>
        <v>0.8899999999999999</v>
      </c>
      <c r="AD100" s="165" t="str">
        <f>IF(BetTable[O2]="","",#REF!/BetTable[TS])</f>
        <v/>
      </c>
      <c r="AE100" s="165" t="str">
        <f>IFERROR(IF(BetTable[Sport]="","",#REF!/BetTable[TS]),"")</f>
        <v/>
      </c>
      <c r="AF100" s="164">
        <f>IF(BetTable[Outcome]="Win",BetTable[WBA1-Commission],IF(BetTable[Outcome]="Win Half Stake",(BetTable[Stake]/2)+BetTable[WBA1-Commission]/2,IF(BetTable[Outcome]="Lose Half Stake",BetTable[Stake]/2,IF(BetTable[Outcome]="Lose",0,IF(BetTable[Outcome]="Void",BetTable[Stake],)))))</f>
        <v>39.69</v>
      </c>
      <c r="AG100" s="164">
        <f>IF(BetTable[Outcome2]="Win",BetTable[WBA2-Commission],IF(BetTable[Outcome2]="Win Half Stake",(BetTable[S2]/2)+BetTable[WBA2-Commission]/2,IF(BetTable[Outcome2]="Lose Half Stake",BetTable[S2]/2,IF(BetTable[Outcome2]="Lose",0,IF(BetTable[Outcome2]="Void",BetTable[S2],)))))</f>
        <v>0</v>
      </c>
      <c r="AH100" s="164">
        <f>IF(BetTable[Outcome3]="Win",BetTable[WBA3-Commission],IF(BetTable[Outcome3]="Win Half Stake",(BetTable[S3]/2)+BetTable[WBA3-Commission]/2,IF(BetTable[Outcome3]="Lose Half Stake",BetTable[S3]/2,IF(BetTable[Outcome3]="Lose",0,IF(BetTable[Outcome3]="Void",BetTable[S3],)))))</f>
        <v>0</v>
      </c>
      <c r="AI100" s="168">
        <f>IF(BetTable[Outcome]="",AI99,BetTable[Result]+AI99)</f>
        <v>296.13325000000003</v>
      </c>
      <c r="AJ100" s="160"/>
    </row>
    <row r="101" spans="1:36" x14ac:dyDescent="0.2">
      <c r="A101" s="159" t="s">
        <v>562</v>
      </c>
      <c r="B101" s="160" t="s">
        <v>200</v>
      </c>
      <c r="C101" s="161" t="s">
        <v>91</v>
      </c>
      <c r="D101" s="161"/>
      <c r="E101" s="161"/>
      <c r="F101" s="162"/>
      <c r="G101" s="162"/>
      <c r="H101" s="162"/>
      <c r="I101" s="160" t="s">
        <v>600</v>
      </c>
      <c r="J101" s="163">
        <v>1.73</v>
      </c>
      <c r="K101" s="163"/>
      <c r="L101" s="163"/>
      <c r="M101" s="164">
        <v>29</v>
      </c>
      <c r="N101" s="164"/>
      <c r="O101" s="164"/>
      <c r="P101" s="159" t="s">
        <v>348</v>
      </c>
      <c r="Q101" s="159" t="s">
        <v>488</v>
      </c>
      <c r="R101" s="159" t="s">
        <v>601</v>
      </c>
      <c r="S101" s="165">
        <v>1.7649100410567199E-2</v>
      </c>
      <c r="T101" s="166" t="s">
        <v>372</v>
      </c>
      <c r="U101" s="166"/>
      <c r="V101" s="166"/>
      <c r="W101" s="167">
        <f>IF(BetTable[Sport]="","",BetTable[Stake]+BetTable[S2]+BetTable[S3])</f>
        <v>29</v>
      </c>
      <c r="X101" s="164">
        <f>IF(BetTable[Odds]="","",(BetTable[WBA1-Commission])-BetTable[TS])</f>
        <v>21.17</v>
      </c>
      <c r="Y101" s="168">
        <f>IF(BetTable[Outcome]="","",BetTable[WBA1]+BetTable[WBA2]+BetTable[WBA3]-BetTable[TS])</f>
        <v>21.17</v>
      </c>
      <c r="Z101" s="164">
        <f>(((BetTable[Odds]-1)*BetTable[Stake])*(1-(BetTable[Comm %]))+BetTable[Stake])</f>
        <v>50.17</v>
      </c>
      <c r="AA101" s="164">
        <f>(((BetTable[O2]-1)*BetTable[S2])*(1-(BetTable[C% 2]))+BetTable[S2])</f>
        <v>0</v>
      </c>
      <c r="AB101" s="164">
        <f>(((BetTable[O3]-1)*BetTable[S3])*(1-(BetTable[C% 3]))+BetTable[S3])</f>
        <v>0</v>
      </c>
      <c r="AC101" s="165">
        <f>IFERROR(IF(BetTable[Sport]="","",BetTable[R1]/BetTable[TS]),"")</f>
        <v>0.73000000000000009</v>
      </c>
      <c r="AD101" s="165" t="str">
        <f>IF(BetTable[O2]="","",#REF!/BetTable[TS])</f>
        <v/>
      </c>
      <c r="AE101" s="165" t="str">
        <f>IFERROR(IF(BetTable[Sport]="","",#REF!/BetTable[TS]),"")</f>
        <v/>
      </c>
      <c r="AF101" s="164">
        <f>IF(BetTable[Outcome]="Win",BetTable[WBA1-Commission],IF(BetTable[Outcome]="Win Half Stake",(BetTable[Stake]/2)+BetTable[WBA1-Commission]/2,IF(BetTable[Outcome]="Lose Half Stake",BetTable[Stake]/2,IF(BetTable[Outcome]="Lose",0,IF(BetTable[Outcome]="Void",BetTable[Stake],)))))</f>
        <v>50.17</v>
      </c>
      <c r="AG101" s="164">
        <f>IF(BetTable[Outcome2]="Win",BetTable[WBA2-Commission],IF(BetTable[Outcome2]="Win Half Stake",(BetTable[S2]/2)+BetTable[WBA2-Commission]/2,IF(BetTable[Outcome2]="Lose Half Stake",BetTable[S2]/2,IF(BetTable[Outcome2]="Lose",0,IF(BetTable[Outcome2]="Void",BetTable[S2],)))))</f>
        <v>0</v>
      </c>
      <c r="AH101" s="164">
        <f>IF(BetTable[Outcome3]="Win",BetTable[WBA3-Commission],IF(BetTable[Outcome3]="Win Half Stake",(BetTable[S3]/2)+BetTable[WBA3-Commission]/2,IF(BetTable[Outcome3]="Lose Half Stake",BetTable[S3]/2,IF(BetTable[Outcome3]="Lose",0,IF(BetTable[Outcome3]="Void",BetTable[S3],)))))</f>
        <v>0</v>
      </c>
      <c r="AI101" s="168">
        <f>IF(BetTable[Outcome]="",AI100,BetTable[Result]+AI100)</f>
        <v>317.30325000000005</v>
      </c>
      <c r="AJ101" s="160"/>
    </row>
    <row r="102" spans="1:36" x14ac:dyDescent="0.2">
      <c r="A102" s="159" t="s">
        <v>562</v>
      </c>
      <c r="B102" s="160" t="s">
        <v>7</v>
      </c>
      <c r="C102" s="161" t="s">
        <v>91</v>
      </c>
      <c r="D102" s="161"/>
      <c r="E102" s="161"/>
      <c r="F102" s="162"/>
      <c r="G102" s="162"/>
      <c r="H102" s="162"/>
      <c r="I102" s="160" t="s">
        <v>550</v>
      </c>
      <c r="J102" s="163">
        <v>1.98</v>
      </c>
      <c r="K102" s="163"/>
      <c r="L102" s="163"/>
      <c r="M102" s="164">
        <v>50</v>
      </c>
      <c r="N102" s="164"/>
      <c r="O102" s="164"/>
      <c r="P102" s="159" t="s">
        <v>602</v>
      </c>
      <c r="Q102" s="159" t="s">
        <v>552</v>
      </c>
      <c r="R102" s="159" t="s">
        <v>603</v>
      </c>
      <c r="S102" s="165">
        <v>4.1083987178709702E-2</v>
      </c>
      <c r="T102" s="166" t="s">
        <v>382</v>
      </c>
      <c r="U102" s="166"/>
      <c r="V102" s="166"/>
      <c r="W102" s="167">
        <f>IF(BetTable[Sport]="","",BetTable[Stake]+BetTable[S2]+BetTable[S3])</f>
        <v>50</v>
      </c>
      <c r="X102" s="164">
        <f>IF(BetTable[Odds]="","",(BetTable[WBA1-Commission])-BetTable[TS])</f>
        <v>49</v>
      </c>
      <c r="Y102" s="168">
        <f>IF(BetTable[Outcome]="","",BetTable[WBA1]+BetTable[WBA2]+BetTable[WBA3]-BetTable[TS])</f>
        <v>-50</v>
      </c>
      <c r="Z102" s="164">
        <f>(((BetTable[Odds]-1)*BetTable[Stake])*(1-(BetTable[Comm %]))+BetTable[Stake])</f>
        <v>99</v>
      </c>
      <c r="AA102" s="164">
        <f>(((BetTable[O2]-1)*BetTable[S2])*(1-(BetTable[C% 2]))+BetTable[S2])</f>
        <v>0</v>
      </c>
      <c r="AB102" s="164">
        <f>(((BetTable[O3]-1)*BetTable[S3])*(1-(BetTable[C% 3]))+BetTable[S3])</f>
        <v>0</v>
      </c>
      <c r="AC102" s="165">
        <f>IFERROR(IF(BetTable[Sport]="","",BetTable[R1]/BetTable[TS]),"")</f>
        <v>0.98</v>
      </c>
      <c r="AD102" s="165" t="str">
        <f>IF(BetTable[O2]="","",#REF!/BetTable[TS])</f>
        <v/>
      </c>
      <c r="AE102" s="165" t="str">
        <f>IFERROR(IF(BetTable[Sport]="","",#REF!/BetTable[TS]),"")</f>
        <v/>
      </c>
      <c r="AF102" s="164">
        <f>IF(BetTable[Outcome]="Win",BetTable[WBA1-Commission],IF(BetTable[Outcome]="Win Half Stake",(BetTable[Stake]/2)+BetTable[WBA1-Commission]/2,IF(BetTable[Outcome]="Lose Half Stake",BetTable[Stake]/2,IF(BetTable[Outcome]="Lose",0,IF(BetTable[Outcome]="Void",BetTable[Stake],)))))</f>
        <v>0</v>
      </c>
      <c r="AG102" s="164">
        <f>IF(BetTable[Outcome2]="Win",BetTable[WBA2-Commission],IF(BetTable[Outcome2]="Win Half Stake",(BetTable[S2]/2)+BetTable[WBA2-Commission]/2,IF(BetTable[Outcome2]="Lose Half Stake",BetTable[S2]/2,IF(BetTable[Outcome2]="Lose",0,IF(BetTable[Outcome2]="Void",BetTable[S2],)))))</f>
        <v>0</v>
      </c>
      <c r="AH102" s="164">
        <f>IF(BetTable[Outcome3]="Win",BetTable[WBA3-Commission],IF(BetTable[Outcome3]="Win Half Stake",(BetTable[S3]/2)+BetTable[WBA3-Commission]/2,IF(BetTable[Outcome3]="Lose Half Stake",BetTable[S3]/2,IF(BetTable[Outcome3]="Lose",0,IF(BetTable[Outcome3]="Void",BetTable[S3],)))))</f>
        <v>0</v>
      </c>
      <c r="AI102" s="168">
        <f>IF(BetTable[Outcome]="",AI101,BetTable[Result]+AI101)</f>
        <v>267.30325000000005</v>
      </c>
      <c r="AJ102" s="160"/>
    </row>
    <row r="103" spans="1:36" x14ac:dyDescent="0.2">
      <c r="A103" s="159" t="s">
        <v>562</v>
      </c>
      <c r="B103" s="160" t="s">
        <v>200</v>
      </c>
      <c r="C103" s="161" t="s">
        <v>91</v>
      </c>
      <c r="D103" s="161"/>
      <c r="E103" s="161"/>
      <c r="F103" s="162"/>
      <c r="G103" s="162"/>
      <c r="H103" s="162"/>
      <c r="I103" s="160" t="s">
        <v>604</v>
      </c>
      <c r="J103" s="163">
        <v>1.73</v>
      </c>
      <c r="K103" s="163"/>
      <c r="L103" s="163"/>
      <c r="M103" s="164">
        <v>32</v>
      </c>
      <c r="N103" s="164"/>
      <c r="O103" s="164"/>
      <c r="P103" s="159" t="s">
        <v>469</v>
      </c>
      <c r="Q103" s="159" t="s">
        <v>458</v>
      </c>
      <c r="R103" s="159" t="s">
        <v>605</v>
      </c>
      <c r="S103" s="165">
        <v>1.9263147283234801E-2</v>
      </c>
      <c r="T103" s="166" t="s">
        <v>372</v>
      </c>
      <c r="U103" s="166"/>
      <c r="V103" s="166"/>
      <c r="W103" s="167">
        <f>IF(BetTable[Sport]="","",BetTable[Stake]+BetTable[S2]+BetTable[S3])</f>
        <v>32</v>
      </c>
      <c r="X103" s="164">
        <f>IF(BetTable[Odds]="","",(BetTable[WBA1-Commission])-BetTable[TS])</f>
        <v>23.36</v>
      </c>
      <c r="Y103" s="168">
        <f>IF(BetTable[Outcome]="","",BetTable[WBA1]+BetTable[WBA2]+BetTable[WBA3]-BetTable[TS])</f>
        <v>23.36</v>
      </c>
      <c r="Z103" s="164">
        <f>(((BetTable[Odds]-1)*BetTable[Stake])*(1-(BetTable[Comm %]))+BetTable[Stake])</f>
        <v>55.36</v>
      </c>
      <c r="AA103" s="164">
        <f>(((BetTable[O2]-1)*BetTable[S2])*(1-(BetTable[C% 2]))+BetTable[S2])</f>
        <v>0</v>
      </c>
      <c r="AB103" s="164">
        <f>(((BetTable[O3]-1)*BetTable[S3])*(1-(BetTable[C% 3]))+BetTable[S3])</f>
        <v>0</v>
      </c>
      <c r="AC103" s="165">
        <f>IFERROR(IF(BetTable[Sport]="","",BetTable[R1]/BetTable[TS]),"")</f>
        <v>0.73</v>
      </c>
      <c r="AD103" s="165" t="str">
        <f>IF(BetTable[O2]="","",#REF!/BetTable[TS])</f>
        <v/>
      </c>
      <c r="AE103" s="165" t="str">
        <f>IFERROR(IF(BetTable[Sport]="","",#REF!/BetTable[TS]),"")</f>
        <v/>
      </c>
      <c r="AF103" s="164">
        <f>IF(BetTable[Outcome]="Win",BetTable[WBA1-Commission],IF(BetTable[Outcome]="Win Half Stake",(BetTable[Stake]/2)+BetTable[WBA1-Commission]/2,IF(BetTable[Outcome]="Lose Half Stake",BetTable[Stake]/2,IF(BetTable[Outcome]="Lose",0,IF(BetTable[Outcome]="Void",BetTable[Stake],)))))</f>
        <v>55.36</v>
      </c>
      <c r="AG103" s="164">
        <f>IF(BetTable[Outcome2]="Win",BetTable[WBA2-Commission],IF(BetTable[Outcome2]="Win Half Stake",(BetTable[S2]/2)+BetTable[WBA2-Commission]/2,IF(BetTable[Outcome2]="Lose Half Stake",BetTable[S2]/2,IF(BetTable[Outcome2]="Lose",0,IF(BetTable[Outcome2]="Void",BetTable[S2],)))))</f>
        <v>0</v>
      </c>
      <c r="AH103" s="164">
        <f>IF(BetTable[Outcome3]="Win",BetTable[WBA3-Commission],IF(BetTable[Outcome3]="Win Half Stake",(BetTable[S3]/2)+BetTable[WBA3-Commission]/2,IF(BetTable[Outcome3]="Lose Half Stake",BetTable[S3]/2,IF(BetTable[Outcome3]="Lose",0,IF(BetTable[Outcome3]="Void",BetTable[S3],)))))</f>
        <v>0</v>
      </c>
      <c r="AI103" s="168">
        <f>IF(BetTable[Outcome]="",AI102,BetTable[Result]+AI102)</f>
        <v>290.66325000000006</v>
      </c>
      <c r="AJ103" s="160"/>
    </row>
    <row r="104" spans="1:36" x14ac:dyDescent="0.2">
      <c r="A104" s="159" t="s">
        <v>562</v>
      </c>
      <c r="B104" s="160" t="s">
        <v>200</v>
      </c>
      <c r="C104" s="161" t="s">
        <v>91</v>
      </c>
      <c r="D104" s="161"/>
      <c r="E104" s="161"/>
      <c r="F104" s="162"/>
      <c r="G104" s="162"/>
      <c r="H104" s="162"/>
      <c r="I104" s="160" t="s">
        <v>606</v>
      </c>
      <c r="J104" s="163">
        <v>2.4700000000000002</v>
      </c>
      <c r="K104" s="163"/>
      <c r="L104" s="163"/>
      <c r="M104" s="164">
        <v>12</v>
      </c>
      <c r="N104" s="164"/>
      <c r="O104" s="164"/>
      <c r="P104" s="159" t="s">
        <v>607</v>
      </c>
      <c r="Q104" s="159" t="s">
        <v>547</v>
      </c>
      <c r="R104" s="159" t="s">
        <v>608</v>
      </c>
      <c r="S104" s="165">
        <v>1.44010887831312E-2</v>
      </c>
      <c r="T104" s="166" t="s">
        <v>372</v>
      </c>
      <c r="U104" s="166"/>
      <c r="V104" s="166"/>
      <c r="W104" s="167">
        <f>IF(BetTable[Sport]="","",BetTable[Stake]+BetTable[S2]+BetTable[S3])</f>
        <v>12</v>
      </c>
      <c r="X104" s="164">
        <f>IF(BetTable[Odds]="","",(BetTable[WBA1-Commission])-BetTable[TS])</f>
        <v>17.64</v>
      </c>
      <c r="Y104" s="168">
        <f>IF(BetTable[Outcome]="","",BetTable[WBA1]+BetTable[WBA2]+BetTable[WBA3]-BetTable[TS])</f>
        <v>17.64</v>
      </c>
      <c r="Z104" s="164">
        <f>(((BetTable[Odds]-1)*BetTable[Stake])*(1-(BetTable[Comm %]))+BetTable[Stake])</f>
        <v>29.64</v>
      </c>
      <c r="AA104" s="164">
        <f>(((BetTable[O2]-1)*BetTable[S2])*(1-(BetTable[C% 2]))+BetTable[S2])</f>
        <v>0</v>
      </c>
      <c r="AB104" s="164">
        <f>(((BetTable[O3]-1)*BetTable[S3])*(1-(BetTable[C% 3]))+BetTable[S3])</f>
        <v>0</v>
      </c>
      <c r="AC104" s="165">
        <f>IFERROR(IF(BetTable[Sport]="","",BetTable[R1]/BetTable[TS]),"")</f>
        <v>1.47</v>
      </c>
      <c r="AD104" s="165" t="str">
        <f>IF(BetTable[O2]="","",#REF!/BetTable[TS])</f>
        <v/>
      </c>
      <c r="AE104" s="165" t="str">
        <f>IFERROR(IF(BetTable[Sport]="","",#REF!/BetTable[TS]),"")</f>
        <v/>
      </c>
      <c r="AF104" s="164">
        <f>IF(BetTable[Outcome]="Win",BetTable[WBA1-Commission],IF(BetTable[Outcome]="Win Half Stake",(BetTable[Stake]/2)+BetTable[WBA1-Commission]/2,IF(BetTable[Outcome]="Lose Half Stake",BetTable[Stake]/2,IF(BetTable[Outcome]="Lose",0,IF(BetTable[Outcome]="Void",BetTable[Stake],)))))</f>
        <v>29.64</v>
      </c>
      <c r="AG104" s="164">
        <f>IF(BetTable[Outcome2]="Win",BetTable[WBA2-Commission],IF(BetTable[Outcome2]="Win Half Stake",(BetTable[S2]/2)+BetTable[WBA2-Commission]/2,IF(BetTable[Outcome2]="Lose Half Stake",BetTable[S2]/2,IF(BetTable[Outcome2]="Lose",0,IF(BetTable[Outcome2]="Void",BetTable[S2],)))))</f>
        <v>0</v>
      </c>
      <c r="AH104" s="164">
        <f>IF(BetTable[Outcome3]="Win",BetTable[WBA3-Commission],IF(BetTable[Outcome3]="Win Half Stake",(BetTable[S3]/2)+BetTable[WBA3-Commission]/2,IF(BetTable[Outcome3]="Lose Half Stake",BetTable[S3]/2,IF(BetTable[Outcome3]="Lose",0,IF(BetTable[Outcome3]="Void",BetTable[S3],)))))</f>
        <v>0</v>
      </c>
      <c r="AI104" s="168">
        <f>IF(BetTable[Outcome]="",AI103,BetTable[Result]+AI103)</f>
        <v>308.30325000000005</v>
      </c>
      <c r="AJ104" s="160"/>
    </row>
    <row r="105" spans="1:36" x14ac:dyDescent="0.2">
      <c r="A105" s="159" t="s">
        <v>562</v>
      </c>
      <c r="B105" s="160" t="s">
        <v>200</v>
      </c>
      <c r="C105" s="161" t="s">
        <v>91</v>
      </c>
      <c r="D105" s="161"/>
      <c r="E105" s="161"/>
      <c r="F105" s="162"/>
      <c r="G105" s="162"/>
      <c r="H105" s="162"/>
      <c r="I105" s="160" t="s">
        <v>609</v>
      </c>
      <c r="J105" s="163">
        <v>1.9</v>
      </c>
      <c r="K105" s="163"/>
      <c r="L105" s="163"/>
      <c r="M105" s="164">
        <v>33</v>
      </c>
      <c r="N105" s="164"/>
      <c r="O105" s="164"/>
      <c r="P105" s="159" t="s">
        <v>610</v>
      </c>
      <c r="Q105" s="159" t="s">
        <v>611</v>
      </c>
      <c r="R105" s="159" t="s">
        <v>612</v>
      </c>
      <c r="S105" s="165">
        <v>2.4829662175866098E-2</v>
      </c>
      <c r="T105" s="166" t="s">
        <v>372</v>
      </c>
      <c r="U105" s="166"/>
      <c r="V105" s="166"/>
      <c r="W105" s="167">
        <f>IF(BetTable[Sport]="","",BetTable[Stake]+BetTable[S2]+BetTable[S3])</f>
        <v>33</v>
      </c>
      <c r="X105" s="164">
        <f>IF(BetTable[Odds]="","",(BetTable[WBA1-Commission])-BetTable[TS])</f>
        <v>29.699999999999996</v>
      </c>
      <c r="Y105" s="168">
        <f>IF(BetTable[Outcome]="","",BetTable[WBA1]+BetTable[WBA2]+BetTable[WBA3]-BetTable[TS])</f>
        <v>29.699999999999996</v>
      </c>
      <c r="Z105" s="164">
        <f>(((BetTable[Odds]-1)*BetTable[Stake])*(1-(BetTable[Comm %]))+BetTable[Stake])</f>
        <v>62.699999999999996</v>
      </c>
      <c r="AA105" s="164">
        <f>(((BetTable[O2]-1)*BetTable[S2])*(1-(BetTable[C% 2]))+BetTable[S2])</f>
        <v>0</v>
      </c>
      <c r="AB105" s="164">
        <f>(((BetTable[O3]-1)*BetTable[S3])*(1-(BetTable[C% 3]))+BetTable[S3])</f>
        <v>0</v>
      </c>
      <c r="AC105" s="165">
        <f>IFERROR(IF(BetTable[Sport]="","",BetTable[R1]/BetTable[TS]),"")</f>
        <v>0.89999999999999991</v>
      </c>
      <c r="AD105" s="165" t="str">
        <f>IF(BetTable[O2]="","",#REF!/BetTable[TS])</f>
        <v/>
      </c>
      <c r="AE105" s="165" t="str">
        <f>IFERROR(IF(BetTable[Sport]="","",#REF!/BetTable[TS]),"")</f>
        <v/>
      </c>
      <c r="AF105" s="164">
        <f>IF(BetTable[Outcome]="Win",BetTable[WBA1-Commission],IF(BetTable[Outcome]="Win Half Stake",(BetTable[Stake]/2)+BetTable[WBA1-Commission]/2,IF(BetTable[Outcome]="Lose Half Stake",BetTable[Stake]/2,IF(BetTable[Outcome]="Lose",0,IF(BetTable[Outcome]="Void",BetTable[Stake],)))))</f>
        <v>62.699999999999996</v>
      </c>
      <c r="AG105" s="164">
        <f>IF(BetTable[Outcome2]="Win",BetTable[WBA2-Commission],IF(BetTable[Outcome2]="Win Half Stake",(BetTable[S2]/2)+BetTable[WBA2-Commission]/2,IF(BetTable[Outcome2]="Lose Half Stake",BetTable[S2]/2,IF(BetTable[Outcome2]="Lose",0,IF(BetTable[Outcome2]="Void",BetTable[S2],)))))</f>
        <v>0</v>
      </c>
      <c r="AH105" s="164">
        <f>IF(BetTable[Outcome3]="Win",BetTable[WBA3-Commission],IF(BetTable[Outcome3]="Win Half Stake",(BetTable[S3]/2)+BetTable[WBA3-Commission]/2,IF(BetTable[Outcome3]="Lose Half Stake",BetTable[S3]/2,IF(BetTable[Outcome3]="Lose",0,IF(BetTable[Outcome3]="Void",BetTable[S3],)))))</f>
        <v>0</v>
      </c>
      <c r="AI105" s="168">
        <f>IF(BetTable[Outcome]="",AI104,BetTable[Result]+AI104)</f>
        <v>338.00325000000004</v>
      </c>
      <c r="AJ105" s="160"/>
    </row>
    <row r="106" spans="1:36" x14ac:dyDescent="0.2">
      <c r="A106" s="159" t="s">
        <v>562</v>
      </c>
      <c r="B106" s="160" t="s">
        <v>7</v>
      </c>
      <c r="C106" s="161" t="s">
        <v>216</v>
      </c>
      <c r="D106" s="161"/>
      <c r="E106" s="161"/>
      <c r="F106" s="162"/>
      <c r="G106" s="162"/>
      <c r="H106" s="162"/>
      <c r="I106" s="160" t="s">
        <v>613</v>
      </c>
      <c r="J106" s="163">
        <v>1.87</v>
      </c>
      <c r="K106" s="163"/>
      <c r="L106" s="163"/>
      <c r="M106" s="164">
        <v>55</v>
      </c>
      <c r="N106" s="164"/>
      <c r="O106" s="164"/>
      <c r="P106" s="159" t="s">
        <v>614</v>
      </c>
      <c r="Q106" s="159" t="s">
        <v>506</v>
      </c>
      <c r="R106" s="159" t="s">
        <v>615</v>
      </c>
      <c r="S106" s="165">
        <v>4.02262403617972E-2</v>
      </c>
      <c r="T106" s="166" t="s">
        <v>372</v>
      </c>
      <c r="U106" s="166"/>
      <c r="V106" s="166"/>
      <c r="W106" s="167">
        <f>IF(BetTable[Sport]="","",BetTable[Stake]+BetTable[S2]+BetTable[S3])</f>
        <v>55</v>
      </c>
      <c r="X106" s="164">
        <f>IF(BetTable[Odds]="","",(BetTable[WBA1-Commission])-BetTable[TS])</f>
        <v>47.850000000000009</v>
      </c>
      <c r="Y106" s="168">
        <f>IF(BetTable[Outcome]="","",BetTable[WBA1]+BetTable[WBA2]+BetTable[WBA3]-BetTable[TS])</f>
        <v>47.850000000000009</v>
      </c>
      <c r="Z106" s="164">
        <f>(((BetTable[Odds]-1)*BetTable[Stake])*(1-(BetTable[Comm %]))+BetTable[Stake])</f>
        <v>102.85000000000001</v>
      </c>
      <c r="AA106" s="164">
        <f>(((BetTable[O2]-1)*BetTable[S2])*(1-(BetTable[C% 2]))+BetTable[S2])</f>
        <v>0</v>
      </c>
      <c r="AB106" s="164">
        <f>(((BetTable[O3]-1)*BetTable[S3])*(1-(BetTable[C% 3]))+BetTable[S3])</f>
        <v>0</v>
      </c>
      <c r="AC106" s="165">
        <f>IFERROR(IF(BetTable[Sport]="","",BetTable[R1]/BetTable[TS]),"")</f>
        <v>0.87000000000000011</v>
      </c>
      <c r="AD106" s="165" t="str">
        <f>IF(BetTable[O2]="","",#REF!/BetTable[TS])</f>
        <v/>
      </c>
      <c r="AE106" s="165" t="str">
        <f>IFERROR(IF(BetTable[Sport]="","",#REF!/BetTable[TS]),"")</f>
        <v/>
      </c>
      <c r="AF106" s="164">
        <f>IF(BetTable[Outcome]="Win",BetTable[WBA1-Commission],IF(BetTable[Outcome]="Win Half Stake",(BetTable[Stake]/2)+BetTable[WBA1-Commission]/2,IF(BetTable[Outcome]="Lose Half Stake",BetTable[Stake]/2,IF(BetTable[Outcome]="Lose",0,IF(BetTable[Outcome]="Void",BetTable[Stake],)))))</f>
        <v>102.85000000000001</v>
      </c>
      <c r="AG106" s="164">
        <f>IF(BetTable[Outcome2]="Win",BetTable[WBA2-Commission],IF(BetTable[Outcome2]="Win Half Stake",(BetTable[S2]/2)+BetTable[WBA2-Commission]/2,IF(BetTable[Outcome2]="Lose Half Stake",BetTable[S2]/2,IF(BetTable[Outcome2]="Lose",0,IF(BetTable[Outcome2]="Void",BetTable[S2],)))))</f>
        <v>0</v>
      </c>
      <c r="AH106" s="164">
        <f>IF(BetTable[Outcome3]="Win",BetTable[WBA3-Commission],IF(BetTable[Outcome3]="Win Half Stake",(BetTable[S3]/2)+BetTable[WBA3-Commission]/2,IF(BetTable[Outcome3]="Lose Half Stake",BetTable[S3]/2,IF(BetTable[Outcome3]="Lose",0,IF(BetTable[Outcome3]="Void",BetTable[S3],)))))</f>
        <v>0</v>
      </c>
      <c r="AI106" s="168">
        <f>IF(BetTable[Outcome]="",AI105,BetTable[Result]+AI105)</f>
        <v>385.85325000000006</v>
      </c>
      <c r="AJ106" s="160"/>
    </row>
    <row r="107" spans="1:36" x14ac:dyDescent="0.2">
      <c r="A107" s="159" t="s">
        <v>562</v>
      </c>
      <c r="B107" s="160" t="s">
        <v>9</v>
      </c>
      <c r="C107" s="161" t="s">
        <v>216</v>
      </c>
      <c r="D107" s="161"/>
      <c r="E107" s="161"/>
      <c r="F107" s="162"/>
      <c r="G107" s="162"/>
      <c r="H107" s="162"/>
      <c r="I107" s="160" t="s">
        <v>616</v>
      </c>
      <c r="J107" s="163">
        <v>1.952</v>
      </c>
      <c r="K107" s="163"/>
      <c r="L107" s="163"/>
      <c r="M107" s="164">
        <v>40</v>
      </c>
      <c r="N107" s="164"/>
      <c r="O107" s="164"/>
      <c r="P107" s="159" t="s">
        <v>617</v>
      </c>
      <c r="Q107" s="159" t="s">
        <v>458</v>
      </c>
      <c r="R107" s="159" t="s">
        <v>618</v>
      </c>
      <c r="S107" s="165">
        <v>3.1162966503764499E-2</v>
      </c>
      <c r="T107" s="166" t="s">
        <v>372</v>
      </c>
      <c r="U107" s="166"/>
      <c r="V107" s="166"/>
      <c r="W107" s="167">
        <f>IF(BetTable[Sport]="","",BetTable[Stake]+BetTable[S2]+BetTable[S3])</f>
        <v>40</v>
      </c>
      <c r="X107" s="164">
        <f>IF(BetTable[Odds]="","",(BetTable[WBA1-Commission])-BetTable[TS])</f>
        <v>38.08</v>
      </c>
      <c r="Y107" s="168">
        <f>IF(BetTable[Outcome]="","",BetTable[WBA1]+BetTable[WBA2]+BetTable[WBA3]-BetTable[TS])</f>
        <v>38.08</v>
      </c>
      <c r="Z107" s="164">
        <f>(((BetTable[Odds]-1)*BetTable[Stake])*(1-(BetTable[Comm %]))+BetTable[Stake])</f>
        <v>78.08</v>
      </c>
      <c r="AA107" s="164">
        <f>(((BetTable[O2]-1)*BetTable[S2])*(1-(BetTable[C% 2]))+BetTable[S2])</f>
        <v>0</v>
      </c>
      <c r="AB107" s="164">
        <f>(((BetTable[O3]-1)*BetTable[S3])*(1-(BetTable[C% 3]))+BetTable[S3])</f>
        <v>0</v>
      </c>
      <c r="AC107" s="165">
        <f>IFERROR(IF(BetTable[Sport]="","",BetTable[R1]/BetTable[TS]),"")</f>
        <v>0.95199999999999996</v>
      </c>
      <c r="AD107" s="165" t="str">
        <f>IF(BetTable[O2]="","",#REF!/BetTable[TS])</f>
        <v/>
      </c>
      <c r="AE107" s="165" t="str">
        <f>IFERROR(IF(BetTable[Sport]="","",#REF!/BetTable[TS]),"")</f>
        <v/>
      </c>
      <c r="AF107" s="164">
        <f>IF(BetTable[Outcome]="Win",BetTable[WBA1-Commission],IF(BetTable[Outcome]="Win Half Stake",(BetTable[Stake]/2)+BetTable[WBA1-Commission]/2,IF(BetTable[Outcome]="Lose Half Stake",BetTable[Stake]/2,IF(BetTable[Outcome]="Lose",0,IF(BetTable[Outcome]="Void",BetTable[Stake],)))))</f>
        <v>78.08</v>
      </c>
      <c r="AG107" s="164">
        <f>IF(BetTable[Outcome2]="Win",BetTable[WBA2-Commission],IF(BetTable[Outcome2]="Win Half Stake",(BetTable[S2]/2)+BetTable[WBA2-Commission]/2,IF(BetTable[Outcome2]="Lose Half Stake",BetTable[S2]/2,IF(BetTable[Outcome2]="Lose",0,IF(BetTable[Outcome2]="Void",BetTable[S2],)))))</f>
        <v>0</v>
      </c>
      <c r="AH107" s="164">
        <f>IF(BetTable[Outcome3]="Win",BetTable[WBA3-Commission],IF(BetTable[Outcome3]="Win Half Stake",(BetTable[S3]/2)+BetTable[WBA3-Commission]/2,IF(BetTable[Outcome3]="Lose Half Stake",BetTable[S3]/2,IF(BetTable[Outcome3]="Lose",0,IF(BetTable[Outcome3]="Void",BetTable[S3],)))))</f>
        <v>0</v>
      </c>
      <c r="AI107" s="168">
        <f>IF(BetTable[Outcome]="",AI106,BetTable[Result]+AI106)</f>
        <v>423.93325000000004</v>
      </c>
      <c r="AJ107" s="160"/>
    </row>
    <row r="108" spans="1:36" x14ac:dyDescent="0.2">
      <c r="A108" s="159" t="s">
        <v>562</v>
      </c>
      <c r="B108" s="160" t="s">
        <v>9</v>
      </c>
      <c r="C108" s="161" t="s">
        <v>216</v>
      </c>
      <c r="D108" s="161"/>
      <c r="E108" s="161"/>
      <c r="F108" s="162"/>
      <c r="G108" s="162"/>
      <c r="H108" s="162"/>
      <c r="I108" s="160" t="s">
        <v>619</v>
      </c>
      <c r="J108" s="163">
        <v>1.87</v>
      </c>
      <c r="K108" s="163"/>
      <c r="L108" s="163"/>
      <c r="M108" s="164">
        <v>33</v>
      </c>
      <c r="N108" s="164"/>
      <c r="O108" s="164"/>
      <c r="P108" s="159" t="s">
        <v>620</v>
      </c>
      <c r="Q108" s="159" t="s">
        <v>621</v>
      </c>
      <c r="R108" s="159" t="s">
        <v>622</v>
      </c>
      <c r="S108" s="165">
        <v>2.4199992124811401E-2</v>
      </c>
      <c r="T108" s="166" t="s">
        <v>382</v>
      </c>
      <c r="U108" s="166"/>
      <c r="V108" s="166"/>
      <c r="W108" s="167">
        <f>IF(BetTable[Sport]="","",BetTable[Stake]+BetTable[S2]+BetTable[S3])</f>
        <v>33</v>
      </c>
      <c r="X108" s="164">
        <f>IF(BetTable[Odds]="","",(BetTable[WBA1-Commission])-BetTable[TS])</f>
        <v>28.710000000000008</v>
      </c>
      <c r="Y108" s="168">
        <f>IF(BetTable[Outcome]="","",BetTable[WBA1]+BetTable[WBA2]+BetTable[WBA3]-BetTable[TS])</f>
        <v>-33</v>
      </c>
      <c r="Z108" s="164">
        <f>(((BetTable[Odds]-1)*BetTable[Stake])*(1-(BetTable[Comm %]))+BetTable[Stake])</f>
        <v>61.710000000000008</v>
      </c>
      <c r="AA108" s="164">
        <f>(((BetTable[O2]-1)*BetTable[S2])*(1-(BetTable[C% 2]))+BetTable[S2])</f>
        <v>0</v>
      </c>
      <c r="AB108" s="164">
        <f>(((BetTable[O3]-1)*BetTable[S3])*(1-(BetTable[C% 3]))+BetTable[S3])</f>
        <v>0</v>
      </c>
      <c r="AC108" s="165">
        <f>IFERROR(IF(BetTable[Sport]="","",BetTable[R1]/BetTable[TS]),"")</f>
        <v>0.87000000000000022</v>
      </c>
      <c r="AD108" s="165" t="str">
        <f>IF(BetTable[O2]="","",#REF!/BetTable[TS])</f>
        <v/>
      </c>
      <c r="AE108" s="165" t="str">
        <f>IFERROR(IF(BetTable[Sport]="","",#REF!/BetTable[TS]),"")</f>
        <v/>
      </c>
      <c r="AF108" s="164">
        <f>IF(BetTable[Outcome]="Win",BetTable[WBA1-Commission],IF(BetTable[Outcome]="Win Half Stake",(BetTable[Stake]/2)+BetTable[WBA1-Commission]/2,IF(BetTable[Outcome]="Lose Half Stake",BetTable[Stake]/2,IF(BetTable[Outcome]="Lose",0,IF(BetTable[Outcome]="Void",BetTable[Stake],)))))</f>
        <v>0</v>
      </c>
      <c r="AG108" s="164">
        <f>IF(BetTable[Outcome2]="Win",BetTable[WBA2-Commission],IF(BetTable[Outcome2]="Win Half Stake",(BetTable[S2]/2)+BetTable[WBA2-Commission]/2,IF(BetTable[Outcome2]="Lose Half Stake",BetTable[S2]/2,IF(BetTable[Outcome2]="Lose",0,IF(BetTable[Outcome2]="Void",BetTable[S2],)))))</f>
        <v>0</v>
      </c>
      <c r="AH108" s="164">
        <f>IF(BetTable[Outcome3]="Win",BetTable[WBA3-Commission],IF(BetTable[Outcome3]="Win Half Stake",(BetTable[S3]/2)+BetTable[WBA3-Commission]/2,IF(BetTable[Outcome3]="Lose Half Stake",BetTable[S3]/2,IF(BetTable[Outcome3]="Lose",0,IF(BetTable[Outcome3]="Void",BetTable[S3],)))))</f>
        <v>0</v>
      </c>
      <c r="AI108" s="168">
        <f>IF(BetTable[Outcome]="",AI107,BetTable[Result]+AI107)</f>
        <v>390.93325000000004</v>
      </c>
      <c r="AJ108" s="160"/>
    </row>
    <row r="109" spans="1:36" x14ac:dyDescent="0.2">
      <c r="A109" s="159" t="s">
        <v>562</v>
      </c>
      <c r="B109" s="160" t="s">
        <v>7</v>
      </c>
      <c r="C109" s="161" t="s">
        <v>216</v>
      </c>
      <c r="D109" s="161"/>
      <c r="E109" s="161"/>
      <c r="F109" s="162"/>
      <c r="G109" s="162"/>
      <c r="H109" s="162"/>
      <c r="I109" s="160" t="s">
        <v>623</v>
      </c>
      <c r="J109" s="163">
        <v>1.909</v>
      </c>
      <c r="K109" s="163"/>
      <c r="L109" s="163"/>
      <c r="M109" s="164">
        <v>32</v>
      </c>
      <c r="N109" s="164"/>
      <c r="O109" s="164"/>
      <c r="P109" s="159" t="s">
        <v>624</v>
      </c>
      <c r="Q109" s="159" t="s">
        <v>625</v>
      </c>
      <c r="R109" s="159" t="s">
        <v>626</v>
      </c>
      <c r="S109" s="165">
        <v>2.45218498539897E-2</v>
      </c>
      <c r="T109" s="166" t="s">
        <v>372</v>
      </c>
      <c r="U109" s="166"/>
      <c r="V109" s="166"/>
      <c r="W109" s="167">
        <f>IF(BetTable[Sport]="","",BetTable[Stake]+BetTable[S2]+BetTable[S3])</f>
        <v>32</v>
      </c>
      <c r="X109" s="164">
        <f>IF(BetTable[Odds]="","",(BetTable[WBA1-Commission])-BetTable[TS])</f>
        <v>29.088000000000001</v>
      </c>
      <c r="Y109" s="168">
        <f>IF(BetTable[Outcome]="","",BetTable[WBA1]+BetTable[WBA2]+BetTable[WBA3]-BetTable[TS])</f>
        <v>29.088000000000001</v>
      </c>
      <c r="Z109" s="164">
        <f>(((BetTable[Odds]-1)*BetTable[Stake])*(1-(BetTable[Comm %]))+BetTable[Stake])</f>
        <v>61.088000000000001</v>
      </c>
      <c r="AA109" s="164">
        <f>(((BetTable[O2]-1)*BetTable[S2])*(1-(BetTable[C% 2]))+BetTable[S2])</f>
        <v>0</v>
      </c>
      <c r="AB109" s="164">
        <f>(((BetTable[O3]-1)*BetTable[S3])*(1-(BetTable[C% 3]))+BetTable[S3])</f>
        <v>0</v>
      </c>
      <c r="AC109" s="165">
        <f>IFERROR(IF(BetTable[Sport]="","",BetTable[R1]/BetTable[TS]),"")</f>
        <v>0.90900000000000003</v>
      </c>
      <c r="AD109" s="165" t="str">
        <f>IF(BetTable[O2]="","",#REF!/BetTable[TS])</f>
        <v/>
      </c>
      <c r="AE109" s="165" t="str">
        <f>IFERROR(IF(BetTable[Sport]="","",#REF!/BetTable[TS]),"")</f>
        <v/>
      </c>
      <c r="AF109" s="164">
        <f>IF(BetTable[Outcome]="Win",BetTable[WBA1-Commission],IF(BetTable[Outcome]="Win Half Stake",(BetTable[Stake]/2)+BetTable[WBA1-Commission]/2,IF(BetTable[Outcome]="Lose Half Stake",BetTable[Stake]/2,IF(BetTable[Outcome]="Lose",0,IF(BetTable[Outcome]="Void",BetTable[Stake],)))))</f>
        <v>61.088000000000001</v>
      </c>
      <c r="AG109" s="164">
        <f>IF(BetTable[Outcome2]="Win",BetTable[WBA2-Commission],IF(BetTable[Outcome2]="Win Half Stake",(BetTable[S2]/2)+BetTable[WBA2-Commission]/2,IF(BetTable[Outcome2]="Lose Half Stake",BetTable[S2]/2,IF(BetTable[Outcome2]="Lose",0,IF(BetTable[Outcome2]="Void",BetTable[S2],)))))</f>
        <v>0</v>
      </c>
      <c r="AH109" s="164">
        <f>IF(BetTable[Outcome3]="Win",BetTable[WBA3-Commission],IF(BetTable[Outcome3]="Win Half Stake",(BetTable[S3]/2)+BetTable[WBA3-Commission]/2,IF(BetTable[Outcome3]="Lose Half Stake",BetTable[S3]/2,IF(BetTable[Outcome3]="Lose",0,IF(BetTable[Outcome3]="Void",BetTable[S3],)))))</f>
        <v>0</v>
      </c>
      <c r="AI109" s="168">
        <f>IF(BetTable[Outcome]="",AI108,BetTable[Result]+AI108)</f>
        <v>420.02125000000007</v>
      </c>
      <c r="AJ109" s="160"/>
    </row>
    <row r="110" spans="1:36" x14ac:dyDescent="0.2">
      <c r="A110" s="159" t="s">
        <v>562</v>
      </c>
      <c r="B110" s="160" t="s">
        <v>8</v>
      </c>
      <c r="C110" s="161" t="s">
        <v>216</v>
      </c>
      <c r="D110" s="161"/>
      <c r="E110" s="161"/>
      <c r="F110" s="162"/>
      <c r="G110" s="162"/>
      <c r="H110" s="162"/>
      <c r="I110" s="160" t="s">
        <v>627</v>
      </c>
      <c r="J110" s="163">
        <v>1.7410000000000001</v>
      </c>
      <c r="K110" s="163"/>
      <c r="L110" s="163"/>
      <c r="M110" s="164">
        <v>31</v>
      </c>
      <c r="N110" s="164"/>
      <c r="O110" s="164"/>
      <c r="P110" s="159" t="s">
        <v>435</v>
      </c>
      <c r="Q110" s="159" t="s">
        <v>491</v>
      </c>
      <c r="R110" s="159" t="s">
        <v>628</v>
      </c>
      <c r="S110" s="165">
        <v>1.9161282852842399E-2</v>
      </c>
      <c r="T110" s="166" t="s">
        <v>372</v>
      </c>
      <c r="U110" s="166"/>
      <c r="V110" s="166"/>
      <c r="W110" s="167">
        <f>IF(BetTable[Sport]="","",BetTable[Stake]+BetTable[S2]+BetTable[S3])</f>
        <v>31</v>
      </c>
      <c r="X110" s="164">
        <f>IF(BetTable[Odds]="","",(BetTable[WBA1-Commission])-BetTable[TS])</f>
        <v>22.971000000000004</v>
      </c>
      <c r="Y110" s="168">
        <f>IF(BetTable[Outcome]="","",BetTable[WBA1]+BetTable[WBA2]+BetTable[WBA3]-BetTable[TS])</f>
        <v>22.971000000000004</v>
      </c>
      <c r="Z110" s="164">
        <f>(((BetTable[Odds]-1)*BetTable[Stake])*(1-(BetTable[Comm %]))+BetTable[Stake])</f>
        <v>53.971000000000004</v>
      </c>
      <c r="AA110" s="164">
        <f>(((BetTable[O2]-1)*BetTable[S2])*(1-(BetTable[C% 2]))+BetTable[S2])</f>
        <v>0</v>
      </c>
      <c r="AB110" s="164">
        <f>(((BetTable[O3]-1)*BetTable[S3])*(1-(BetTable[C% 3]))+BetTable[S3])</f>
        <v>0</v>
      </c>
      <c r="AC110" s="165">
        <f>IFERROR(IF(BetTable[Sport]="","",BetTable[R1]/BetTable[TS]),"")</f>
        <v>0.7410000000000001</v>
      </c>
      <c r="AD110" s="165" t="str">
        <f>IF(BetTable[O2]="","",#REF!/BetTable[TS])</f>
        <v/>
      </c>
      <c r="AE110" s="165" t="str">
        <f>IFERROR(IF(BetTable[Sport]="","",#REF!/BetTable[TS]),"")</f>
        <v/>
      </c>
      <c r="AF110" s="164">
        <f>IF(BetTable[Outcome]="Win",BetTable[WBA1-Commission],IF(BetTable[Outcome]="Win Half Stake",(BetTable[Stake]/2)+BetTable[WBA1-Commission]/2,IF(BetTable[Outcome]="Lose Half Stake",BetTable[Stake]/2,IF(BetTable[Outcome]="Lose",0,IF(BetTable[Outcome]="Void",BetTable[Stake],)))))</f>
        <v>53.971000000000004</v>
      </c>
      <c r="AG110" s="164">
        <f>IF(BetTable[Outcome2]="Win",BetTable[WBA2-Commission],IF(BetTable[Outcome2]="Win Half Stake",(BetTable[S2]/2)+BetTable[WBA2-Commission]/2,IF(BetTable[Outcome2]="Lose Half Stake",BetTable[S2]/2,IF(BetTable[Outcome2]="Lose",0,IF(BetTable[Outcome2]="Void",BetTable[S2],)))))</f>
        <v>0</v>
      </c>
      <c r="AH110" s="164">
        <f>IF(BetTable[Outcome3]="Win",BetTable[WBA3-Commission],IF(BetTable[Outcome3]="Win Half Stake",(BetTable[S3]/2)+BetTable[WBA3-Commission]/2,IF(BetTable[Outcome3]="Lose Half Stake",BetTable[S3]/2,IF(BetTable[Outcome3]="Lose",0,IF(BetTable[Outcome3]="Void",BetTable[S3],)))))</f>
        <v>0</v>
      </c>
      <c r="AI110" s="168">
        <f>IF(BetTable[Outcome]="",AI109,BetTable[Result]+AI109)</f>
        <v>442.99225000000007</v>
      </c>
      <c r="AJ110" s="160"/>
    </row>
    <row r="111" spans="1:36" x14ac:dyDescent="0.2">
      <c r="A111" s="159" t="s">
        <v>562</v>
      </c>
      <c r="B111" s="160" t="s">
        <v>8</v>
      </c>
      <c r="C111" s="161" t="s">
        <v>91</v>
      </c>
      <c r="D111" s="161"/>
      <c r="E111" s="161"/>
      <c r="F111" s="162"/>
      <c r="G111" s="162"/>
      <c r="H111" s="162"/>
      <c r="I111" s="160" t="s">
        <v>629</v>
      </c>
      <c r="J111" s="163">
        <v>1.7</v>
      </c>
      <c r="K111" s="163"/>
      <c r="L111" s="163"/>
      <c r="M111" s="164">
        <v>46</v>
      </c>
      <c r="N111" s="164"/>
      <c r="O111" s="164"/>
      <c r="P111" s="159" t="s">
        <v>435</v>
      </c>
      <c r="Q111" s="159" t="s">
        <v>581</v>
      </c>
      <c r="R111" s="159" t="s">
        <v>630</v>
      </c>
      <c r="S111" s="165">
        <v>2.68706628229659E-2</v>
      </c>
      <c r="T111" s="166" t="s">
        <v>382</v>
      </c>
      <c r="U111" s="166"/>
      <c r="V111" s="166"/>
      <c r="W111" s="167">
        <f>IF(BetTable[Sport]="","",BetTable[Stake]+BetTable[S2]+BetTable[S3])</f>
        <v>46</v>
      </c>
      <c r="X111" s="164">
        <f>IF(BetTable[Odds]="","",(BetTable[WBA1-Commission])-BetTable[TS])</f>
        <v>32.199999999999989</v>
      </c>
      <c r="Y111" s="168">
        <f>IF(BetTable[Outcome]="","",BetTable[WBA1]+BetTable[WBA2]+BetTable[WBA3]-BetTable[TS])</f>
        <v>-46</v>
      </c>
      <c r="Z111" s="164">
        <f>(((BetTable[Odds]-1)*BetTable[Stake])*(1-(BetTable[Comm %]))+BetTable[Stake])</f>
        <v>78.199999999999989</v>
      </c>
      <c r="AA111" s="164">
        <f>(((BetTable[O2]-1)*BetTable[S2])*(1-(BetTable[C% 2]))+BetTable[S2])</f>
        <v>0</v>
      </c>
      <c r="AB111" s="164">
        <f>(((BetTable[O3]-1)*BetTable[S3])*(1-(BetTable[C% 3]))+BetTable[S3])</f>
        <v>0</v>
      </c>
      <c r="AC111" s="165">
        <f>IFERROR(IF(BetTable[Sport]="","",BetTable[R1]/BetTable[TS]),"")</f>
        <v>0.69999999999999973</v>
      </c>
      <c r="AD111" s="165" t="str">
        <f>IF(BetTable[O2]="","",#REF!/BetTable[TS])</f>
        <v/>
      </c>
      <c r="AE111" s="165" t="str">
        <f>IFERROR(IF(BetTable[Sport]="","",#REF!/BetTable[TS]),"")</f>
        <v/>
      </c>
      <c r="AF111" s="164">
        <f>IF(BetTable[Outcome]="Win",BetTable[WBA1-Commission],IF(BetTable[Outcome]="Win Half Stake",(BetTable[Stake]/2)+BetTable[WBA1-Commission]/2,IF(BetTable[Outcome]="Lose Half Stake",BetTable[Stake]/2,IF(BetTable[Outcome]="Lose",0,IF(BetTable[Outcome]="Void",BetTable[Stake],)))))</f>
        <v>0</v>
      </c>
      <c r="AG111" s="164">
        <f>IF(BetTable[Outcome2]="Win",BetTable[WBA2-Commission],IF(BetTable[Outcome2]="Win Half Stake",(BetTable[S2]/2)+BetTable[WBA2-Commission]/2,IF(BetTable[Outcome2]="Lose Half Stake",BetTable[S2]/2,IF(BetTable[Outcome2]="Lose",0,IF(BetTable[Outcome2]="Void",BetTable[S2],)))))</f>
        <v>0</v>
      </c>
      <c r="AH111" s="164">
        <f>IF(BetTable[Outcome3]="Win",BetTable[WBA3-Commission],IF(BetTable[Outcome3]="Win Half Stake",(BetTable[S3]/2)+BetTable[WBA3-Commission]/2,IF(BetTable[Outcome3]="Lose Half Stake",BetTable[S3]/2,IF(BetTable[Outcome3]="Lose",0,IF(BetTable[Outcome3]="Void",BetTable[S3],)))))</f>
        <v>0</v>
      </c>
      <c r="AI111" s="168">
        <f>IF(BetTable[Outcome]="",AI110,BetTable[Result]+AI110)</f>
        <v>396.99225000000007</v>
      </c>
      <c r="AJ111" s="160"/>
    </row>
    <row r="112" spans="1:36" x14ac:dyDescent="0.2">
      <c r="A112" s="159" t="s">
        <v>562</v>
      </c>
      <c r="B112" s="160" t="s">
        <v>200</v>
      </c>
      <c r="C112" s="161" t="s">
        <v>234</v>
      </c>
      <c r="D112" s="161"/>
      <c r="E112" s="161"/>
      <c r="F112" s="162"/>
      <c r="G112" s="162"/>
      <c r="H112" s="162"/>
      <c r="I112" s="160" t="s">
        <v>631</v>
      </c>
      <c r="J112" s="163">
        <v>3.65</v>
      </c>
      <c r="K112" s="163"/>
      <c r="L112" s="163"/>
      <c r="M112" s="164">
        <v>8</v>
      </c>
      <c r="N112" s="164"/>
      <c r="O112" s="164"/>
      <c r="P112" s="159" t="s">
        <v>442</v>
      </c>
      <c r="Q112" s="159" t="s">
        <v>632</v>
      </c>
      <c r="R112" s="159" t="s">
        <v>633</v>
      </c>
      <c r="S112" s="165">
        <v>1.69888483252538E-2</v>
      </c>
      <c r="T112" s="166" t="s">
        <v>382</v>
      </c>
      <c r="U112" s="166"/>
      <c r="V112" s="166"/>
      <c r="W112" s="167">
        <f>IF(BetTable[Sport]="","",BetTable[Stake]+BetTable[S2]+BetTable[S3])</f>
        <v>8</v>
      </c>
      <c r="X112" s="164">
        <f>IF(BetTable[Odds]="","",(BetTable[WBA1-Commission])-BetTable[TS])</f>
        <v>21.2</v>
      </c>
      <c r="Y112" s="168">
        <f>IF(BetTable[Outcome]="","",BetTable[WBA1]+BetTable[WBA2]+BetTable[WBA3]-BetTable[TS])</f>
        <v>-8</v>
      </c>
      <c r="Z112" s="164">
        <f>(((BetTable[Odds]-1)*BetTable[Stake])*(1-(BetTable[Comm %]))+BetTable[Stake])</f>
        <v>29.2</v>
      </c>
      <c r="AA112" s="164">
        <f>(((BetTable[O2]-1)*BetTable[S2])*(1-(BetTable[C% 2]))+BetTable[S2])</f>
        <v>0</v>
      </c>
      <c r="AB112" s="164">
        <f>(((BetTable[O3]-1)*BetTable[S3])*(1-(BetTable[C% 3]))+BetTable[S3])</f>
        <v>0</v>
      </c>
      <c r="AC112" s="165">
        <f>IFERROR(IF(BetTable[Sport]="","",BetTable[R1]/BetTable[TS]),"")</f>
        <v>2.65</v>
      </c>
      <c r="AD112" s="165" t="str">
        <f>IF(BetTable[O2]="","",#REF!/BetTable[TS])</f>
        <v/>
      </c>
      <c r="AE112" s="165" t="str">
        <f>IFERROR(IF(BetTable[Sport]="","",#REF!/BetTable[TS]),"")</f>
        <v/>
      </c>
      <c r="AF112" s="164">
        <f>IF(BetTable[Outcome]="Win",BetTable[WBA1-Commission],IF(BetTable[Outcome]="Win Half Stake",(BetTable[Stake]/2)+BetTable[WBA1-Commission]/2,IF(BetTable[Outcome]="Lose Half Stake",BetTable[Stake]/2,IF(BetTable[Outcome]="Lose",0,IF(BetTable[Outcome]="Void",BetTable[Stake],)))))</f>
        <v>0</v>
      </c>
      <c r="AG112" s="164">
        <f>IF(BetTable[Outcome2]="Win",BetTable[WBA2-Commission],IF(BetTable[Outcome2]="Win Half Stake",(BetTable[S2]/2)+BetTable[WBA2-Commission]/2,IF(BetTable[Outcome2]="Lose Half Stake",BetTable[S2]/2,IF(BetTable[Outcome2]="Lose",0,IF(BetTable[Outcome2]="Void",BetTable[S2],)))))</f>
        <v>0</v>
      </c>
      <c r="AH112" s="164">
        <f>IF(BetTable[Outcome3]="Win",BetTable[WBA3-Commission],IF(BetTable[Outcome3]="Win Half Stake",(BetTable[S3]/2)+BetTable[WBA3-Commission]/2,IF(BetTable[Outcome3]="Lose Half Stake",BetTable[S3]/2,IF(BetTable[Outcome3]="Lose",0,IF(BetTable[Outcome3]="Void",BetTable[S3],)))))</f>
        <v>0</v>
      </c>
      <c r="AI112" s="168">
        <f>IF(BetTable[Outcome]="",AI111,BetTable[Result]+AI111)</f>
        <v>388.99225000000007</v>
      </c>
      <c r="AJ112" s="160"/>
    </row>
    <row r="113" spans="1:36" x14ac:dyDescent="0.2">
      <c r="A113" s="159" t="s">
        <v>562</v>
      </c>
      <c r="B113" s="160" t="s">
        <v>200</v>
      </c>
      <c r="C113" s="161" t="s">
        <v>234</v>
      </c>
      <c r="D113" s="161"/>
      <c r="E113" s="161"/>
      <c r="F113" s="162"/>
      <c r="G113" s="162"/>
      <c r="H113" s="162"/>
      <c r="I113" s="160" t="s">
        <v>634</v>
      </c>
      <c r="J113" s="163">
        <v>1.98</v>
      </c>
      <c r="K113" s="163"/>
      <c r="L113" s="163"/>
      <c r="M113" s="164">
        <v>15</v>
      </c>
      <c r="N113" s="164"/>
      <c r="O113" s="164"/>
      <c r="P113" s="159" t="s">
        <v>635</v>
      </c>
      <c r="Q113" s="159" t="s">
        <v>552</v>
      </c>
      <c r="R113" s="159" t="s">
        <v>636</v>
      </c>
      <c r="S113" s="165">
        <v>1.22498847265314E-2</v>
      </c>
      <c r="T113" s="166" t="s">
        <v>382</v>
      </c>
      <c r="U113" s="166"/>
      <c r="V113" s="166"/>
      <c r="W113" s="167">
        <f>IF(BetTable[Sport]="","",BetTable[Stake]+BetTable[S2]+BetTable[S3])</f>
        <v>15</v>
      </c>
      <c r="X113" s="164">
        <f>IF(BetTable[Odds]="","",(BetTable[WBA1-Commission])-BetTable[TS])</f>
        <v>14.7</v>
      </c>
      <c r="Y113" s="168">
        <f>IF(BetTable[Outcome]="","",BetTable[WBA1]+BetTable[WBA2]+BetTable[WBA3]-BetTable[TS])</f>
        <v>-15</v>
      </c>
      <c r="Z113" s="164">
        <f>(((BetTable[Odds]-1)*BetTable[Stake])*(1-(BetTable[Comm %]))+BetTable[Stake])</f>
        <v>29.7</v>
      </c>
      <c r="AA113" s="164">
        <f>(((BetTable[O2]-1)*BetTable[S2])*(1-(BetTable[C% 2]))+BetTable[S2])</f>
        <v>0</v>
      </c>
      <c r="AB113" s="164">
        <f>(((BetTable[O3]-1)*BetTable[S3])*(1-(BetTable[C% 3]))+BetTable[S3])</f>
        <v>0</v>
      </c>
      <c r="AC113" s="165">
        <f>IFERROR(IF(BetTable[Sport]="","",BetTable[R1]/BetTable[TS]),"")</f>
        <v>0.98</v>
      </c>
      <c r="AD113" s="165" t="str">
        <f>IF(BetTable[O2]="","",#REF!/BetTable[TS])</f>
        <v/>
      </c>
      <c r="AE113" s="165" t="str">
        <f>IFERROR(IF(BetTable[Sport]="","",#REF!/BetTable[TS]),"")</f>
        <v/>
      </c>
      <c r="AF113" s="164">
        <f>IF(BetTable[Outcome]="Win",BetTable[WBA1-Commission],IF(BetTable[Outcome]="Win Half Stake",(BetTable[Stake]/2)+BetTable[WBA1-Commission]/2,IF(BetTable[Outcome]="Lose Half Stake",BetTable[Stake]/2,IF(BetTable[Outcome]="Lose",0,IF(BetTable[Outcome]="Void",BetTable[Stake],)))))</f>
        <v>0</v>
      </c>
      <c r="AG113" s="164">
        <f>IF(BetTable[Outcome2]="Win",BetTable[WBA2-Commission],IF(BetTable[Outcome2]="Win Half Stake",(BetTable[S2]/2)+BetTable[WBA2-Commission]/2,IF(BetTable[Outcome2]="Lose Half Stake",BetTable[S2]/2,IF(BetTable[Outcome2]="Lose",0,IF(BetTable[Outcome2]="Void",BetTable[S2],)))))</f>
        <v>0</v>
      </c>
      <c r="AH113" s="164">
        <f>IF(BetTable[Outcome3]="Win",BetTable[WBA3-Commission],IF(BetTable[Outcome3]="Win Half Stake",(BetTable[S3]/2)+BetTable[WBA3-Commission]/2,IF(BetTable[Outcome3]="Lose Half Stake",BetTable[S3]/2,IF(BetTable[Outcome3]="Lose",0,IF(BetTable[Outcome3]="Void",BetTable[S3],)))))</f>
        <v>0</v>
      </c>
      <c r="AI113" s="168">
        <f>IF(BetTable[Outcome]="",AI112,BetTable[Result]+AI112)</f>
        <v>373.99225000000007</v>
      </c>
      <c r="AJ113" s="160"/>
    </row>
    <row r="114" spans="1:36" x14ac:dyDescent="0.2">
      <c r="A114" s="159" t="s">
        <v>562</v>
      </c>
      <c r="B114" s="160" t="s">
        <v>200</v>
      </c>
      <c r="C114" s="161" t="s">
        <v>91</v>
      </c>
      <c r="D114" s="161"/>
      <c r="E114" s="161"/>
      <c r="F114" s="162"/>
      <c r="G114" s="162"/>
      <c r="H114" s="162"/>
      <c r="I114" s="160" t="s">
        <v>534</v>
      </c>
      <c r="J114" s="163">
        <v>2.12</v>
      </c>
      <c r="K114" s="163"/>
      <c r="L114" s="163"/>
      <c r="M114" s="164">
        <v>22</v>
      </c>
      <c r="N114" s="164"/>
      <c r="O114" s="164"/>
      <c r="P114" s="159" t="s">
        <v>637</v>
      </c>
      <c r="Q114" s="159" t="s">
        <v>506</v>
      </c>
      <c r="R114" s="159" t="s">
        <v>638</v>
      </c>
      <c r="S114" s="165">
        <v>2.03878902954698E-2</v>
      </c>
      <c r="T114" s="166" t="s">
        <v>382</v>
      </c>
      <c r="U114" s="166"/>
      <c r="V114" s="166"/>
      <c r="W114" s="167">
        <f>IF(BetTable[Sport]="","",BetTable[Stake]+BetTable[S2]+BetTable[S3])</f>
        <v>22</v>
      </c>
      <c r="X114" s="164">
        <f>IF(BetTable[Odds]="","",(BetTable[WBA1-Commission])-BetTable[TS])</f>
        <v>24.64</v>
      </c>
      <c r="Y114" s="168">
        <f>IF(BetTable[Outcome]="","",BetTable[WBA1]+BetTable[WBA2]+BetTable[WBA3]-BetTable[TS])</f>
        <v>-22</v>
      </c>
      <c r="Z114" s="164">
        <f>(((BetTable[Odds]-1)*BetTable[Stake])*(1-(BetTable[Comm %]))+BetTable[Stake])</f>
        <v>46.64</v>
      </c>
      <c r="AA114" s="164">
        <f>(((BetTable[O2]-1)*BetTable[S2])*(1-(BetTable[C% 2]))+BetTable[S2])</f>
        <v>0</v>
      </c>
      <c r="AB114" s="164">
        <f>(((BetTable[O3]-1)*BetTable[S3])*(1-(BetTable[C% 3]))+BetTable[S3])</f>
        <v>0</v>
      </c>
      <c r="AC114" s="165">
        <f>IFERROR(IF(BetTable[Sport]="","",BetTable[R1]/BetTable[TS]),"")</f>
        <v>1.1200000000000001</v>
      </c>
      <c r="AD114" s="165" t="str">
        <f>IF(BetTable[O2]="","",#REF!/BetTable[TS])</f>
        <v/>
      </c>
      <c r="AE114" s="165" t="str">
        <f>IFERROR(IF(BetTable[Sport]="","",#REF!/BetTable[TS]),"")</f>
        <v/>
      </c>
      <c r="AF114" s="164">
        <f>IF(BetTable[Outcome]="Win",BetTable[WBA1-Commission],IF(BetTable[Outcome]="Win Half Stake",(BetTable[Stake]/2)+BetTable[WBA1-Commission]/2,IF(BetTable[Outcome]="Lose Half Stake",BetTable[Stake]/2,IF(BetTable[Outcome]="Lose",0,IF(BetTable[Outcome]="Void",BetTable[Stake],)))))</f>
        <v>0</v>
      </c>
      <c r="AG114" s="164">
        <f>IF(BetTable[Outcome2]="Win",BetTable[WBA2-Commission],IF(BetTable[Outcome2]="Win Half Stake",(BetTable[S2]/2)+BetTable[WBA2-Commission]/2,IF(BetTable[Outcome2]="Lose Half Stake",BetTable[S2]/2,IF(BetTable[Outcome2]="Lose",0,IF(BetTable[Outcome2]="Void",BetTable[S2],)))))</f>
        <v>0</v>
      </c>
      <c r="AH114" s="164">
        <f>IF(BetTable[Outcome3]="Win",BetTable[WBA3-Commission],IF(BetTable[Outcome3]="Win Half Stake",(BetTable[S3]/2)+BetTable[WBA3-Commission]/2,IF(BetTable[Outcome3]="Lose Half Stake",BetTable[S3]/2,IF(BetTable[Outcome3]="Lose",0,IF(BetTable[Outcome3]="Void",BetTable[S3],)))))</f>
        <v>0</v>
      </c>
      <c r="AI114" s="168">
        <f>IF(BetTable[Outcome]="",AI113,BetTable[Result]+AI113)</f>
        <v>351.99225000000007</v>
      </c>
      <c r="AJ114" s="160"/>
    </row>
    <row r="115" spans="1:36" x14ac:dyDescent="0.2">
      <c r="A115" s="159" t="s">
        <v>562</v>
      </c>
      <c r="B115" s="160" t="s">
        <v>200</v>
      </c>
      <c r="C115" s="161" t="s">
        <v>91</v>
      </c>
      <c r="D115" s="161"/>
      <c r="E115" s="161"/>
      <c r="F115" s="162"/>
      <c r="G115" s="162"/>
      <c r="H115" s="162"/>
      <c r="I115" s="160" t="s">
        <v>639</v>
      </c>
      <c r="J115" s="163">
        <v>2.31</v>
      </c>
      <c r="K115" s="163"/>
      <c r="L115" s="163"/>
      <c r="M115" s="164">
        <v>29</v>
      </c>
      <c r="N115" s="164"/>
      <c r="O115" s="164"/>
      <c r="P115" s="159" t="s">
        <v>435</v>
      </c>
      <c r="Q115" s="159" t="s">
        <v>466</v>
      </c>
      <c r="R115" s="159" t="s">
        <v>640</v>
      </c>
      <c r="S115" s="165">
        <v>3.1250351693385803E-2</v>
      </c>
      <c r="T115" s="166" t="s">
        <v>372</v>
      </c>
      <c r="U115" s="166"/>
      <c r="V115" s="166"/>
      <c r="W115" s="167">
        <f>IF(BetTable[Sport]="","",BetTable[Stake]+BetTable[S2]+BetTable[S3])</f>
        <v>29</v>
      </c>
      <c r="X115" s="164">
        <f>IF(BetTable[Odds]="","",(BetTable[WBA1-Commission])-BetTable[TS])</f>
        <v>37.990000000000009</v>
      </c>
      <c r="Y115" s="168">
        <f>IF(BetTable[Outcome]="","",BetTable[WBA1]+BetTable[WBA2]+BetTable[WBA3]-BetTable[TS])</f>
        <v>37.990000000000009</v>
      </c>
      <c r="Z115" s="164">
        <f>(((BetTable[Odds]-1)*BetTable[Stake])*(1-(BetTable[Comm %]))+BetTable[Stake])</f>
        <v>66.990000000000009</v>
      </c>
      <c r="AA115" s="164">
        <f>(((BetTable[O2]-1)*BetTable[S2])*(1-(BetTable[C% 2]))+BetTable[S2])</f>
        <v>0</v>
      </c>
      <c r="AB115" s="164">
        <f>(((BetTable[O3]-1)*BetTable[S3])*(1-(BetTable[C% 3]))+BetTable[S3])</f>
        <v>0</v>
      </c>
      <c r="AC115" s="165">
        <f>IFERROR(IF(BetTable[Sport]="","",BetTable[R1]/BetTable[TS]),"")</f>
        <v>1.3100000000000003</v>
      </c>
      <c r="AD115" s="165" t="str">
        <f>IF(BetTable[O2]="","",#REF!/BetTable[TS])</f>
        <v/>
      </c>
      <c r="AE115" s="165" t="str">
        <f>IFERROR(IF(BetTable[Sport]="","",#REF!/BetTable[TS]),"")</f>
        <v/>
      </c>
      <c r="AF115" s="164">
        <f>IF(BetTable[Outcome]="Win",BetTable[WBA1-Commission],IF(BetTable[Outcome]="Win Half Stake",(BetTable[Stake]/2)+BetTable[WBA1-Commission]/2,IF(BetTable[Outcome]="Lose Half Stake",BetTable[Stake]/2,IF(BetTable[Outcome]="Lose",0,IF(BetTable[Outcome]="Void",BetTable[Stake],)))))</f>
        <v>66.990000000000009</v>
      </c>
      <c r="AG115" s="164">
        <f>IF(BetTable[Outcome2]="Win",BetTable[WBA2-Commission],IF(BetTable[Outcome2]="Win Half Stake",(BetTable[S2]/2)+BetTable[WBA2-Commission]/2,IF(BetTable[Outcome2]="Lose Half Stake",BetTable[S2]/2,IF(BetTable[Outcome2]="Lose",0,IF(BetTable[Outcome2]="Void",BetTable[S2],)))))</f>
        <v>0</v>
      </c>
      <c r="AH115" s="164">
        <f>IF(BetTable[Outcome3]="Win",BetTable[WBA3-Commission],IF(BetTable[Outcome3]="Win Half Stake",(BetTable[S3]/2)+BetTable[WBA3-Commission]/2,IF(BetTable[Outcome3]="Lose Half Stake",BetTable[S3]/2,IF(BetTable[Outcome3]="Lose",0,IF(BetTable[Outcome3]="Void",BetTable[S3],)))))</f>
        <v>0</v>
      </c>
      <c r="AI115" s="168">
        <f>IF(BetTable[Outcome]="",AI114,BetTable[Result]+AI114)</f>
        <v>389.98225000000008</v>
      </c>
      <c r="AJ115" s="160"/>
    </row>
    <row r="116" spans="1:36" x14ac:dyDescent="0.2">
      <c r="A116" s="159" t="s">
        <v>562</v>
      </c>
      <c r="B116" s="160" t="s">
        <v>200</v>
      </c>
      <c r="C116" s="161" t="s">
        <v>91</v>
      </c>
      <c r="D116" s="161"/>
      <c r="E116" s="161"/>
      <c r="F116" s="162"/>
      <c r="G116" s="162"/>
      <c r="H116" s="162"/>
      <c r="I116" s="160" t="s">
        <v>641</v>
      </c>
      <c r="J116" s="163">
        <v>1.91</v>
      </c>
      <c r="K116" s="163"/>
      <c r="L116" s="163"/>
      <c r="M116" s="164">
        <v>39</v>
      </c>
      <c r="N116" s="164"/>
      <c r="O116" s="164"/>
      <c r="P116" s="159" t="s">
        <v>368</v>
      </c>
      <c r="Q116" s="159" t="s">
        <v>439</v>
      </c>
      <c r="R116" s="159" t="s">
        <v>642</v>
      </c>
      <c r="S116" s="165">
        <v>2.9685312026792601E-2</v>
      </c>
      <c r="T116" s="166" t="s">
        <v>372</v>
      </c>
      <c r="U116" s="166"/>
      <c r="V116" s="166"/>
      <c r="W116" s="167">
        <f>IF(BetTable[Sport]="","",BetTable[Stake]+BetTable[S2]+BetTable[S3])</f>
        <v>39</v>
      </c>
      <c r="X116" s="164">
        <f>IF(BetTable[Odds]="","",(BetTable[WBA1-Commission])-BetTable[TS])</f>
        <v>35.489999999999995</v>
      </c>
      <c r="Y116" s="168">
        <f>IF(BetTable[Outcome]="","",BetTable[WBA1]+BetTable[WBA2]+BetTable[WBA3]-BetTable[TS])</f>
        <v>35.489999999999995</v>
      </c>
      <c r="Z116" s="164">
        <f>(((BetTable[Odds]-1)*BetTable[Stake])*(1-(BetTable[Comm %]))+BetTable[Stake])</f>
        <v>74.489999999999995</v>
      </c>
      <c r="AA116" s="164">
        <f>(((BetTable[O2]-1)*BetTable[S2])*(1-(BetTable[C% 2]))+BetTable[S2])</f>
        <v>0</v>
      </c>
      <c r="AB116" s="164">
        <f>(((BetTable[O3]-1)*BetTable[S3])*(1-(BetTable[C% 3]))+BetTable[S3])</f>
        <v>0</v>
      </c>
      <c r="AC116" s="165">
        <f>IFERROR(IF(BetTable[Sport]="","",BetTable[R1]/BetTable[TS]),"")</f>
        <v>0.90999999999999992</v>
      </c>
      <c r="AD116" s="165" t="str">
        <f>IF(BetTable[O2]="","",#REF!/BetTable[TS])</f>
        <v/>
      </c>
      <c r="AE116" s="165" t="str">
        <f>IFERROR(IF(BetTable[Sport]="","",#REF!/BetTable[TS]),"")</f>
        <v/>
      </c>
      <c r="AF116" s="164">
        <f>IF(BetTable[Outcome]="Win",BetTable[WBA1-Commission],IF(BetTable[Outcome]="Win Half Stake",(BetTable[Stake]/2)+BetTable[WBA1-Commission]/2,IF(BetTable[Outcome]="Lose Half Stake",BetTable[Stake]/2,IF(BetTable[Outcome]="Lose",0,IF(BetTable[Outcome]="Void",BetTable[Stake],)))))</f>
        <v>74.489999999999995</v>
      </c>
      <c r="AG116" s="164">
        <f>IF(BetTable[Outcome2]="Win",BetTable[WBA2-Commission],IF(BetTable[Outcome2]="Win Half Stake",(BetTable[S2]/2)+BetTable[WBA2-Commission]/2,IF(BetTable[Outcome2]="Lose Half Stake",BetTable[S2]/2,IF(BetTable[Outcome2]="Lose",0,IF(BetTable[Outcome2]="Void",BetTable[S2],)))))</f>
        <v>0</v>
      </c>
      <c r="AH116" s="164">
        <f>IF(BetTable[Outcome3]="Win",BetTable[WBA3-Commission],IF(BetTable[Outcome3]="Win Half Stake",(BetTable[S3]/2)+BetTable[WBA3-Commission]/2,IF(BetTable[Outcome3]="Lose Half Stake",BetTable[S3]/2,IF(BetTable[Outcome3]="Lose",0,IF(BetTable[Outcome3]="Void",BetTable[S3],)))))</f>
        <v>0</v>
      </c>
      <c r="AI116" s="168">
        <f>IF(BetTable[Outcome]="",AI115,BetTable[Result]+AI115)</f>
        <v>425.47225000000009</v>
      </c>
      <c r="AJ116" s="160"/>
    </row>
    <row r="117" spans="1:36" x14ac:dyDescent="0.2">
      <c r="A117" s="159" t="s">
        <v>562</v>
      </c>
      <c r="B117" s="160" t="s">
        <v>200</v>
      </c>
      <c r="C117" s="161" t="s">
        <v>234</v>
      </c>
      <c r="D117" s="161"/>
      <c r="E117" s="161"/>
      <c r="F117" s="162"/>
      <c r="G117" s="162"/>
      <c r="H117" s="162"/>
      <c r="I117" s="160" t="s">
        <v>641</v>
      </c>
      <c r="J117" s="163">
        <v>2.21</v>
      </c>
      <c r="K117" s="163"/>
      <c r="L117" s="163"/>
      <c r="M117" s="164">
        <v>43</v>
      </c>
      <c r="N117" s="164"/>
      <c r="O117" s="164"/>
      <c r="P117" s="159" t="s">
        <v>643</v>
      </c>
      <c r="Q117" s="159" t="s">
        <v>439</v>
      </c>
      <c r="R117" s="159" t="s">
        <v>644</v>
      </c>
      <c r="S117" s="165">
        <v>4.3611111111111101E-2</v>
      </c>
      <c r="T117" s="166" t="s">
        <v>382</v>
      </c>
      <c r="U117" s="166"/>
      <c r="V117" s="166"/>
      <c r="W117" s="167">
        <f>IF(BetTable[Sport]="","",BetTable[Stake]+BetTable[S2]+BetTable[S3])</f>
        <v>43</v>
      </c>
      <c r="X117" s="164">
        <f>IF(BetTable[Odds]="","",(BetTable[WBA1-Commission])-BetTable[TS])</f>
        <v>52.03</v>
      </c>
      <c r="Y117" s="168">
        <f>IF(BetTable[Outcome]="","",BetTable[WBA1]+BetTable[WBA2]+BetTable[WBA3]-BetTable[TS])</f>
        <v>-43</v>
      </c>
      <c r="Z117" s="164">
        <f>(((BetTable[Odds]-1)*BetTable[Stake])*(1-(BetTable[Comm %]))+BetTable[Stake])</f>
        <v>95.03</v>
      </c>
      <c r="AA117" s="164">
        <f>(((BetTable[O2]-1)*BetTable[S2])*(1-(BetTable[C% 2]))+BetTable[S2])</f>
        <v>0</v>
      </c>
      <c r="AB117" s="164">
        <f>(((BetTable[O3]-1)*BetTable[S3])*(1-(BetTable[C% 3]))+BetTable[S3])</f>
        <v>0</v>
      </c>
      <c r="AC117" s="165">
        <f>IFERROR(IF(BetTable[Sport]="","",BetTable[R1]/BetTable[TS]),"")</f>
        <v>1.21</v>
      </c>
      <c r="AD117" s="165" t="str">
        <f>IF(BetTable[O2]="","",#REF!/BetTable[TS])</f>
        <v/>
      </c>
      <c r="AE117" s="165" t="str">
        <f>IFERROR(IF(BetTable[Sport]="","",#REF!/BetTable[TS]),"")</f>
        <v/>
      </c>
      <c r="AF117" s="164">
        <f>IF(BetTable[Outcome]="Win",BetTable[WBA1-Commission],IF(BetTable[Outcome]="Win Half Stake",(BetTable[Stake]/2)+BetTable[WBA1-Commission]/2,IF(BetTable[Outcome]="Lose Half Stake",BetTable[Stake]/2,IF(BetTable[Outcome]="Lose",0,IF(BetTable[Outcome]="Void",BetTable[Stake],)))))</f>
        <v>0</v>
      </c>
      <c r="AG117" s="164">
        <f>IF(BetTable[Outcome2]="Win",BetTable[WBA2-Commission],IF(BetTable[Outcome2]="Win Half Stake",(BetTable[S2]/2)+BetTable[WBA2-Commission]/2,IF(BetTable[Outcome2]="Lose Half Stake",BetTable[S2]/2,IF(BetTable[Outcome2]="Lose",0,IF(BetTable[Outcome2]="Void",BetTable[S2],)))))</f>
        <v>0</v>
      </c>
      <c r="AH117" s="164">
        <f>IF(BetTable[Outcome3]="Win",BetTable[WBA3-Commission],IF(BetTable[Outcome3]="Win Half Stake",(BetTable[S3]/2)+BetTable[WBA3-Commission]/2,IF(BetTable[Outcome3]="Lose Half Stake",BetTable[S3]/2,IF(BetTable[Outcome3]="Lose",0,IF(BetTable[Outcome3]="Void",BetTable[S3],)))))</f>
        <v>0</v>
      </c>
      <c r="AI117" s="168">
        <f>IF(BetTable[Outcome]="",AI116,BetTable[Result]+AI116)</f>
        <v>382.47225000000009</v>
      </c>
      <c r="AJ117" s="160"/>
    </row>
    <row r="118" spans="1:36" x14ac:dyDescent="0.2">
      <c r="A118" s="159" t="s">
        <v>562</v>
      </c>
      <c r="B118" s="160" t="s">
        <v>200</v>
      </c>
      <c r="C118" s="161" t="s">
        <v>234</v>
      </c>
      <c r="D118" s="161"/>
      <c r="E118" s="161"/>
      <c r="F118" s="162"/>
      <c r="G118" s="162"/>
      <c r="H118" s="162"/>
      <c r="I118" s="160" t="s">
        <v>645</v>
      </c>
      <c r="J118" s="163">
        <v>1.7</v>
      </c>
      <c r="K118" s="163"/>
      <c r="L118" s="163"/>
      <c r="M118" s="164">
        <v>26</v>
      </c>
      <c r="N118" s="164"/>
      <c r="O118" s="164"/>
      <c r="P118" s="159" t="s">
        <v>646</v>
      </c>
      <c r="Q118" s="159" t="s">
        <v>647</v>
      </c>
      <c r="R118" s="159" t="s">
        <v>648</v>
      </c>
      <c r="S118" s="165">
        <v>1.5094882321078701E-2</v>
      </c>
      <c r="T118" s="166" t="s">
        <v>549</v>
      </c>
      <c r="U118" s="166"/>
      <c r="V118" s="166"/>
      <c r="W118" s="167">
        <f>IF(BetTable[Sport]="","",BetTable[Stake]+BetTable[S2]+BetTable[S3])</f>
        <v>26</v>
      </c>
      <c r="X118" s="164">
        <f>IF(BetTable[Odds]="","",(BetTable[WBA1-Commission])-BetTable[TS])</f>
        <v>18.200000000000003</v>
      </c>
      <c r="Y118" s="168">
        <f>IF(BetTable[Outcome]="","",BetTable[WBA1]+BetTable[WBA2]+BetTable[WBA3]-BetTable[TS])</f>
        <v>-13</v>
      </c>
      <c r="Z118" s="164">
        <f>(((BetTable[Odds]-1)*BetTable[Stake])*(1-(BetTable[Comm %]))+BetTable[Stake])</f>
        <v>44.2</v>
      </c>
      <c r="AA118" s="164">
        <f>(((BetTable[O2]-1)*BetTable[S2])*(1-(BetTable[C% 2]))+BetTable[S2])</f>
        <v>0</v>
      </c>
      <c r="AB118" s="164">
        <f>(((BetTable[O3]-1)*BetTable[S3])*(1-(BetTable[C% 3]))+BetTable[S3])</f>
        <v>0</v>
      </c>
      <c r="AC118" s="165">
        <f>IFERROR(IF(BetTable[Sport]="","",BetTable[R1]/BetTable[TS]),"")</f>
        <v>0.70000000000000007</v>
      </c>
      <c r="AD118" s="165" t="str">
        <f>IF(BetTable[O2]="","",#REF!/BetTable[TS])</f>
        <v/>
      </c>
      <c r="AE118" s="165" t="str">
        <f>IFERROR(IF(BetTable[Sport]="","",#REF!/BetTable[TS]),"")</f>
        <v/>
      </c>
      <c r="AF118" s="164">
        <f>IF(BetTable[Outcome]="Win",BetTable[WBA1-Commission],IF(BetTable[Outcome]="Win Half Stake",(BetTable[Stake]/2)+BetTable[WBA1-Commission]/2,IF(BetTable[Outcome]="Lose Half Stake",BetTable[Stake]/2,IF(BetTable[Outcome]="Lose",0,IF(BetTable[Outcome]="Void",BetTable[Stake],)))))</f>
        <v>13</v>
      </c>
      <c r="AG118" s="164">
        <f>IF(BetTable[Outcome2]="Win",BetTable[WBA2-Commission],IF(BetTable[Outcome2]="Win Half Stake",(BetTable[S2]/2)+BetTable[WBA2-Commission]/2,IF(BetTable[Outcome2]="Lose Half Stake",BetTable[S2]/2,IF(BetTable[Outcome2]="Lose",0,IF(BetTable[Outcome2]="Void",BetTable[S2],)))))</f>
        <v>0</v>
      </c>
      <c r="AH118" s="164">
        <f>IF(BetTable[Outcome3]="Win",BetTable[WBA3-Commission],IF(BetTable[Outcome3]="Win Half Stake",(BetTable[S3]/2)+BetTable[WBA3-Commission]/2,IF(BetTable[Outcome3]="Lose Half Stake",BetTable[S3]/2,IF(BetTable[Outcome3]="Lose",0,IF(BetTable[Outcome3]="Void",BetTable[S3],)))))</f>
        <v>0</v>
      </c>
      <c r="AI118" s="168">
        <f>IF(BetTable[Outcome]="",AI117,BetTable[Result]+AI117)</f>
        <v>369.47225000000009</v>
      </c>
      <c r="AJ118" s="160"/>
    </row>
    <row r="119" spans="1:36" x14ac:dyDescent="0.2">
      <c r="A119" s="159" t="s">
        <v>562</v>
      </c>
      <c r="B119" s="160" t="s">
        <v>200</v>
      </c>
      <c r="C119" s="161" t="s">
        <v>234</v>
      </c>
      <c r="D119" s="161"/>
      <c r="E119" s="161"/>
      <c r="F119" s="162"/>
      <c r="G119" s="162"/>
      <c r="H119" s="162"/>
      <c r="I119" s="160" t="s">
        <v>649</v>
      </c>
      <c r="J119" s="163">
        <v>1.86</v>
      </c>
      <c r="K119" s="163"/>
      <c r="L119" s="163"/>
      <c r="M119" s="164">
        <v>26</v>
      </c>
      <c r="N119" s="164"/>
      <c r="O119" s="164"/>
      <c r="P119" s="159" t="s">
        <v>348</v>
      </c>
      <c r="Q119" s="159" t="s">
        <v>503</v>
      </c>
      <c r="R119" s="159" t="s">
        <v>650</v>
      </c>
      <c r="S119" s="165">
        <v>1.83783599692144E-2</v>
      </c>
      <c r="T119" s="166" t="s">
        <v>382</v>
      </c>
      <c r="U119" s="166"/>
      <c r="V119" s="166"/>
      <c r="W119" s="167">
        <f>IF(BetTable[Sport]="","",BetTable[Stake]+BetTable[S2]+BetTable[S3])</f>
        <v>26</v>
      </c>
      <c r="X119" s="164">
        <f>IF(BetTable[Odds]="","",(BetTable[WBA1-Commission])-BetTable[TS])</f>
        <v>22.36</v>
      </c>
      <c r="Y119" s="168">
        <f>IF(BetTable[Outcome]="","",BetTable[WBA1]+BetTable[WBA2]+BetTable[WBA3]-BetTable[TS])</f>
        <v>-26</v>
      </c>
      <c r="Z119" s="164">
        <f>(((BetTable[Odds]-1)*BetTable[Stake])*(1-(BetTable[Comm %]))+BetTable[Stake])</f>
        <v>48.36</v>
      </c>
      <c r="AA119" s="164">
        <f>(((BetTable[O2]-1)*BetTable[S2])*(1-(BetTable[C% 2]))+BetTable[S2])</f>
        <v>0</v>
      </c>
      <c r="AB119" s="164">
        <f>(((BetTable[O3]-1)*BetTable[S3])*(1-(BetTable[C% 3]))+BetTable[S3])</f>
        <v>0</v>
      </c>
      <c r="AC119" s="165">
        <f>IFERROR(IF(BetTable[Sport]="","",BetTable[R1]/BetTable[TS]),"")</f>
        <v>0.86</v>
      </c>
      <c r="AD119" s="165" t="str">
        <f>IF(BetTable[O2]="","",#REF!/BetTable[TS])</f>
        <v/>
      </c>
      <c r="AE119" s="165" t="str">
        <f>IFERROR(IF(BetTable[Sport]="","",#REF!/BetTable[TS]),"")</f>
        <v/>
      </c>
      <c r="AF119" s="164">
        <f>IF(BetTable[Outcome]="Win",BetTable[WBA1-Commission],IF(BetTable[Outcome]="Win Half Stake",(BetTable[Stake]/2)+BetTable[WBA1-Commission]/2,IF(BetTable[Outcome]="Lose Half Stake",BetTable[Stake]/2,IF(BetTable[Outcome]="Lose",0,IF(BetTable[Outcome]="Void",BetTable[Stake],)))))</f>
        <v>0</v>
      </c>
      <c r="AG119" s="164">
        <f>IF(BetTable[Outcome2]="Win",BetTable[WBA2-Commission],IF(BetTable[Outcome2]="Win Half Stake",(BetTable[S2]/2)+BetTable[WBA2-Commission]/2,IF(BetTable[Outcome2]="Lose Half Stake",BetTable[S2]/2,IF(BetTable[Outcome2]="Lose",0,IF(BetTable[Outcome2]="Void",BetTable[S2],)))))</f>
        <v>0</v>
      </c>
      <c r="AH119" s="164">
        <f>IF(BetTable[Outcome3]="Win",BetTable[WBA3-Commission],IF(BetTable[Outcome3]="Win Half Stake",(BetTable[S3]/2)+BetTable[WBA3-Commission]/2,IF(BetTable[Outcome3]="Lose Half Stake",BetTable[S3]/2,IF(BetTable[Outcome3]="Lose",0,IF(BetTable[Outcome3]="Void",BetTable[S3],)))))</f>
        <v>0</v>
      </c>
      <c r="AI119" s="168">
        <f>IF(BetTable[Outcome]="",AI118,BetTable[Result]+AI118)</f>
        <v>343.47225000000009</v>
      </c>
      <c r="AJ119" s="160"/>
    </row>
    <row r="120" spans="1:36" x14ac:dyDescent="0.2">
      <c r="A120" s="159" t="s">
        <v>562</v>
      </c>
      <c r="B120" s="160" t="s">
        <v>200</v>
      </c>
      <c r="C120" s="161" t="s">
        <v>234</v>
      </c>
      <c r="D120" s="161"/>
      <c r="E120" s="161"/>
      <c r="F120" s="162"/>
      <c r="G120" s="162"/>
      <c r="H120" s="162"/>
      <c r="I120" s="160" t="s">
        <v>651</v>
      </c>
      <c r="J120" s="163">
        <v>2.09</v>
      </c>
      <c r="K120" s="163"/>
      <c r="L120" s="163"/>
      <c r="M120" s="164">
        <v>29</v>
      </c>
      <c r="N120" s="164"/>
      <c r="O120" s="164"/>
      <c r="P120" s="159" t="s">
        <v>652</v>
      </c>
      <c r="Q120" s="159" t="s">
        <v>439</v>
      </c>
      <c r="R120" s="159" t="s">
        <v>653</v>
      </c>
      <c r="S120" s="165">
        <v>2.6216867060166699E-2</v>
      </c>
      <c r="T120" s="166" t="s">
        <v>382</v>
      </c>
      <c r="U120" s="166"/>
      <c r="V120" s="166"/>
      <c r="W120" s="167">
        <f>IF(BetTable[Sport]="","",BetTable[Stake]+BetTable[S2]+BetTable[S3])</f>
        <v>29</v>
      </c>
      <c r="X120" s="164">
        <f>IF(BetTable[Odds]="","",(BetTable[WBA1-Commission])-BetTable[TS])</f>
        <v>31.61</v>
      </c>
      <c r="Y120" s="168">
        <f>IF(BetTable[Outcome]="","",BetTable[WBA1]+BetTable[WBA2]+BetTable[WBA3]-BetTable[TS])</f>
        <v>-29</v>
      </c>
      <c r="Z120" s="164">
        <f>(((BetTable[Odds]-1)*BetTable[Stake])*(1-(BetTable[Comm %]))+BetTable[Stake])</f>
        <v>60.61</v>
      </c>
      <c r="AA120" s="164">
        <f>(((BetTable[O2]-1)*BetTable[S2])*(1-(BetTable[C% 2]))+BetTable[S2])</f>
        <v>0</v>
      </c>
      <c r="AB120" s="164">
        <f>(((BetTable[O3]-1)*BetTable[S3])*(1-(BetTable[C% 3]))+BetTable[S3])</f>
        <v>0</v>
      </c>
      <c r="AC120" s="165">
        <f>IFERROR(IF(BetTable[Sport]="","",BetTable[R1]/BetTable[TS]),"")</f>
        <v>1.0900000000000001</v>
      </c>
      <c r="AD120" s="165" t="str">
        <f>IF(BetTable[O2]="","",#REF!/BetTable[TS])</f>
        <v/>
      </c>
      <c r="AE120" s="165" t="str">
        <f>IFERROR(IF(BetTable[Sport]="","",#REF!/BetTable[TS]),"")</f>
        <v/>
      </c>
      <c r="AF120" s="164">
        <f>IF(BetTable[Outcome]="Win",BetTable[WBA1-Commission],IF(BetTable[Outcome]="Win Half Stake",(BetTable[Stake]/2)+BetTable[WBA1-Commission]/2,IF(BetTable[Outcome]="Lose Half Stake",BetTable[Stake]/2,IF(BetTable[Outcome]="Lose",0,IF(BetTable[Outcome]="Void",BetTable[Stake],)))))</f>
        <v>0</v>
      </c>
      <c r="AG120" s="164">
        <f>IF(BetTable[Outcome2]="Win",BetTable[WBA2-Commission],IF(BetTable[Outcome2]="Win Half Stake",(BetTable[S2]/2)+BetTable[WBA2-Commission]/2,IF(BetTable[Outcome2]="Lose Half Stake",BetTable[S2]/2,IF(BetTable[Outcome2]="Lose",0,IF(BetTable[Outcome2]="Void",BetTable[S2],)))))</f>
        <v>0</v>
      </c>
      <c r="AH120" s="164">
        <f>IF(BetTable[Outcome3]="Win",BetTable[WBA3-Commission],IF(BetTable[Outcome3]="Win Half Stake",(BetTable[S3]/2)+BetTable[WBA3-Commission]/2,IF(BetTable[Outcome3]="Lose Half Stake",BetTable[S3]/2,IF(BetTable[Outcome3]="Lose",0,IF(BetTable[Outcome3]="Void",BetTable[S3],)))))</f>
        <v>0</v>
      </c>
      <c r="AI120" s="168">
        <f>IF(BetTable[Outcome]="",AI119,BetTable[Result]+AI119)</f>
        <v>314.47225000000009</v>
      </c>
      <c r="AJ120" s="160"/>
    </row>
    <row r="121" spans="1:36" x14ac:dyDescent="0.2">
      <c r="A121" s="159" t="s">
        <v>562</v>
      </c>
      <c r="B121" s="160" t="s">
        <v>7</v>
      </c>
      <c r="C121" s="161" t="s">
        <v>234</v>
      </c>
      <c r="D121" s="161"/>
      <c r="E121" s="161"/>
      <c r="F121" s="162"/>
      <c r="G121" s="162"/>
      <c r="H121" s="162"/>
      <c r="I121" s="160" t="s">
        <v>654</v>
      </c>
      <c r="J121" s="163">
        <v>2</v>
      </c>
      <c r="K121" s="163"/>
      <c r="L121" s="163"/>
      <c r="M121" s="164">
        <v>26</v>
      </c>
      <c r="N121" s="164"/>
      <c r="O121" s="164"/>
      <c r="P121" s="159" t="s">
        <v>655</v>
      </c>
      <c r="Q121" s="159" t="s">
        <v>656</v>
      </c>
      <c r="R121" s="159" t="s">
        <v>657</v>
      </c>
      <c r="S121" s="165">
        <v>2.1645763949136601E-2</v>
      </c>
      <c r="T121" s="166" t="s">
        <v>382</v>
      </c>
      <c r="U121" s="166"/>
      <c r="V121" s="166"/>
      <c r="W121" s="167">
        <f>IF(BetTable[Sport]="","",BetTable[Stake]+BetTable[S2]+BetTable[S3])</f>
        <v>26</v>
      </c>
      <c r="X121" s="164">
        <f>IF(BetTable[Odds]="","",(BetTable[WBA1-Commission])-BetTable[TS])</f>
        <v>26</v>
      </c>
      <c r="Y121" s="168">
        <f>IF(BetTable[Outcome]="","",BetTable[WBA1]+BetTable[WBA2]+BetTable[WBA3]-BetTable[TS])</f>
        <v>-26</v>
      </c>
      <c r="Z121" s="164">
        <f>(((BetTable[Odds]-1)*BetTable[Stake])*(1-(BetTable[Comm %]))+BetTable[Stake])</f>
        <v>52</v>
      </c>
      <c r="AA121" s="164">
        <f>(((BetTable[O2]-1)*BetTable[S2])*(1-(BetTable[C% 2]))+BetTable[S2])</f>
        <v>0</v>
      </c>
      <c r="AB121" s="164">
        <f>(((BetTable[O3]-1)*BetTable[S3])*(1-(BetTable[C% 3]))+BetTable[S3])</f>
        <v>0</v>
      </c>
      <c r="AC121" s="165">
        <f>IFERROR(IF(BetTable[Sport]="","",BetTable[R1]/BetTable[TS]),"")</f>
        <v>1</v>
      </c>
      <c r="AD121" s="165" t="str">
        <f>IF(BetTable[O2]="","",#REF!/BetTable[TS])</f>
        <v/>
      </c>
      <c r="AE121" s="165" t="str">
        <f>IFERROR(IF(BetTable[Sport]="","",#REF!/BetTable[TS]),"")</f>
        <v/>
      </c>
      <c r="AF121" s="164">
        <f>IF(BetTable[Outcome]="Win",BetTable[WBA1-Commission],IF(BetTable[Outcome]="Win Half Stake",(BetTable[Stake]/2)+BetTable[WBA1-Commission]/2,IF(BetTable[Outcome]="Lose Half Stake",BetTable[Stake]/2,IF(BetTable[Outcome]="Lose",0,IF(BetTable[Outcome]="Void",BetTable[Stake],)))))</f>
        <v>0</v>
      </c>
      <c r="AG121" s="164">
        <f>IF(BetTable[Outcome2]="Win",BetTable[WBA2-Commission],IF(BetTable[Outcome2]="Win Half Stake",(BetTable[S2]/2)+BetTable[WBA2-Commission]/2,IF(BetTable[Outcome2]="Lose Half Stake",BetTable[S2]/2,IF(BetTable[Outcome2]="Lose",0,IF(BetTable[Outcome2]="Void",BetTable[S2],)))))</f>
        <v>0</v>
      </c>
      <c r="AH121" s="164">
        <f>IF(BetTable[Outcome3]="Win",BetTable[WBA3-Commission],IF(BetTable[Outcome3]="Win Half Stake",(BetTable[S3]/2)+BetTable[WBA3-Commission]/2,IF(BetTable[Outcome3]="Lose Half Stake",BetTable[S3]/2,IF(BetTable[Outcome3]="Lose",0,IF(BetTable[Outcome3]="Void",BetTable[S3],)))))</f>
        <v>0</v>
      </c>
      <c r="AI121" s="168">
        <f>IF(BetTable[Outcome]="",AI120,BetTable[Result]+AI120)</f>
        <v>288.47225000000009</v>
      </c>
      <c r="AJ121" s="160"/>
    </row>
    <row r="122" spans="1:36" x14ac:dyDescent="0.2">
      <c r="A122" s="159" t="s">
        <v>562</v>
      </c>
      <c r="B122" s="160" t="s">
        <v>200</v>
      </c>
      <c r="C122" s="161" t="s">
        <v>234</v>
      </c>
      <c r="D122" s="161"/>
      <c r="E122" s="161"/>
      <c r="F122" s="162"/>
      <c r="G122" s="162"/>
      <c r="H122" s="162"/>
      <c r="I122" s="160" t="s">
        <v>658</v>
      </c>
      <c r="J122" s="163">
        <v>2.3330000000000002</v>
      </c>
      <c r="K122" s="163"/>
      <c r="L122" s="163"/>
      <c r="M122" s="164">
        <v>24</v>
      </c>
      <c r="N122" s="164"/>
      <c r="O122" s="164"/>
      <c r="P122" s="159" t="s">
        <v>448</v>
      </c>
      <c r="Q122" s="159" t="s">
        <v>659</v>
      </c>
      <c r="R122" s="159" t="s">
        <v>660</v>
      </c>
      <c r="S122" s="165">
        <v>2.63602705378485E-2</v>
      </c>
      <c r="T122" s="166" t="s">
        <v>382</v>
      </c>
      <c r="U122" s="166"/>
      <c r="V122" s="166"/>
      <c r="W122" s="167">
        <f>IF(BetTable[Sport]="","",BetTable[Stake]+BetTable[S2]+BetTable[S3])</f>
        <v>24</v>
      </c>
      <c r="X122" s="164">
        <f>IF(BetTable[Odds]="","",(BetTable[WBA1-Commission])-BetTable[TS])</f>
        <v>31.992000000000004</v>
      </c>
      <c r="Y122" s="168">
        <f>IF(BetTable[Outcome]="","",BetTable[WBA1]+BetTable[WBA2]+BetTable[WBA3]-BetTable[TS])</f>
        <v>-24</v>
      </c>
      <c r="Z122" s="164">
        <f>(((BetTable[Odds]-1)*BetTable[Stake])*(1-(BetTable[Comm %]))+BetTable[Stake])</f>
        <v>55.992000000000004</v>
      </c>
      <c r="AA122" s="164">
        <f>(((BetTable[O2]-1)*BetTable[S2])*(1-(BetTable[C% 2]))+BetTable[S2])</f>
        <v>0</v>
      </c>
      <c r="AB122" s="164">
        <f>(((BetTable[O3]-1)*BetTable[S3])*(1-(BetTable[C% 3]))+BetTable[S3])</f>
        <v>0</v>
      </c>
      <c r="AC122" s="165">
        <f>IFERROR(IF(BetTable[Sport]="","",BetTable[R1]/BetTable[TS]),"")</f>
        <v>1.3330000000000002</v>
      </c>
      <c r="AD122" s="165" t="str">
        <f>IF(BetTable[O2]="","",#REF!/BetTable[TS])</f>
        <v/>
      </c>
      <c r="AE122" s="165" t="str">
        <f>IFERROR(IF(BetTable[Sport]="","",#REF!/BetTable[TS]),"")</f>
        <v/>
      </c>
      <c r="AF122" s="164">
        <f>IF(BetTable[Outcome]="Win",BetTable[WBA1-Commission],IF(BetTable[Outcome]="Win Half Stake",(BetTable[Stake]/2)+BetTable[WBA1-Commission]/2,IF(BetTable[Outcome]="Lose Half Stake",BetTable[Stake]/2,IF(BetTable[Outcome]="Lose",0,IF(BetTable[Outcome]="Void",BetTable[Stake],)))))</f>
        <v>0</v>
      </c>
      <c r="AG122" s="164">
        <f>IF(BetTable[Outcome2]="Win",BetTable[WBA2-Commission],IF(BetTable[Outcome2]="Win Half Stake",(BetTable[S2]/2)+BetTable[WBA2-Commission]/2,IF(BetTable[Outcome2]="Lose Half Stake",BetTable[S2]/2,IF(BetTable[Outcome2]="Lose",0,IF(BetTable[Outcome2]="Void",BetTable[S2],)))))</f>
        <v>0</v>
      </c>
      <c r="AH122" s="164">
        <f>IF(BetTable[Outcome3]="Win",BetTable[WBA3-Commission],IF(BetTable[Outcome3]="Win Half Stake",(BetTable[S3]/2)+BetTable[WBA3-Commission]/2,IF(BetTable[Outcome3]="Lose Half Stake",BetTable[S3]/2,IF(BetTable[Outcome3]="Lose",0,IF(BetTable[Outcome3]="Void",BetTable[S3],)))))</f>
        <v>0</v>
      </c>
      <c r="AI122" s="168">
        <f>IF(BetTable[Outcome]="",AI121,BetTable[Result]+AI121)</f>
        <v>264.47225000000009</v>
      </c>
      <c r="AJ122" s="160"/>
    </row>
    <row r="123" spans="1:36" x14ac:dyDescent="0.2">
      <c r="A123" s="159" t="s">
        <v>562</v>
      </c>
      <c r="B123" s="160" t="s">
        <v>200</v>
      </c>
      <c r="C123" s="161" t="s">
        <v>234</v>
      </c>
      <c r="D123" s="161"/>
      <c r="E123" s="161"/>
      <c r="F123" s="162"/>
      <c r="G123" s="162"/>
      <c r="H123" s="162"/>
      <c r="I123" s="160" t="s">
        <v>661</v>
      </c>
      <c r="J123" s="163">
        <v>1.92</v>
      </c>
      <c r="K123" s="163"/>
      <c r="L123" s="163"/>
      <c r="M123" s="164">
        <v>44</v>
      </c>
      <c r="N123" s="164"/>
      <c r="O123" s="164"/>
      <c r="P123" s="159" t="s">
        <v>448</v>
      </c>
      <c r="Q123" s="159" t="s">
        <v>662</v>
      </c>
      <c r="R123" s="159" t="s">
        <v>663</v>
      </c>
      <c r="S123" s="165">
        <v>3.3826972037340398E-2</v>
      </c>
      <c r="T123" s="166" t="s">
        <v>372</v>
      </c>
      <c r="U123" s="166"/>
      <c r="V123" s="166"/>
      <c r="W123" s="167">
        <f>IF(BetTable[Sport]="","",BetTable[Stake]+BetTable[S2]+BetTable[S3])</f>
        <v>44</v>
      </c>
      <c r="X123" s="164">
        <f>IF(BetTable[Odds]="","",(BetTable[WBA1-Commission])-BetTable[TS])</f>
        <v>40.47999999999999</v>
      </c>
      <c r="Y123" s="168">
        <f>IF(BetTable[Outcome]="","",BetTable[WBA1]+BetTable[WBA2]+BetTable[WBA3]-BetTable[TS])</f>
        <v>40.47999999999999</v>
      </c>
      <c r="Z123" s="164">
        <f>(((BetTable[Odds]-1)*BetTable[Stake])*(1-(BetTable[Comm %]))+BetTable[Stake])</f>
        <v>84.47999999999999</v>
      </c>
      <c r="AA123" s="164">
        <f>(((BetTable[O2]-1)*BetTable[S2])*(1-(BetTable[C% 2]))+BetTable[S2])</f>
        <v>0</v>
      </c>
      <c r="AB123" s="164">
        <f>(((BetTable[O3]-1)*BetTable[S3])*(1-(BetTable[C% 3]))+BetTable[S3])</f>
        <v>0</v>
      </c>
      <c r="AC123" s="165">
        <f>IFERROR(IF(BetTable[Sport]="","",BetTable[R1]/BetTable[TS]),"")</f>
        <v>0.91999999999999982</v>
      </c>
      <c r="AD123" s="165" t="str">
        <f>IF(BetTable[O2]="","",#REF!/BetTable[TS])</f>
        <v/>
      </c>
      <c r="AE123" s="165" t="str">
        <f>IFERROR(IF(BetTable[Sport]="","",#REF!/BetTable[TS]),"")</f>
        <v/>
      </c>
      <c r="AF123" s="164">
        <f>IF(BetTable[Outcome]="Win",BetTable[WBA1-Commission],IF(BetTable[Outcome]="Win Half Stake",(BetTable[Stake]/2)+BetTable[WBA1-Commission]/2,IF(BetTable[Outcome]="Lose Half Stake",BetTable[Stake]/2,IF(BetTable[Outcome]="Lose",0,IF(BetTable[Outcome]="Void",BetTable[Stake],)))))</f>
        <v>84.47999999999999</v>
      </c>
      <c r="AG123" s="164">
        <f>IF(BetTable[Outcome2]="Win",BetTable[WBA2-Commission],IF(BetTable[Outcome2]="Win Half Stake",(BetTable[S2]/2)+BetTable[WBA2-Commission]/2,IF(BetTable[Outcome2]="Lose Half Stake",BetTable[S2]/2,IF(BetTable[Outcome2]="Lose",0,IF(BetTable[Outcome2]="Void",BetTable[S2],)))))</f>
        <v>0</v>
      </c>
      <c r="AH123" s="164">
        <f>IF(BetTable[Outcome3]="Win",BetTable[WBA3-Commission],IF(BetTable[Outcome3]="Win Half Stake",(BetTable[S3]/2)+BetTable[WBA3-Commission]/2,IF(BetTable[Outcome3]="Lose Half Stake",BetTable[S3]/2,IF(BetTable[Outcome3]="Lose",0,IF(BetTable[Outcome3]="Void",BetTable[S3],)))))</f>
        <v>0</v>
      </c>
      <c r="AI123" s="168">
        <f>IF(BetTable[Outcome]="",AI122,BetTable[Result]+AI122)</f>
        <v>304.95225000000005</v>
      </c>
      <c r="AJ123" s="160"/>
    </row>
    <row r="124" spans="1:36" x14ac:dyDescent="0.2">
      <c r="A124" s="159" t="s">
        <v>562</v>
      </c>
      <c r="B124" s="160" t="s">
        <v>200</v>
      </c>
      <c r="C124" s="161" t="s">
        <v>234</v>
      </c>
      <c r="D124" s="161"/>
      <c r="E124" s="161"/>
      <c r="F124" s="162"/>
      <c r="G124" s="162"/>
      <c r="H124" s="162"/>
      <c r="I124" s="160" t="s">
        <v>664</v>
      </c>
      <c r="J124" s="163">
        <v>1.96</v>
      </c>
      <c r="K124" s="163"/>
      <c r="L124" s="163"/>
      <c r="M124" s="164">
        <v>21</v>
      </c>
      <c r="N124" s="164"/>
      <c r="O124" s="164"/>
      <c r="P124" s="159" t="s">
        <v>665</v>
      </c>
      <c r="Q124" s="159" t="s">
        <v>581</v>
      </c>
      <c r="R124" s="159" t="s">
        <v>666</v>
      </c>
      <c r="S124" s="165">
        <v>1.66225165192826E-2</v>
      </c>
      <c r="T124" s="166" t="s">
        <v>383</v>
      </c>
      <c r="U124" s="166"/>
      <c r="V124" s="166"/>
      <c r="W124" s="167">
        <f>IF(BetTable[Sport]="","",BetTable[Stake]+BetTable[S2]+BetTable[S3])</f>
        <v>21</v>
      </c>
      <c r="X124" s="164">
        <f>IF(BetTable[Odds]="","",(BetTable[WBA1-Commission])-BetTable[TS])</f>
        <v>20.159999999999997</v>
      </c>
      <c r="Y124" s="168">
        <f>IF(BetTable[Outcome]="","",BetTable[WBA1]+BetTable[WBA2]+BetTable[WBA3]-BetTable[TS])</f>
        <v>0</v>
      </c>
      <c r="Z124" s="164">
        <f>(((BetTable[Odds]-1)*BetTable[Stake])*(1-(BetTable[Comm %]))+BetTable[Stake])</f>
        <v>41.16</v>
      </c>
      <c r="AA124" s="164">
        <f>(((BetTable[O2]-1)*BetTable[S2])*(1-(BetTable[C% 2]))+BetTable[S2])</f>
        <v>0</v>
      </c>
      <c r="AB124" s="164">
        <f>(((BetTable[O3]-1)*BetTable[S3])*(1-(BetTable[C% 3]))+BetTable[S3])</f>
        <v>0</v>
      </c>
      <c r="AC124" s="165">
        <f>IFERROR(IF(BetTable[Sport]="","",BetTable[R1]/BetTable[TS]),"")</f>
        <v>0.95999999999999985</v>
      </c>
      <c r="AD124" s="165" t="str">
        <f>IF(BetTable[O2]="","",#REF!/BetTable[TS])</f>
        <v/>
      </c>
      <c r="AE124" s="165" t="str">
        <f>IFERROR(IF(BetTable[Sport]="","",#REF!/BetTable[TS]),"")</f>
        <v/>
      </c>
      <c r="AF124" s="164">
        <f>IF(BetTable[Outcome]="Win",BetTable[WBA1-Commission],IF(BetTable[Outcome]="Win Half Stake",(BetTable[Stake]/2)+BetTable[WBA1-Commission]/2,IF(BetTable[Outcome]="Lose Half Stake",BetTable[Stake]/2,IF(BetTable[Outcome]="Lose",0,IF(BetTable[Outcome]="Void",BetTable[Stake],)))))</f>
        <v>21</v>
      </c>
      <c r="AG124" s="164">
        <f>IF(BetTable[Outcome2]="Win",BetTable[WBA2-Commission],IF(BetTable[Outcome2]="Win Half Stake",(BetTable[S2]/2)+BetTable[WBA2-Commission]/2,IF(BetTable[Outcome2]="Lose Half Stake",BetTable[S2]/2,IF(BetTable[Outcome2]="Lose",0,IF(BetTable[Outcome2]="Void",BetTable[S2],)))))</f>
        <v>0</v>
      </c>
      <c r="AH124" s="164">
        <f>IF(BetTable[Outcome3]="Win",BetTable[WBA3-Commission],IF(BetTable[Outcome3]="Win Half Stake",(BetTable[S3]/2)+BetTable[WBA3-Commission]/2,IF(BetTable[Outcome3]="Lose Half Stake",BetTable[S3]/2,IF(BetTable[Outcome3]="Lose",0,IF(BetTable[Outcome3]="Void",BetTable[S3],)))))</f>
        <v>0</v>
      </c>
      <c r="AI124" s="168">
        <f>IF(BetTable[Outcome]="",AI123,BetTable[Result]+AI123)</f>
        <v>304.95225000000005</v>
      </c>
      <c r="AJ124" s="160"/>
    </row>
    <row r="125" spans="1:36" x14ac:dyDescent="0.2">
      <c r="A125" s="159" t="s">
        <v>562</v>
      </c>
      <c r="B125" s="160" t="s">
        <v>200</v>
      </c>
      <c r="C125" s="161" t="s">
        <v>234</v>
      </c>
      <c r="D125" s="161"/>
      <c r="E125" s="161"/>
      <c r="F125" s="162"/>
      <c r="G125" s="162"/>
      <c r="H125" s="162"/>
      <c r="I125" s="160" t="s">
        <v>667</v>
      </c>
      <c r="J125" s="163">
        <v>1.76</v>
      </c>
      <c r="K125" s="163"/>
      <c r="L125" s="163"/>
      <c r="M125" s="164">
        <v>16</v>
      </c>
      <c r="N125" s="164"/>
      <c r="O125" s="164"/>
      <c r="P125" s="159" t="s">
        <v>668</v>
      </c>
      <c r="Q125" s="159" t="s">
        <v>506</v>
      </c>
      <c r="R125" s="159" t="s">
        <v>669</v>
      </c>
      <c r="S125" s="165">
        <v>9.9650935396621391E-3</v>
      </c>
      <c r="T125" s="166" t="s">
        <v>382</v>
      </c>
      <c r="U125" s="166"/>
      <c r="V125" s="166"/>
      <c r="W125" s="167">
        <f>IF(BetTable[Sport]="","",BetTable[Stake]+BetTable[S2]+BetTable[S3])</f>
        <v>16</v>
      </c>
      <c r="X125" s="164">
        <f>IF(BetTable[Odds]="","",(BetTable[WBA1-Commission])-BetTable[TS])</f>
        <v>12.16</v>
      </c>
      <c r="Y125" s="168">
        <f>IF(BetTable[Outcome]="","",BetTable[WBA1]+BetTable[WBA2]+BetTable[WBA3]-BetTable[TS])</f>
        <v>-16</v>
      </c>
      <c r="Z125" s="164">
        <f>(((BetTable[Odds]-1)*BetTable[Stake])*(1-(BetTable[Comm %]))+BetTable[Stake])</f>
        <v>28.16</v>
      </c>
      <c r="AA125" s="164">
        <f>(((BetTable[O2]-1)*BetTable[S2])*(1-(BetTable[C% 2]))+BetTable[S2])</f>
        <v>0</v>
      </c>
      <c r="AB125" s="164">
        <f>(((BetTable[O3]-1)*BetTable[S3])*(1-(BetTable[C% 3]))+BetTable[S3])</f>
        <v>0</v>
      </c>
      <c r="AC125" s="165">
        <f>IFERROR(IF(BetTable[Sport]="","",BetTable[R1]/BetTable[TS]),"")</f>
        <v>0.76</v>
      </c>
      <c r="AD125" s="165" t="str">
        <f>IF(BetTable[O2]="","",#REF!/BetTable[TS])</f>
        <v/>
      </c>
      <c r="AE125" s="165" t="str">
        <f>IFERROR(IF(BetTable[Sport]="","",#REF!/BetTable[TS]),"")</f>
        <v/>
      </c>
      <c r="AF125" s="164">
        <f>IF(BetTable[Outcome]="Win",BetTable[WBA1-Commission],IF(BetTable[Outcome]="Win Half Stake",(BetTable[Stake]/2)+BetTable[WBA1-Commission]/2,IF(BetTable[Outcome]="Lose Half Stake",BetTable[Stake]/2,IF(BetTable[Outcome]="Lose",0,IF(BetTable[Outcome]="Void",BetTable[Stake],)))))</f>
        <v>0</v>
      </c>
      <c r="AG125" s="164">
        <f>IF(BetTable[Outcome2]="Win",BetTable[WBA2-Commission],IF(BetTable[Outcome2]="Win Half Stake",(BetTable[S2]/2)+BetTable[WBA2-Commission]/2,IF(BetTable[Outcome2]="Lose Half Stake",BetTable[S2]/2,IF(BetTable[Outcome2]="Lose",0,IF(BetTable[Outcome2]="Void",BetTable[S2],)))))</f>
        <v>0</v>
      </c>
      <c r="AH125" s="164">
        <f>IF(BetTable[Outcome3]="Win",BetTable[WBA3-Commission],IF(BetTable[Outcome3]="Win Half Stake",(BetTable[S3]/2)+BetTable[WBA3-Commission]/2,IF(BetTable[Outcome3]="Lose Half Stake",BetTable[S3]/2,IF(BetTable[Outcome3]="Lose",0,IF(BetTable[Outcome3]="Void",BetTable[S3],)))))</f>
        <v>0</v>
      </c>
      <c r="AI125" s="168">
        <f>IF(BetTable[Outcome]="",AI124,BetTable[Result]+AI124)</f>
        <v>288.95225000000005</v>
      </c>
      <c r="AJ125" s="160"/>
    </row>
    <row r="126" spans="1:36" x14ac:dyDescent="0.2">
      <c r="A126" s="159" t="s">
        <v>562</v>
      </c>
      <c r="B126" s="160" t="s">
        <v>200</v>
      </c>
      <c r="C126" s="161" t="s">
        <v>91</v>
      </c>
      <c r="D126" s="161"/>
      <c r="E126" s="161"/>
      <c r="F126" s="162"/>
      <c r="G126" s="162"/>
      <c r="H126" s="162"/>
      <c r="I126" s="160" t="s">
        <v>667</v>
      </c>
      <c r="J126" s="163">
        <v>2.0499999999999998</v>
      </c>
      <c r="K126" s="163"/>
      <c r="L126" s="163"/>
      <c r="M126" s="164">
        <v>20</v>
      </c>
      <c r="N126" s="164"/>
      <c r="O126" s="164"/>
      <c r="P126" s="159" t="s">
        <v>457</v>
      </c>
      <c r="Q126" s="159" t="s">
        <v>506</v>
      </c>
      <c r="R126" s="159" t="s">
        <v>670</v>
      </c>
      <c r="S126" s="165">
        <v>1.7789843465866401E-2</v>
      </c>
      <c r="T126" s="166" t="s">
        <v>372</v>
      </c>
      <c r="U126" s="166"/>
      <c r="V126" s="166"/>
      <c r="W126" s="167">
        <f>IF(BetTable[Sport]="","",BetTable[Stake]+BetTable[S2]+BetTable[S3])</f>
        <v>20</v>
      </c>
      <c r="X126" s="164">
        <f>IF(BetTable[Odds]="","",(BetTable[WBA1-Commission])-BetTable[TS])</f>
        <v>21</v>
      </c>
      <c r="Y126" s="168">
        <f>IF(BetTable[Outcome]="","",BetTable[WBA1]+BetTable[WBA2]+BetTable[WBA3]-BetTable[TS])</f>
        <v>21</v>
      </c>
      <c r="Z126" s="164">
        <f>(((BetTable[Odds]-1)*BetTable[Stake])*(1-(BetTable[Comm %]))+BetTable[Stake])</f>
        <v>41</v>
      </c>
      <c r="AA126" s="164">
        <f>(((BetTable[O2]-1)*BetTable[S2])*(1-(BetTable[C% 2]))+BetTable[S2])</f>
        <v>0</v>
      </c>
      <c r="AB126" s="164">
        <f>(((BetTable[O3]-1)*BetTable[S3])*(1-(BetTable[C% 3]))+BetTable[S3])</f>
        <v>0</v>
      </c>
      <c r="AC126" s="165">
        <f>IFERROR(IF(BetTable[Sport]="","",BetTable[R1]/BetTable[TS]),"")</f>
        <v>1.05</v>
      </c>
      <c r="AD126" s="165" t="str">
        <f>IF(BetTable[O2]="","",#REF!/BetTable[TS])</f>
        <v/>
      </c>
      <c r="AE126" s="165" t="str">
        <f>IFERROR(IF(BetTable[Sport]="","",#REF!/BetTable[TS]),"")</f>
        <v/>
      </c>
      <c r="AF126" s="164">
        <f>IF(BetTable[Outcome]="Win",BetTable[WBA1-Commission],IF(BetTable[Outcome]="Win Half Stake",(BetTable[Stake]/2)+BetTable[WBA1-Commission]/2,IF(BetTable[Outcome]="Lose Half Stake",BetTable[Stake]/2,IF(BetTable[Outcome]="Lose",0,IF(BetTable[Outcome]="Void",BetTable[Stake],)))))</f>
        <v>41</v>
      </c>
      <c r="AG126" s="164">
        <f>IF(BetTable[Outcome2]="Win",BetTable[WBA2-Commission],IF(BetTable[Outcome2]="Win Half Stake",(BetTable[S2]/2)+BetTable[WBA2-Commission]/2,IF(BetTable[Outcome2]="Lose Half Stake",BetTable[S2]/2,IF(BetTable[Outcome2]="Lose",0,IF(BetTable[Outcome2]="Void",BetTable[S2],)))))</f>
        <v>0</v>
      </c>
      <c r="AH126" s="164">
        <f>IF(BetTable[Outcome3]="Win",BetTable[WBA3-Commission],IF(BetTable[Outcome3]="Win Half Stake",(BetTable[S3]/2)+BetTable[WBA3-Commission]/2,IF(BetTable[Outcome3]="Lose Half Stake",BetTable[S3]/2,IF(BetTable[Outcome3]="Lose",0,IF(BetTable[Outcome3]="Void",BetTable[S3],)))))</f>
        <v>0</v>
      </c>
      <c r="AI126" s="168">
        <f>IF(BetTable[Outcome]="",AI125,BetTable[Result]+AI125)</f>
        <v>309.95225000000005</v>
      </c>
      <c r="AJ126" s="160"/>
    </row>
    <row r="127" spans="1:36" x14ac:dyDescent="0.2">
      <c r="A127" s="159" t="s">
        <v>562</v>
      </c>
      <c r="B127" s="160" t="s">
        <v>7</v>
      </c>
      <c r="C127" s="161" t="s">
        <v>91</v>
      </c>
      <c r="D127" s="161"/>
      <c r="E127" s="161"/>
      <c r="F127" s="162"/>
      <c r="G127" s="162"/>
      <c r="H127" s="162"/>
      <c r="I127" s="160" t="s">
        <v>583</v>
      </c>
      <c r="J127" s="163">
        <v>1.76</v>
      </c>
      <c r="K127" s="163"/>
      <c r="L127" s="163"/>
      <c r="M127" s="164">
        <v>24</v>
      </c>
      <c r="N127" s="164"/>
      <c r="O127" s="164"/>
      <c r="P127" s="159" t="s">
        <v>671</v>
      </c>
      <c r="Q127" s="159" t="s">
        <v>585</v>
      </c>
      <c r="R127" s="159" t="s">
        <v>672</v>
      </c>
      <c r="S127" s="165">
        <v>1.5141801144969101E-2</v>
      </c>
      <c r="T127" s="166" t="s">
        <v>382</v>
      </c>
      <c r="U127" s="166"/>
      <c r="V127" s="166"/>
      <c r="W127" s="167">
        <f>IF(BetTable[Sport]="","",BetTable[Stake]+BetTable[S2]+BetTable[S3])</f>
        <v>24</v>
      </c>
      <c r="X127" s="164">
        <f>IF(BetTable[Odds]="","",(BetTable[WBA1-Commission])-BetTable[TS])</f>
        <v>18.240000000000002</v>
      </c>
      <c r="Y127" s="168">
        <f>IF(BetTable[Outcome]="","",BetTable[WBA1]+BetTable[WBA2]+BetTable[WBA3]-BetTable[TS])</f>
        <v>-24</v>
      </c>
      <c r="Z127" s="164">
        <f>(((BetTable[Odds]-1)*BetTable[Stake])*(1-(BetTable[Comm %]))+BetTable[Stake])</f>
        <v>42.24</v>
      </c>
      <c r="AA127" s="164">
        <f>(((BetTable[O2]-1)*BetTable[S2])*(1-(BetTable[C% 2]))+BetTable[S2])</f>
        <v>0</v>
      </c>
      <c r="AB127" s="164">
        <f>(((BetTable[O3]-1)*BetTable[S3])*(1-(BetTable[C% 3]))+BetTable[S3])</f>
        <v>0</v>
      </c>
      <c r="AC127" s="165">
        <f>IFERROR(IF(BetTable[Sport]="","",BetTable[R1]/BetTable[TS]),"")</f>
        <v>0.76000000000000012</v>
      </c>
      <c r="AD127" s="165" t="str">
        <f>IF(BetTable[O2]="","",#REF!/BetTable[TS])</f>
        <v/>
      </c>
      <c r="AE127" s="165" t="str">
        <f>IFERROR(IF(BetTable[Sport]="","",#REF!/BetTable[TS]),"")</f>
        <v/>
      </c>
      <c r="AF127" s="164">
        <f>IF(BetTable[Outcome]="Win",BetTable[WBA1-Commission],IF(BetTable[Outcome]="Win Half Stake",(BetTable[Stake]/2)+BetTable[WBA1-Commission]/2,IF(BetTable[Outcome]="Lose Half Stake",BetTable[Stake]/2,IF(BetTable[Outcome]="Lose",0,IF(BetTable[Outcome]="Void",BetTable[Stake],)))))</f>
        <v>0</v>
      </c>
      <c r="AG127" s="164">
        <f>IF(BetTable[Outcome2]="Win",BetTable[WBA2-Commission],IF(BetTable[Outcome2]="Win Half Stake",(BetTable[S2]/2)+BetTable[WBA2-Commission]/2,IF(BetTable[Outcome2]="Lose Half Stake",BetTable[S2]/2,IF(BetTable[Outcome2]="Lose",0,IF(BetTable[Outcome2]="Void",BetTable[S2],)))))</f>
        <v>0</v>
      </c>
      <c r="AH127" s="164">
        <f>IF(BetTable[Outcome3]="Win",BetTable[WBA3-Commission],IF(BetTable[Outcome3]="Win Half Stake",(BetTable[S3]/2)+BetTable[WBA3-Commission]/2,IF(BetTable[Outcome3]="Lose Half Stake",BetTable[S3]/2,IF(BetTable[Outcome3]="Lose",0,IF(BetTable[Outcome3]="Void",BetTable[S3],)))))</f>
        <v>0</v>
      </c>
      <c r="AI127" s="168">
        <f>IF(BetTable[Outcome]="",AI126,BetTable[Result]+AI126)</f>
        <v>285.95225000000005</v>
      </c>
      <c r="AJ127" s="160"/>
    </row>
    <row r="128" spans="1:36" x14ac:dyDescent="0.2">
      <c r="A128" s="159" t="s">
        <v>562</v>
      </c>
      <c r="B128" s="160" t="s">
        <v>200</v>
      </c>
      <c r="C128" s="161" t="s">
        <v>234</v>
      </c>
      <c r="D128" s="161"/>
      <c r="E128" s="161"/>
      <c r="F128" s="162"/>
      <c r="G128" s="162"/>
      <c r="H128" s="162"/>
      <c r="I128" s="160" t="s">
        <v>673</v>
      </c>
      <c r="J128" s="163">
        <v>1.98</v>
      </c>
      <c r="K128" s="163"/>
      <c r="L128" s="163"/>
      <c r="M128" s="164">
        <v>26</v>
      </c>
      <c r="N128" s="164"/>
      <c r="O128" s="164"/>
      <c r="P128" s="159" t="s">
        <v>348</v>
      </c>
      <c r="Q128" s="159" t="s">
        <v>674</v>
      </c>
      <c r="R128" s="159" t="s">
        <v>675</v>
      </c>
      <c r="S128" s="165">
        <v>2.14628118474409E-2</v>
      </c>
      <c r="T128" s="166" t="s">
        <v>383</v>
      </c>
      <c r="U128" s="166"/>
      <c r="V128" s="166"/>
      <c r="W128" s="167">
        <f>IF(BetTable[Sport]="","",BetTable[Stake]+BetTable[S2]+BetTable[S3])</f>
        <v>26</v>
      </c>
      <c r="X128" s="164">
        <f>IF(BetTable[Odds]="","",(BetTable[WBA1-Commission])-BetTable[TS])</f>
        <v>25.480000000000004</v>
      </c>
      <c r="Y128" s="168">
        <f>IF(BetTable[Outcome]="","",BetTable[WBA1]+BetTable[WBA2]+BetTable[WBA3]-BetTable[TS])</f>
        <v>0</v>
      </c>
      <c r="Z128" s="164">
        <f>(((BetTable[Odds]-1)*BetTable[Stake])*(1-(BetTable[Comm %]))+BetTable[Stake])</f>
        <v>51.480000000000004</v>
      </c>
      <c r="AA128" s="164">
        <f>(((BetTable[O2]-1)*BetTable[S2])*(1-(BetTable[C% 2]))+BetTable[S2])</f>
        <v>0</v>
      </c>
      <c r="AB128" s="164">
        <f>(((BetTable[O3]-1)*BetTable[S3])*(1-(BetTable[C% 3]))+BetTable[S3])</f>
        <v>0</v>
      </c>
      <c r="AC128" s="165">
        <f>IFERROR(IF(BetTable[Sport]="","",BetTable[R1]/BetTable[TS]),"")</f>
        <v>0.9800000000000002</v>
      </c>
      <c r="AD128" s="165" t="str">
        <f>IF(BetTable[O2]="","",#REF!/BetTable[TS])</f>
        <v/>
      </c>
      <c r="AE128" s="165" t="str">
        <f>IFERROR(IF(BetTable[Sport]="","",#REF!/BetTable[TS]),"")</f>
        <v/>
      </c>
      <c r="AF128" s="164">
        <f>IF(BetTable[Outcome]="Win",BetTable[WBA1-Commission],IF(BetTable[Outcome]="Win Half Stake",(BetTable[Stake]/2)+BetTable[WBA1-Commission]/2,IF(BetTable[Outcome]="Lose Half Stake",BetTable[Stake]/2,IF(BetTable[Outcome]="Lose",0,IF(BetTable[Outcome]="Void",BetTable[Stake],)))))</f>
        <v>26</v>
      </c>
      <c r="AG128" s="164">
        <f>IF(BetTable[Outcome2]="Win",BetTable[WBA2-Commission],IF(BetTable[Outcome2]="Win Half Stake",(BetTable[S2]/2)+BetTable[WBA2-Commission]/2,IF(BetTable[Outcome2]="Lose Half Stake",BetTable[S2]/2,IF(BetTable[Outcome2]="Lose",0,IF(BetTable[Outcome2]="Void",BetTable[S2],)))))</f>
        <v>0</v>
      </c>
      <c r="AH128" s="164">
        <f>IF(BetTable[Outcome3]="Win",BetTable[WBA3-Commission],IF(BetTable[Outcome3]="Win Half Stake",(BetTable[S3]/2)+BetTable[WBA3-Commission]/2,IF(BetTable[Outcome3]="Lose Half Stake",BetTable[S3]/2,IF(BetTable[Outcome3]="Lose",0,IF(BetTable[Outcome3]="Void",BetTable[S3],)))))</f>
        <v>0</v>
      </c>
      <c r="AI128" s="168">
        <f>IF(BetTable[Outcome]="",AI127,BetTable[Result]+AI127)</f>
        <v>285.95225000000005</v>
      </c>
      <c r="AJ128" s="160"/>
    </row>
    <row r="129" spans="1:36" x14ac:dyDescent="0.2">
      <c r="A129" s="159" t="s">
        <v>562</v>
      </c>
      <c r="B129" s="160" t="s">
        <v>8</v>
      </c>
      <c r="C129" s="161" t="s">
        <v>91</v>
      </c>
      <c r="D129" s="161"/>
      <c r="E129" s="161"/>
      <c r="F129" s="162"/>
      <c r="G129" s="162"/>
      <c r="H129" s="162"/>
      <c r="I129" s="160" t="s">
        <v>676</v>
      </c>
      <c r="J129" s="163">
        <v>2.63</v>
      </c>
      <c r="K129" s="163"/>
      <c r="L129" s="163"/>
      <c r="M129" s="164">
        <v>11</v>
      </c>
      <c r="N129" s="164"/>
      <c r="O129" s="164"/>
      <c r="P129" s="159" t="s">
        <v>428</v>
      </c>
      <c r="Q129" s="159" t="s">
        <v>677</v>
      </c>
      <c r="R129" s="159" t="s">
        <v>678</v>
      </c>
      <c r="S129" s="165">
        <v>1.5382729357975499E-2</v>
      </c>
      <c r="T129" s="166" t="s">
        <v>372</v>
      </c>
      <c r="U129" s="166"/>
      <c r="V129" s="166"/>
      <c r="W129" s="167">
        <f>IF(BetTable[Sport]="","",BetTable[Stake]+BetTable[S2]+BetTable[S3])</f>
        <v>11</v>
      </c>
      <c r="X129" s="164">
        <f>IF(BetTable[Odds]="","",(BetTable[WBA1-Commission])-BetTable[TS])</f>
        <v>17.93</v>
      </c>
      <c r="Y129" s="168">
        <f>IF(BetTable[Outcome]="","",BetTable[WBA1]+BetTable[WBA2]+BetTable[WBA3]-BetTable[TS])</f>
        <v>17.93</v>
      </c>
      <c r="Z129" s="164">
        <f>(((BetTable[Odds]-1)*BetTable[Stake])*(1-(BetTable[Comm %]))+BetTable[Stake])</f>
        <v>28.93</v>
      </c>
      <c r="AA129" s="164">
        <f>(((BetTable[O2]-1)*BetTable[S2])*(1-(BetTable[C% 2]))+BetTable[S2])</f>
        <v>0</v>
      </c>
      <c r="AB129" s="164">
        <f>(((BetTable[O3]-1)*BetTable[S3])*(1-(BetTable[C% 3]))+BetTable[S3])</f>
        <v>0</v>
      </c>
      <c r="AC129" s="165">
        <f>IFERROR(IF(BetTable[Sport]="","",BetTable[R1]/BetTable[TS]),"")</f>
        <v>1.63</v>
      </c>
      <c r="AD129" s="165" t="str">
        <f>IF(BetTable[O2]="","",#REF!/BetTable[TS])</f>
        <v/>
      </c>
      <c r="AE129" s="165" t="str">
        <f>IFERROR(IF(BetTable[Sport]="","",#REF!/BetTable[TS]),"")</f>
        <v/>
      </c>
      <c r="AF129" s="164">
        <f>IF(BetTable[Outcome]="Win",BetTable[WBA1-Commission],IF(BetTable[Outcome]="Win Half Stake",(BetTable[Stake]/2)+BetTable[WBA1-Commission]/2,IF(BetTable[Outcome]="Lose Half Stake",BetTable[Stake]/2,IF(BetTable[Outcome]="Lose",0,IF(BetTable[Outcome]="Void",BetTable[Stake],)))))</f>
        <v>28.93</v>
      </c>
      <c r="AG129" s="164">
        <f>IF(BetTable[Outcome2]="Win",BetTable[WBA2-Commission],IF(BetTable[Outcome2]="Win Half Stake",(BetTable[S2]/2)+BetTable[WBA2-Commission]/2,IF(BetTable[Outcome2]="Lose Half Stake",BetTable[S2]/2,IF(BetTable[Outcome2]="Lose",0,IF(BetTable[Outcome2]="Void",BetTable[S2],)))))</f>
        <v>0</v>
      </c>
      <c r="AH129" s="164">
        <f>IF(BetTable[Outcome3]="Win",BetTable[WBA3-Commission],IF(BetTable[Outcome3]="Win Half Stake",(BetTable[S3]/2)+BetTable[WBA3-Commission]/2,IF(BetTable[Outcome3]="Lose Half Stake",BetTable[S3]/2,IF(BetTable[Outcome3]="Lose",0,IF(BetTable[Outcome3]="Void",BetTable[S3],)))))</f>
        <v>0</v>
      </c>
      <c r="AI129" s="168">
        <f>IF(BetTable[Outcome]="",AI128,BetTable[Result]+AI128)</f>
        <v>303.88225000000006</v>
      </c>
      <c r="AJ129" s="160"/>
    </row>
    <row r="130" spans="1:36" x14ac:dyDescent="0.2">
      <c r="A130" s="159" t="s">
        <v>562</v>
      </c>
      <c r="B130" s="160" t="s">
        <v>9</v>
      </c>
      <c r="C130" s="161" t="s">
        <v>91</v>
      </c>
      <c r="D130" s="161"/>
      <c r="E130" s="161"/>
      <c r="F130" s="162"/>
      <c r="G130" s="162"/>
      <c r="H130" s="162"/>
      <c r="I130" s="160" t="s">
        <v>679</v>
      </c>
      <c r="J130" s="163">
        <v>2.02</v>
      </c>
      <c r="K130" s="163"/>
      <c r="L130" s="163"/>
      <c r="M130" s="164">
        <v>28</v>
      </c>
      <c r="N130" s="164"/>
      <c r="O130" s="164"/>
      <c r="P130" s="159" t="s">
        <v>385</v>
      </c>
      <c r="Q130" s="159" t="s">
        <v>485</v>
      </c>
      <c r="R130" s="159" t="s">
        <v>680</v>
      </c>
      <c r="S130" s="165">
        <v>2.4009940511233001E-2</v>
      </c>
      <c r="T130" s="166" t="s">
        <v>372</v>
      </c>
      <c r="U130" s="166"/>
      <c r="V130" s="166"/>
      <c r="W130" s="167">
        <f>IF(BetTable[Sport]="","",BetTable[Stake]+BetTable[S2]+BetTable[S3])</f>
        <v>28</v>
      </c>
      <c r="X130" s="164">
        <f>IF(BetTable[Odds]="","",(BetTable[WBA1-Commission])-BetTable[TS])</f>
        <v>28.560000000000002</v>
      </c>
      <c r="Y130" s="168">
        <f>IF(BetTable[Outcome]="","",BetTable[WBA1]+BetTable[WBA2]+BetTable[WBA3]-BetTable[TS])</f>
        <v>28.560000000000002</v>
      </c>
      <c r="Z130" s="164">
        <f>(((BetTable[Odds]-1)*BetTable[Stake])*(1-(BetTable[Comm %]))+BetTable[Stake])</f>
        <v>56.56</v>
      </c>
      <c r="AA130" s="164">
        <f>(((BetTable[O2]-1)*BetTable[S2])*(1-(BetTable[C% 2]))+BetTable[S2])</f>
        <v>0</v>
      </c>
      <c r="AB130" s="164">
        <f>(((BetTable[O3]-1)*BetTable[S3])*(1-(BetTable[C% 3]))+BetTable[S3])</f>
        <v>0</v>
      </c>
      <c r="AC130" s="165">
        <f>IFERROR(IF(BetTable[Sport]="","",BetTable[R1]/BetTable[TS]),"")</f>
        <v>1.02</v>
      </c>
      <c r="AD130" s="165" t="str">
        <f>IF(BetTable[O2]="","",#REF!/BetTable[TS])</f>
        <v/>
      </c>
      <c r="AE130" s="165" t="str">
        <f>IFERROR(IF(BetTable[Sport]="","",#REF!/BetTable[TS]),"")</f>
        <v/>
      </c>
      <c r="AF130" s="164">
        <f>IF(BetTable[Outcome]="Win",BetTable[WBA1-Commission],IF(BetTable[Outcome]="Win Half Stake",(BetTable[Stake]/2)+BetTable[WBA1-Commission]/2,IF(BetTable[Outcome]="Lose Half Stake",BetTable[Stake]/2,IF(BetTable[Outcome]="Lose",0,IF(BetTable[Outcome]="Void",BetTable[Stake],)))))</f>
        <v>56.56</v>
      </c>
      <c r="AG130" s="164">
        <f>IF(BetTable[Outcome2]="Win",BetTable[WBA2-Commission],IF(BetTable[Outcome2]="Win Half Stake",(BetTable[S2]/2)+BetTable[WBA2-Commission]/2,IF(BetTable[Outcome2]="Lose Half Stake",BetTable[S2]/2,IF(BetTable[Outcome2]="Lose",0,IF(BetTable[Outcome2]="Void",BetTable[S2],)))))</f>
        <v>0</v>
      </c>
      <c r="AH130" s="164">
        <f>IF(BetTable[Outcome3]="Win",BetTable[WBA3-Commission],IF(BetTable[Outcome3]="Win Half Stake",(BetTable[S3]/2)+BetTable[WBA3-Commission]/2,IF(BetTable[Outcome3]="Lose Half Stake",BetTable[S3]/2,IF(BetTable[Outcome3]="Lose",0,IF(BetTable[Outcome3]="Void",BetTable[S3],)))))</f>
        <v>0</v>
      </c>
      <c r="AI130" s="168">
        <f>IF(BetTable[Outcome]="",AI129,BetTable[Result]+AI129)</f>
        <v>332.44225000000006</v>
      </c>
      <c r="AJ130" s="160"/>
    </row>
    <row r="131" spans="1:36" x14ac:dyDescent="0.2">
      <c r="A131" s="159" t="s">
        <v>562</v>
      </c>
      <c r="B131" s="160" t="s">
        <v>200</v>
      </c>
      <c r="C131" s="161" t="s">
        <v>234</v>
      </c>
      <c r="D131" s="161"/>
      <c r="E131" s="161"/>
      <c r="F131" s="162"/>
      <c r="G131" s="162"/>
      <c r="H131" s="162"/>
      <c r="I131" s="160" t="s">
        <v>681</v>
      </c>
      <c r="J131" s="163">
        <v>1.77</v>
      </c>
      <c r="K131" s="163"/>
      <c r="L131" s="163"/>
      <c r="M131" s="164">
        <v>35</v>
      </c>
      <c r="N131" s="164"/>
      <c r="O131" s="164"/>
      <c r="P131" s="159" t="s">
        <v>343</v>
      </c>
      <c r="Q131" s="159" t="s">
        <v>677</v>
      </c>
      <c r="R131" s="159" t="s">
        <v>682</v>
      </c>
      <c r="S131" s="165">
        <v>2.2338128248424599E-2</v>
      </c>
      <c r="T131" s="166" t="s">
        <v>510</v>
      </c>
      <c r="U131" s="166"/>
      <c r="V131" s="166"/>
      <c r="W131" s="167">
        <f>IF(BetTable[Sport]="","",BetTable[Stake]+BetTable[S2]+BetTable[S3])</f>
        <v>35</v>
      </c>
      <c r="X131" s="164">
        <f>IF(BetTable[Odds]="","",(BetTable[WBA1-Commission])-BetTable[TS])</f>
        <v>26.950000000000003</v>
      </c>
      <c r="Y131" s="168">
        <f>IF(BetTable[Outcome]="","",BetTable[WBA1]+BetTable[WBA2]+BetTable[WBA3]-BetTable[TS])</f>
        <v>13.475000000000001</v>
      </c>
      <c r="Z131" s="164">
        <f>(((BetTable[Odds]-1)*BetTable[Stake])*(1-(BetTable[Comm %]))+BetTable[Stake])</f>
        <v>61.95</v>
      </c>
      <c r="AA131" s="164">
        <f>(((BetTable[O2]-1)*BetTable[S2])*(1-(BetTable[C% 2]))+BetTable[S2])</f>
        <v>0</v>
      </c>
      <c r="AB131" s="164">
        <f>(((BetTable[O3]-1)*BetTable[S3])*(1-(BetTable[C% 3]))+BetTable[S3])</f>
        <v>0</v>
      </c>
      <c r="AC131" s="165">
        <f>IFERROR(IF(BetTable[Sport]="","",BetTable[R1]/BetTable[TS]),"")</f>
        <v>0.77000000000000013</v>
      </c>
      <c r="AD131" s="165" t="str">
        <f>IF(BetTable[O2]="","",#REF!/BetTable[TS])</f>
        <v/>
      </c>
      <c r="AE131" s="165" t="str">
        <f>IFERROR(IF(BetTable[Sport]="","",#REF!/BetTable[TS]),"")</f>
        <v/>
      </c>
      <c r="AF131" s="164">
        <f>IF(BetTable[Outcome]="Win",BetTable[WBA1-Commission],IF(BetTable[Outcome]="Win Half Stake",(BetTable[Stake]/2)+BetTable[WBA1-Commission]/2,IF(BetTable[Outcome]="Lose Half Stake",BetTable[Stake]/2,IF(BetTable[Outcome]="Lose",0,IF(BetTable[Outcome]="Void",BetTable[Stake],)))))</f>
        <v>48.475000000000001</v>
      </c>
      <c r="AG131" s="164">
        <f>IF(BetTable[Outcome2]="Win",BetTable[WBA2-Commission],IF(BetTable[Outcome2]="Win Half Stake",(BetTable[S2]/2)+BetTable[WBA2-Commission]/2,IF(BetTable[Outcome2]="Lose Half Stake",BetTable[S2]/2,IF(BetTable[Outcome2]="Lose",0,IF(BetTable[Outcome2]="Void",BetTable[S2],)))))</f>
        <v>0</v>
      </c>
      <c r="AH131" s="164">
        <f>IF(BetTable[Outcome3]="Win",BetTable[WBA3-Commission],IF(BetTable[Outcome3]="Win Half Stake",(BetTable[S3]/2)+BetTable[WBA3-Commission]/2,IF(BetTable[Outcome3]="Lose Half Stake",BetTable[S3]/2,IF(BetTable[Outcome3]="Lose",0,IF(BetTable[Outcome3]="Void",BetTable[S3],)))))</f>
        <v>0</v>
      </c>
      <c r="AI131" s="168">
        <f>IF(BetTable[Outcome]="",AI130,BetTable[Result]+AI130)</f>
        <v>345.91725000000008</v>
      </c>
      <c r="AJ131" s="160"/>
    </row>
    <row r="132" spans="1:36" x14ac:dyDescent="0.2">
      <c r="A132" s="159" t="s">
        <v>562</v>
      </c>
      <c r="B132" s="160" t="s">
        <v>200</v>
      </c>
      <c r="C132" s="161" t="s">
        <v>234</v>
      </c>
      <c r="D132" s="161"/>
      <c r="E132" s="161"/>
      <c r="F132" s="162"/>
      <c r="G132" s="162"/>
      <c r="H132" s="162"/>
      <c r="I132" s="160" t="s">
        <v>681</v>
      </c>
      <c r="J132" s="163">
        <v>2.04</v>
      </c>
      <c r="K132" s="163"/>
      <c r="L132" s="163"/>
      <c r="M132" s="164">
        <v>17</v>
      </c>
      <c r="N132" s="164"/>
      <c r="O132" s="164"/>
      <c r="P132" s="159" t="s">
        <v>435</v>
      </c>
      <c r="Q132" s="159" t="s">
        <v>677</v>
      </c>
      <c r="R132" s="159" t="s">
        <v>683</v>
      </c>
      <c r="S132" s="165">
        <v>1.4498291696990699E-2</v>
      </c>
      <c r="T132" s="166" t="s">
        <v>372</v>
      </c>
      <c r="U132" s="166"/>
      <c r="V132" s="166"/>
      <c r="W132" s="167">
        <f>IF(BetTable[Sport]="","",BetTable[Stake]+BetTable[S2]+BetTable[S3])</f>
        <v>17</v>
      </c>
      <c r="X132" s="164">
        <f>IF(BetTable[Odds]="","",(BetTable[WBA1-Commission])-BetTable[TS])</f>
        <v>17.68</v>
      </c>
      <c r="Y132" s="168">
        <f>IF(BetTable[Outcome]="","",BetTable[WBA1]+BetTable[WBA2]+BetTable[WBA3]-BetTable[TS])</f>
        <v>17.68</v>
      </c>
      <c r="Z132" s="164">
        <f>(((BetTable[Odds]-1)*BetTable[Stake])*(1-(BetTable[Comm %]))+BetTable[Stake])</f>
        <v>34.68</v>
      </c>
      <c r="AA132" s="164">
        <f>(((BetTable[O2]-1)*BetTable[S2])*(1-(BetTable[C% 2]))+BetTable[S2])</f>
        <v>0</v>
      </c>
      <c r="AB132" s="164">
        <f>(((BetTable[O3]-1)*BetTable[S3])*(1-(BetTable[C% 3]))+BetTable[S3])</f>
        <v>0</v>
      </c>
      <c r="AC132" s="165">
        <f>IFERROR(IF(BetTable[Sport]="","",BetTable[R1]/BetTable[TS]),"")</f>
        <v>1.04</v>
      </c>
      <c r="AD132" s="165" t="str">
        <f>IF(BetTable[O2]="","",#REF!/BetTable[TS])</f>
        <v/>
      </c>
      <c r="AE132" s="165" t="str">
        <f>IFERROR(IF(BetTable[Sport]="","",#REF!/BetTable[TS]),"")</f>
        <v/>
      </c>
      <c r="AF132" s="164">
        <f>IF(BetTable[Outcome]="Win",BetTable[WBA1-Commission],IF(BetTable[Outcome]="Win Half Stake",(BetTable[Stake]/2)+BetTable[WBA1-Commission]/2,IF(BetTable[Outcome]="Lose Half Stake",BetTable[Stake]/2,IF(BetTable[Outcome]="Lose",0,IF(BetTable[Outcome]="Void",BetTable[Stake],)))))</f>
        <v>34.68</v>
      </c>
      <c r="AG132" s="164">
        <f>IF(BetTable[Outcome2]="Win",BetTable[WBA2-Commission],IF(BetTable[Outcome2]="Win Half Stake",(BetTable[S2]/2)+BetTable[WBA2-Commission]/2,IF(BetTable[Outcome2]="Lose Half Stake",BetTable[S2]/2,IF(BetTable[Outcome2]="Lose",0,IF(BetTable[Outcome2]="Void",BetTable[S2],)))))</f>
        <v>0</v>
      </c>
      <c r="AH132" s="164">
        <f>IF(BetTable[Outcome3]="Win",BetTable[WBA3-Commission],IF(BetTable[Outcome3]="Win Half Stake",(BetTable[S3]/2)+BetTable[WBA3-Commission]/2,IF(BetTable[Outcome3]="Lose Half Stake",BetTable[S3]/2,IF(BetTable[Outcome3]="Lose",0,IF(BetTable[Outcome3]="Void",BetTable[S3],)))))</f>
        <v>0</v>
      </c>
      <c r="AI132" s="168">
        <f>IF(BetTable[Outcome]="",AI131,BetTable[Result]+AI131)</f>
        <v>363.59725000000009</v>
      </c>
      <c r="AJ132" s="160"/>
    </row>
    <row r="133" spans="1:36" x14ac:dyDescent="0.2">
      <c r="A133" s="159" t="s">
        <v>562</v>
      </c>
      <c r="B133" s="160" t="s">
        <v>200</v>
      </c>
      <c r="C133" s="161" t="s">
        <v>234</v>
      </c>
      <c r="D133" s="161"/>
      <c r="E133" s="161"/>
      <c r="F133" s="162"/>
      <c r="G133" s="162"/>
      <c r="H133" s="162"/>
      <c r="I133" s="160" t="s">
        <v>566</v>
      </c>
      <c r="J133" s="163">
        <v>2.1110000000000002</v>
      </c>
      <c r="K133" s="163"/>
      <c r="L133" s="163"/>
      <c r="M133" s="164">
        <v>17</v>
      </c>
      <c r="N133" s="164"/>
      <c r="O133" s="164"/>
      <c r="P133" s="159" t="s">
        <v>360</v>
      </c>
      <c r="Q133" s="159" t="s">
        <v>482</v>
      </c>
      <c r="R133" s="159" t="s">
        <v>684</v>
      </c>
      <c r="S133" s="165">
        <v>1.6056054912139898E-2</v>
      </c>
      <c r="T133" s="166" t="s">
        <v>372</v>
      </c>
      <c r="U133" s="166"/>
      <c r="V133" s="166"/>
      <c r="W133" s="167">
        <f>IF(BetTable[Sport]="","",BetTable[Stake]+BetTable[S2]+BetTable[S3])</f>
        <v>17</v>
      </c>
      <c r="X133" s="164">
        <f>IF(BetTable[Odds]="","",(BetTable[WBA1-Commission])-BetTable[TS])</f>
        <v>18.887</v>
      </c>
      <c r="Y133" s="168">
        <f>IF(BetTable[Outcome]="","",BetTable[WBA1]+BetTable[WBA2]+BetTable[WBA3]-BetTable[TS])</f>
        <v>18.887</v>
      </c>
      <c r="Z133" s="164">
        <f>(((BetTable[Odds]-1)*BetTable[Stake])*(1-(BetTable[Comm %]))+BetTable[Stake])</f>
        <v>35.887</v>
      </c>
      <c r="AA133" s="164">
        <f>(((BetTable[O2]-1)*BetTable[S2])*(1-(BetTable[C% 2]))+BetTable[S2])</f>
        <v>0</v>
      </c>
      <c r="AB133" s="164">
        <f>(((BetTable[O3]-1)*BetTable[S3])*(1-(BetTable[C% 3]))+BetTable[S3])</f>
        <v>0</v>
      </c>
      <c r="AC133" s="165">
        <f>IFERROR(IF(BetTable[Sport]="","",BetTable[R1]/BetTable[TS]),"")</f>
        <v>1.111</v>
      </c>
      <c r="AD133" s="165" t="str">
        <f>IF(BetTable[O2]="","",#REF!/BetTable[TS])</f>
        <v/>
      </c>
      <c r="AE133" s="165" t="str">
        <f>IFERROR(IF(BetTable[Sport]="","",#REF!/BetTable[TS]),"")</f>
        <v/>
      </c>
      <c r="AF133" s="164">
        <f>IF(BetTable[Outcome]="Win",BetTable[WBA1-Commission],IF(BetTable[Outcome]="Win Half Stake",(BetTable[Stake]/2)+BetTable[WBA1-Commission]/2,IF(BetTable[Outcome]="Lose Half Stake",BetTable[Stake]/2,IF(BetTable[Outcome]="Lose",0,IF(BetTable[Outcome]="Void",BetTable[Stake],)))))</f>
        <v>35.887</v>
      </c>
      <c r="AG133" s="164">
        <f>IF(BetTable[Outcome2]="Win",BetTable[WBA2-Commission],IF(BetTable[Outcome2]="Win Half Stake",(BetTable[S2]/2)+BetTable[WBA2-Commission]/2,IF(BetTable[Outcome2]="Lose Half Stake",BetTable[S2]/2,IF(BetTable[Outcome2]="Lose",0,IF(BetTable[Outcome2]="Void",BetTable[S2],)))))</f>
        <v>0</v>
      </c>
      <c r="AH133" s="164">
        <f>IF(BetTable[Outcome3]="Win",BetTable[WBA3-Commission],IF(BetTable[Outcome3]="Win Half Stake",(BetTable[S3]/2)+BetTable[WBA3-Commission]/2,IF(BetTable[Outcome3]="Lose Half Stake",BetTable[S3]/2,IF(BetTable[Outcome3]="Lose",0,IF(BetTable[Outcome3]="Void",BetTable[S3],)))))</f>
        <v>0</v>
      </c>
      <c r="AI133" s="168">
        <f>IF(BetTable[Outcome]="",AI132,BetTable[Result]+AI132)</f>
        <v>382.48425000000009</v>
      </c>
      <c r="AJ133" s="160"/>
    </row>
    <row r="134" spans="1:36" x14ac:dyDescent="0.2">
      <c r="A134" s="159" t="s">
        <v>562</v>
      </c>
      <c r="B134" s="160" t="s">
        <v>7</v>
      </c>
      <c r="C134" s="161" t="s">
        <v>91</v>
      </c>
      <c r="D134" s="161"/>
      <c r="E134" s="161"/>
      <c r="F134" s="162"/>
      <c r="G134" s="162"/>
      <c r="H134" s="162"/>
      <c r="I134" s="160" t="s">
        <v>576</v>
      </c>
      <c r="J134" s="163">
        <v>2.02</v>
      </c>
      <c r="K134" s="163"/>
      <c r="L134" s="163"/>
      <c r="M134" s="164">
        <v>28</v>
      </c>
      <c r="N134" s="164"/>
      <c r="O134" s="164"/>
      <c r="P134" s="159" t="s">
        <v>685</v>
      </c>
      <c r="Q134" s="159" t="s">
        <v>686</v>
      </c>
      <c r="R134" s="159" t="s">
        <v>687</v>
      </c>
      <c r="S134" s="165">
        <v>2.3743245402283099E-2</v>
      </c>
      <c r="T134" s="166" t="s">
        <v>382</v>
      </c>
      <c r="U134" s="166"/>
      <c r="V134" s="166"/>
      <c r="W134" s="167">
        <f>IF(BetTable[Sport]="","",BetTable[Stake]+BetTable[S2]+BetTable[S3])</f>
        <v>28</v>
      </c>
      <c r="X134" s="164">
        <f>IF(BetTable[Odds]="","",(BetTable[WBA1-Commission])-BetTable[TS])</f>
        <v>28.560000000000002</v>
      </c>
      <c r="Y134" s="168">
        <f>IF(BetTable[Outcome]="","",BetTable[WBA1]+BetTable[WBA2]+BetTable[WBA3]-BetTable[TS])</f>
        <v>-28</v>
      </c>
      <c r="Z134" s="164">
        <f>(((BetTable[Odds]-1)*BetTable[Stake])*(1-(BetTable[Comm %]))+BetTable[Stake])</f>
        <v>56.56</v>
      </c>
      <c r="AA134" s="164">
        <f>(((BetTable[O2]-1)*BetTable[S2])*(1-(BetTable[C% 2]))+BetTable[S2])</f>
        <v>0</v>
      </c>
      <c r="AB134" s="164">
        <f>(((BetTable[O3]-1)*BetTable[S3])*(1-(BetTable[C% 3]))+BetTable[S3])</f>
        <v>0</v>
      </c>
      <c r="AC134" s="165">
        <f>IFERROR(IF(BetTable[Sport]="","",BetTable[R1]/BetTable[TS]),"")</f>
        <v>1.02</v>
      </c>
      <c r="AD134" s="165" t="str">
        <f>IF(BetTable[O2]="","",#REF!/BetTable[TS])</f>
        <v/>
      </c>
      <c r="AE134" s="165" t="str">
        <f>IFERROR(IF(BetTable[Sport]="","",#REF!/BetTable[TS]),"")</f>
        <v/>
      </c>
      <c r="AF134" s="164">
        <f>IF(BetTable[Outcome]="Win",BetTable[WBA1-Commission],IF(BetTable[Outcome]="Win Half Stake",(BetTable[Stake]/2)+BetTable[WBA1-Commission]/2,IF(BetTable[Outcome]="Lose Half Stake",BetTable[Stake]/2,IF(BetTable[Outcome]="Lose",0,IF(BetTable[Outcome]="Void",BetTable[Stake],)))))</f>
        <v>0</v>
      </c>
      <c r="AG134" s="164">
        <f>IF(BetTable[Outcome2]="Win",BetTable[WBA2-Commission],IF(BetTable[Outcome2]="Win Half Stake",(BetTable[S2]/2)+BetTable[WBA2-Commission]/2,IF(BetTable[Outcome2]="Lose Half Stake",BetTable[S2]/2,IF(BetTable[Outcome2]="Lose",0,IF(BetTable[Outcome2]="Void",BetTable[S2],)))))</f>
        <v>0</v>
      </c>
      <c r="AH134" s="164">
        <f>IF(BetTable[Outcome3]="Win",BetTable[WBA3-Commission],IF(BetTable[Outcome3]="Win Half Stake",(BetTable[S3]/2)+BetTable[WBA3-Commission]/2,IF(BetTable[Outcome3]="Lose Half Stake",BetTable[S3]/2,IF(BetTable[Outcome3]="Lose",0,IF(BetTable[Outcome3]="Void",BetTable[S3],)))))</f>
        <v>0</v>
      </c>
      <c r="AI134" s="168">
        <f>IF(BetTable[Outcome]="",AI133,BetTable[Result]+AI133)</f>
        <v>354.48425000000009</v>
      </c>
      <c r="AJ134" s="160"/>
    </row>
    <row r="135" spans="1:36" x14ac:dyDescent="0.2">
      <c r="A135" s="159" t="s">
        <v>562</v>
      </c>
      <c r="B135" s="160" t="s">
        <v>200</v>
      </c>
      <c r="C135" s="161" t="s">
        <v>234</v>
      </c>
      <c r="D135" s="161"/>
      <c r="E135" s="161"/>
      <c r="F135" s="162"/>
      <c r="G135" s="162"/>
      <c r="H135" s="162"/>
      <c r="I135" s="160" t="s">
        <v>658</v>
      </c>
      <c r="J135" s="163">
        <v>1.74</v>
      </c>
      <c r="K135" s="163"/>
      <c r="L135" s="163"/>
      <c r="M135" s="164">
        <v>51</v>
      </c>
      <c r="N135" s="164"/>
      <c r="O135" s="164"/>
      <c r="P135" s="159" t="s">
        <v>688</v>
      </c>
      <c r="Q135" s="159" t="s">
        <v>659</v>
      </c>
      <c r="R135" s="159" t="s">
        <v>689</v>
      </c>
      <c r="S135" s="165">
        <v>3.1622791752629498E-2</v>
      </c>
      <c r="T135" s="166" t="s">
        <v>372</v>
      </c>
      <c r="U135" s="166"/>
      <c r="V135" s="166"/>
      <c r="W135" s="167">
        <f>IF(BetTable[Sport]="","",BetTable[Stake]+BetTable[S2]+BetTable[S3])</f>
        <v>51</v>
      </c>
      <c r="X135" s="164">
        <f>IF(BetTable[Odds]="","",(BetTable[WBA1-Commission])-BetTable[TS])</f>
        <v>37.740000000000009</v>
      </c>
      <c r="Y135" s="168">
        <f>IF(BetTable[Outcome]="","",BetTable[WBA1]+BetTable[WBA2]+BetTable[WBA3]-BetTable[TS])</f>
        <v>37.740000000000009</v>
      </c>
      <c r="Z135" s="164">
        <f>(((BetTable[Odds]-1)*BetTable[Stake])*(1-(BetTable[Comm %]))+BetTable[Stake])</f>
        <v>88.740000000000009</v>
      </c>
      <c r="AA135" s="164">
        <f>(((BetTable[O2]-1)*BetTable[S2])*(1-(BetTable[C% 2]))+BetTable[S2])</f>
        <v>0</v>
      </c>
      <c r="AB135" s="164">
        <f>(((BetTable[O3]-1)*BetTable[S3])*(1-(BetTable[C% 3]))+BetTable[S3])</f>
        <v>0</v>
      </c>
      <c r="AC135" s="165">
        <f>IFERROR(IF(BetTable[Sport]="","",BetTable[R1]/BetTable[TS]),"")</f>
        <v>0.74000000000000021</v>
      </c>
      <c r="AD135" s="165" t="str">
        <f>IF(BetTable[O2]="","",#REF!/BetTable[TS])</f>
        <v/>
      </c>
      <c r="AE135" s="165" t="str">
        <f>IFERROR(IF(BetTable[Sport]="","",#REF!/BetTable[TS]),"")</f>
        <v/>
      </c>
      <c r="AF135" s="164">
        <f>IF(BetTable[Outcome]="Win",BetTable[WBA1-Commission],IF(BetTable[Outcome]="Win Half Stake",(BetTable[Stake]/2)+BetTable[WBA1-Commission]/2,IF(BetTable[Outcome]="Lose Half Stake",BetTable[Stake]/2,IF(BetTable[Outcome]="Lose",0,IF(BetTable[Outcome]="Void",BetTable[Stake],)))))</f>
        <v>88.740000000000009</v>
      </c>
      <c r="AG135" s="164">
        <f>IF(BetTable[Outcome2]="Win",BetTable[WBA2-Commission],IF(BetTable[Outcome2]="Win Half Stake",(BetTable[S2]/2)+BetTable[WBA2-Commission]/2,IF(BetTable[Outcome2]="Lose Half Stake",BetTable[S2]/2,IF(BetTable[Outcome2]="Lose",0,IF(BetTable[Outcome2]="Void",BetTable[S2],)))))</f>
        <v>0</v>
      </c>
      <c r="AH135" s="164">
        <f>IF(BetTable[Outcome3]="Win",BetTable[WBA3-Commission],IF(BetTable[Outcome3]="Win Half Stake",(BetTable[S3]/2)+BetTable[WBA3-Commission]/2,IF(BetTable[Outcome3]="Lose Half Stake",BetTable[S3]/2,IF(BetTable[Outcome3]="Lose",0,IF(BetTable[Outcome3]="Void",BetTable[S3],)))))</f>
        <v>0</v>
      </c>
      <c r="AI135" s="168">
        <f>IF(BetTable[Outcome]="",AI134,BetTable[Result]+AI134)</f>
        <v>392.2242500000001</v>
      </c>
      <c r="AJ135" s="160"/>
    </row>
    <row r="136" spans="1:36" x14ac:dyDescent="0.2">
      <c r="A136" s="159" t="s">
        <v>562</v>
      </c>
      <c r="B136" s="160" t="s">
        <v>200</v>
      </c>
      <c r="C136" s="161" t="s">
        <v>91</v>
      </c>
      <c r="D136" s="161"/>
      <c r="E136" s="161"/>
      <c r="F136" s="162"/>
      <c r="G136" s="162"/>
      <c r="H136" s="162"/>
      <c r="I136" s="160" t="s">
        <v>690</v>
      </c>
      <c r="J136" s="163">
        <v>2.02</v>
      </c>
      <c r="K136" s="163"/>
      <c r="L136" s="163"/>
      <c r="M136" s="164">
        <v>37</v>
      </c>
      <c r="N136" s="164"/>
      <c r="O136" s="164"/>
      <c r="P136" s="159" t="s">
        <v>348</v>
      </c>
      <c r="Q136" s="159" t="s">
        <v>458</v>
      </c>
      <c r="R136" s="159" t="s">
        <v>691</v>
      </c>
      <c r="S136" s="165">
        <v>3.1120061526399401E-2</v>
      </c>
      <c r="T136" s="166" t="s">
        <v>372</v>
      </c>
      <c r="U136" s="166"/>
      <c r="V136" s="166"/>
      <c r="W136" s="167">
        <f>IF(BetTable[Sport]="","",BetTable[Stake]+BetTable[S2]+BetTable[S3])</f>
        <v>37</v>
      </c>
      <c r="X136" s="164">
        <f>IF(BetTable[Odds]="","",(BetTable[WBA1-Commission])-BetTable[TS])</f>
        <v>37.740000000000009</v>
      </c>
      <c r="Y136" s="168">
        <f>IF(BetTable[Outcome]="","",BetTable[WBA1]+BetTable[WBA2]+BetTable[WBA3]-BetTable[TS])</f>
        <v>37.740000000000009</v>
      </c>
      <c r="Z136" s="164">
        <f>(((BetTable[Odds]-1)*BetTable[Stake])*(1-(BetTable[Comm %]))+BetTable[Stake])</f>
        <v>74.740000000000009</v>
      </c>
      <c r="AA136" s="164">
        <f>(((BetTable[O2]-1)*BetTable[S2])*(1-(BetTable[C% 2]))+BetTable[S2])</f>
        <v>0</v>
      </c>
      <c r="AB136" s="164">
        <f>(((BetTable[O3]-1)*BetTable[S3])*(1-(BetTable[C% 3]))+BetTable[S3])</f>
        <v>0</v>
      </c>
      <c r="AC136" s="165">
        <f>IFERROR(IF(BetTable[Sport]="","",BetTable[R1]/BetTable[TS]),"")</f>
        <v>1.0200000000000002</v>
      </c>
      <c r="AD136" s="165" t="str">
        <f>IF(BetTable[O2]="","",#REF!/BetTable[TS])</f>
        <v/>
      </c>
      <c r="AE136" s="165" t="str">
        <f>IFERROR(IF(BetTable[Sport]="","",#REF!/BetTable[TS]),"")</f>
        <v/>
      </c>
      <c r="AF136" s="164">
        <f>IF(BetTable[Outcome]="Win",BetTable[WBA1-Commission],IF(BetTable[Outcome]="Win Half Stake",(BetTable[Stake]/2)+BetTable[WBA1-Commission]/2,IF(BetTable[Outcome]="Lose Half Stake",BetTable[Stake]/2,IF(BetTable[Outcome]="Lose",0,IF(BetTable[Outcome]="Void",BetTable[Stake],)))))</f>
        <v>74.740000000000009</v>
      </c>
      <c r="AG136" s="164">
        <f>IF(BetTable[Outcome2]="Win",BetTable[WBA2-Commission],IF(BetTable[Outcome2]="Win Half Stake",(BetTable[S2]/2)+BetTable[WBA2-Commission]/2,IF(BetTable[Outcome2]="Lose Half Stake",BetTable[S2]/2,IF(BetTable[Outcome2]="Lose",0,IF(BetTable[Outcome2]="Void",BetTable[S2],)))))</f>
        <v>0</v>
      </c>
      <c r="AH136" s="164">
        <f>IF(BetTable[Outcome3]="Win",BetTable[WBA3-Commission],IF(BetTable[Outcome3]="Win Half Stake",(BetTable[S3]/2)+BetTable[WBA3-Commission]/2,IF(BetTable[Outcome3]="Lose Half Stake",BetTable[S3]/2,IF(BetTable[Outcome3]="Lose",0,IF(BetTable[Outcome3]="Void",BetTable[S3],)))))</f>
        <v>0</v>
      </c>
      <c r="AI136" s="168">
        <f>IF(BetTable[Outcome]="",AI135,BetTable[Result]+AI135)</f>
        <v>429.96425000000011</v>
      </c>
      <c r="AJ136" s="160"/>
    </row>
    <row r="137" spans="1:36" x14ac:dyDescent="0.2">
      <c r="A137" s="159" t="s">
        <v>562</v>
      </c>
      <c r="B137" s="160" t="s">
        <v>200</v>
      </c>
      <c r="C137" s="161" t="s">
        <v>234</v>
      </c>
      <c r="D137" s="161"/>
      <c r="E137" s="161"/>
      <c r="F137" s="162"/>
      <c r="G137" s="162"/>
      <c r="H137" s="162"/>
      <c r="I137" s="160" t="s">
        <v>692</v>
      </c>
      <c r="J137" s="163">
        <v>1.81</v>
      </c>
      <c r="K137" s="163"/>
      <c r="L137" s="163"/>
      <c r="M137" s="164">
        <v>22</v>
      </c>
      <c r="N137" s="164"/>
      <c r="O137" s="164"/>
      <c r="P137" s="159" t="s">
        <v>508</v>
      </c>
      <c r="Q137" s="159" t="s">
        <v>693</v>
      </c>
      <c r="R137" s="159" t="s">
        <v>694</v>
      </c>
      <c r="S137" s="165">
        <v>1.4693962240383499E-2</v>
      </c>
      <c r="T137" s="166" t="s">
        <v>510</v>
      </c>
      <c r="U137" s="166"/>
      <c r="V137" s="166"/>
      <c r="W137" s="167">
        <f>IF(BetTable[Sport]="","",BetTable[Stake]+BetTable[S2]+BetTable[S3])</f>
        <v>22</v>
      </c>
      <c r="X137" s="164">
        <f>IF(BetTable[Odds]="","",(BetTable[WBA1-Commission])-BetTable[TS])</f>
        <v>17.82</v>
      </c>
      <c r="Y137" s="168">
        <f>IF(BetTable[Outcome]="","",BetTable[WBA1]+BetTable[WBA2]+BetTable[WBA3]-BetTable[TS])</f>
        <v>8.91</v>
      </c>
      <c r="Z137" s="164">
        <f>(((BetTable[Odds]-1)*BetTable[Stake])*(1-(BetTable[Comm %]))+BetTable[Stake])</f>
        <v>39.82</v>
      </c>
      <c r="AA137" s="164">
        <f>(((BetTable[O2]-1)*BetTable[S2])*(1-(BetTable[C% 2]))+BetTable[S2])</f>
        <v>0</v>
      </c>
      <c r="AB137" s="164">
        <f>(((BetTable[O3]-1)*BetTable[S3])*(1-(BetTable[C% 3]))+BetTable[S3])</f>
        <v>0</v>
      </c>
      <c r="AC137" s="165">
        <f>IFERROR(IF(BetTable[Sport]="","",BetTable[R1]/BetTable[TS]),"")</f>
        <v>0.81</v>
      </c>
      <c r="AD137" s="165" t="str">
        <f>IF(BetTable[O2]="","",#REF!/BetTable[TS])</f>
        <v/>
      </c>
      <c r="AE137" s="165" t="str">
        <f>IFERROR(IF(BetTable[Sport]="","",#REF!/BetTable[TS]),"")</f>
        <v/>
      </c>
      <c r="AF137" s="164">
        <f>IF(BetTable[Outcome]="Win",BetTable[WBA1-Commission],IF(BetTable[Outcome]="Win Half Stake",(BetTable[Stake]/2)+BetTable[WBA1-Commission]/2,IF(BetTable[Outcome]="Lose Half Stake",BetTable[Stake]/2,IF(BetTable[Outcome]="Lose",0,IF(BetTable[Outcome]="Void",BetTable[Stake],)))))</f>
        <v>30.91</v>
      </c>
      <c r="AG137" s="164">
        <f>IF(BetTable[Outcome2]="Win",BetTable[WBA2-Commission],IF(BetTable[Outcome2]="Win Half Stake",(BetTable[S2]/2)+BetTable[WBA2-Commission]/2,IF(BetTable[Outcome2]="Lose Half Stake",BetTable[S2]/2,IF(BetTable[Outcome2]="Lose",0,IF(BetTable[Outcome2]="Void",BetTable[S2],)))))</f>
        <v>0</v>
      </c>
      <c r="AH137" s="164">
        <f>IF(BetTable[Outcome3]="Win",BetTable[WBA3-Commission],IF(BetTable[Outcome3]="Win Half Stake",(BetTable[S3]/2)+BetTable[WBA3-Commission]/2,IF(BetTable[Outcome3]="Lose Half Stake",BetTable[S3]/2,IF(BetTable[Outcome3]="Lose",0,IF(BetTable[Outcome3]="Void",BetTable[S3],)))))</f>
        <v>0</v>
      </c>
      <c r="AI137" s="168">
        <f>IF(BetTable[Outcome]="",AI136,BetTable[Result]+AI136)</f>
        <v>438.87425000000013</v>
      </c>
      <c r="AJ137" s="160"/>
    </row>
    <row r="138" spans="1:36" x14ac:dyDescent="0.2">
      <c r="A138" s="159" t="s">
        <v>562</v>
      </c>
      <c r="B138" s="160" t="s">
        <v>200</v>
      </c>
      <c r="C138" s="161" t="s">
        <v>91</v>
      </c>
      <c r="D138" s="161"/>
      <c r="E138" s="161"/>
      <c r="F138" s="162"/>
      <c r="G138" s="162"/>
      <c r="H138" s="162"/>
      <c r="I138" s="160" t="s">
        <v>695</v>
      </c>
      <c r="J138" s="163">
        <v>1.98</v>
      </c>
      <c r="K138" s="163"/>
      <c r="L138" s="163"/>
      <c r="M138" s="164">
        <v>22</v>
      </c>
      <c r="N138" s="164"/>
      <c r="O138" s="164"/>
      <c r="P138" s="159" t="s">
        <v>348</v>
      </c>
      <c r="Q138" s="159" t="s">
        <v>482</v>
      </c>
      <c r="R138" s="159" t="s">
        <v>696</v>
      </c>
      <c r="S138" s="165">
        <v>1.7747644960199999E-2</v>
      </c>
      <c r="T138" s="166" t="s">
        <v>383</v>
      </c>
      <c r="U138" s="166"/>
      <c r="V138" s="166"/>
      <c r="W138" s="167">
        <f>IF(BetTable[Sport]="","",BetTable[Stake]+BetTable[S2]+BetTable[S3])</f>
        <v>22</v>
      </c>
      <c r="X138" s="164">
        <f>IF(BetTable[Odds]="","",(BetTable[WBA1-Commission])-BetTable[TS])</f>
        <v>21.560000000000002</v>
      </c>
      <c r="Y138" s="168">
        <f>IF(BetTable[Outcome]="","",BetTable[WBA1]+BetTable[WBA2]+BetTable[WBA3]-BetTable[TS])</f>
        <v>0</v>
      </c>
      <c r="Z138" s="164">
        <f>(((BetTable[Odds]-1)*BetTable[Stake])*(1-(BetTable[Comm %]))+BetTable[Stake])</f>
        <v>43.56</v>
      </c>
      <c r="AA138" s="164">
        <f>(((BetTable[O2]-1)*BetTable[S2])*(1-(BetTable[C% 2]))+BetTable[S2])</f>
        <v>0</v>
      </c>
      <c r="AB138" s="164">
        <f>(((BetTable[O3]-1)*BetTable[S3])*(1-(BetTable[C% 3]))+BetTable[S3])</f>
        <v>0</v>
      </c>
      <c r="AC138" s="165">
        <f>IFERROR(IF(BetTable[Sport]="","",BetTable[R1]/BetTable[TS]),"")</f>
        <v>0.98000000000000009</v>
      </c>
      <c r="AD138" s="165" t="str">
        <f>IF(BetTable[O2]="","",#REF!/BetTable[TS])</f>
        <v/>
      </c>
      <c r="AE138" s="165" t="str">
        <f>IFERROR(IF(BetTable[Sport]="","",#REF!/BetTable[TS]),"")</f>
        <v/>
      </c>
      <c r="AF138" s="164">
        <f>IF(BetTable[Outcome]="Win",BetTable[WBA1-Commission],IF(BetTable[Outcome]="Win Half Stake",(BetTable[Stake]/2)+BetTable[WBA1-Commission]/2,IF(BetTable[Outcome]="Lose Half Stake",BetTable[Stake]/2,IF(BetTable[Outcome]="Lose",0,IF(BetTable[Outcome]="Void",BetTable[Stake],)))))</f>
        <v>22</v>
      </c>
      <c r="AG138" s="164">
        <f>IF(BetTable[Outcome2]="Win",BetTable[WBA2-Commission],IF(BetTable[Outcome2]="Win Half Stake",(BetTable[S2]/2)+BetTable[WBA2-Commission]/2,IF(BetTable[Outcome2]="Lose Half Stake",BetTable[S2]/2,IF(BetTable[Outcome2]="Lose",0,IF(BetTable[Outcome2]="Void",BetTable[S2],)))))</f>
        <v>0</v>
      </c>
      <c r="AH138" s="164">
        <f>IF(BetTable[Outcome3]="Win",BetTable[WBA3-Commission],IF(BetTable[Outcome3]="Win Half Stake",(BetTable[S3]/2)+BetTable[WBA3-Commission]/2,IF(BetTable[Outcome3]="Lose Half Stake",BetTable[S3]/2,IF(BetTable[Outcome3]="Lose",0,IF(BetTable[Outcome3]="Void",BetTable[S3],)))))</f>
        <v>0</v>
      </c>
      <c r="AI138" s="168">
        <f>IF(BetTable[Outcome]="",AI137,BetTable[Result]+AI137)</f>
        <v>438.87425000000013</v>
      </c>
      <c r="AJ138" s="160"/>
    </row>
    <row r="139" spans="1:36" x14ac:dyDescent="0.2">
      <c r="A139" s="159" t="s">
        <v>562</v>
      </c>
      <c r="B139" s="160" t="s">
        <v>200</v>
      </c>
      <c r="C139" s="161" t="s">
        <v>91</v>
      </c>
      <c r="D139" s="161"/>
      <c r="E139" s="161"/>
      <c r="F139" s="162"/>
      <c r="G139" s="162"/>
      <c r="H139" s="162"/>
      <c r="I139" s="160" t="s">
        <v>697</v>
      </c>
      <c r="J139" s="163">
        <v>1.75</v>
      </c>
      <c r="K139" s="163"/>
      <c r="L139" s="163"/>
      <c r="M139" s="164">
        <v>40</v>
      </c>
      <c r="N139" s="164"/>
      <c r="O139" s="164"/>
      <c r="P139" s="159" t="s">
        <v>498</v>
      </c>
      <c r="Q139" s="159" t="s">
        <v>677</v>
      </c>
      <c r="R139" s="159" t="s">
        <v>698</v>
      </c>
      <c r="S139" s="165">
        <v>2.49226676264311E-2</v>
      </c>
      <c r="T139" s="166" t="s">
        <v>382</v>
      </c>
      <c r="U139" s="166"/>
      <c r="V139" s="166"/>
      <c r="W139" s="167">
        <f>IF(BetTable[Sport]="","",BetTable[Stake]+BetTable[S2]+BetTable[S3])</f>
        <v>40</v>
      </c>
      <c r="X139" s="164">
        <f>IF(BetTable[Odds]="","",(BetTable[WBA1-Commission])-BetTable[TS])</f>
        <v>30</v>
      </c>
      <c r="Y139" s="168">
        <f>IF(BetTable[Outcome]="","",BetTable[WBA1]+BetTable[WBA2]+BetTable[WBA3]-BetTable[TS])</f>
        <v>-40</v>
      </c>
      <c r="Z139" s="164">
        <f>(((BetTable[Odds]-1)*BetTable[Stake])*(1-(BetTable[Comm %]))+BetTable[Stake])</f>
        <v>70</v>
      </c>
      <c r="AA139" s="164">
        <f>(((BetTable[O2]-1)*BetTable[S2])*(1-(BetTable[C% 2]))+BetTable[S2])</f>
        <v>0</v>
      </c>
      <c r="AB139" s="164">
        <f>(((BetTable[O3]-1)*BetTable[S3])*(1-(BetTable[C% 3]))+BetTable[S3])</f>
        <v>0</v>
      </c>
      <c r="AC139" s="165">
        <f>IFERROR(IF(BetTable[Sport]="","",BetTable[R1]/BetTable[TS]),"")</f>
        <v>0.75</v>
      </c>
      <c r="AD139" s="165" t="str">
        <f>IF(BetTable[O2]="","",#REF!/BetTable[TS])</f>
        <v/>
      </c>
      <c r="AE139" s="165" t="str">
        <f>IFERROR(IF(BetTable[Sport]="","",#REF!/BetTable[TS]),"")</f>
        <v/>
      </c>
      <c r="AF139" s="164">
        <f>IF(BetTable[Outcome]="Win",BetTable[WBA1-Commission],IF(BetTable[Outcome]="Win Half Stake",(BetTable[Stake]/2)+BetTable[WBA1-Commission]/2,IF(BetTable[Outcome]="Lose Half Stake",BetTable[Stake]/2,IF(BetTable[Outcome]="Lose",0,IF(BetTable[Outcome]="Void",BetTable[Stake],)))))</f>
        <v>0</v>
      </c>
      <c r="AG139" s="164">
        <f>IF(BetTable[Outcome2]="Win",BetTable[WBA2-Commission],IF(BetTable[Outcome2]="Win Half Stake",(BetTable[S2]/2)+BetTable[WBA2-Commission]/2,IF(BetTable[Outcome2]="Lose Half Stake",BetTable[S2]/2,IF(BetTable[Outcome2]="Lose",0,IF(BetTable[Outcome2]="Void",BetTable[S2],)))))</f>
        <v>0</v>
      </c>
      <c r="AH139" s="164">
        <f>IF(BetTable[Outcome3]="Win",BetTable[WBA3-Commission],IF(BetTable[Outcome3]="Win Half Stake",(BetTable[S3]/2)+BetTable[WBA3-Commission]/2,IF(BetTable[Outcome3]="Lose Half Stake",BetTable[S3]/2,IF(BetTable[Outcome3]="Lose",0,IF(BetTable[Outcome3]="Void",BetTable[S3],)))))</f>
        <v>0</v>
      </c>
      <c r="AI139" s="168">
        <f>IF(BetTable[Outcome]="",AI138,BetTable[Result]+AI138)</f>
        <v>398.87425000000013</v>
      </c>
      <c r="AJ139" s="160"/>
    </row>
    <row r="140" spans="1:36" x14ac:dyDescent="0.2">
      <c r="A140" s="159" t="s">
        <v>562</v>
      </c>
      <c r="B140" s="160" t="s">
        <v>200</v>
      </c>
      <c r="C140" s="161" t="s">
        <v>234</v>
      </c>
      <c r="D140" s="161"/>
      <c r="E140" s="161"/>
      <c r="F140" s="162"/>
      <c r="G140" s="162"/>
      <c r="H140" s="162"/>
      <c r="I140" s="160" t="s">
        <v>699</v>
      </c>
      <c r="J140" s="163">
        <v>1.74</v>
      </c>
      <c r="K140" s="163"/>
      <c r="L140" s="163"/>
      <c r="M140" s="164">
        <v>30</v>
      </c>
      <c r="N140" s="164"/>
      <c r="O140" s="164"/>
      <c r="P140" s="159" t="s">
        <v>406</v>
      </c>
      <c r="Q140" s="159" t="s">
        <v>503</v>
      </c>
      <c r="R140" s="159" t="s">
        <v>700</v>
      </c>
      <c r="S140" s="165">
        <v>1.8575894407780399E-2</v>
      </c>
      <c r="T140" s="166" t="s">
        <v>382</v>
      </c>
      <c r="U140" s="166"/>
      <c r="V140" s="166"/>
      <c r="W140" s="167">
        <f>IF(BetTable[Sport]="","",BetTable[Stake]+BetTable[S2]+BetTable[S3])</f>
        <v>30</v>
      </c>
      <c r="X140" s="164">
        <f>IF(BetTable[Odds]="","",(BetTable[WBA1-Commission])-BetTable[TS])</f>
        <v>22.200000000000003</v>
      </c>
      <c r="Y140" s="168">
        <f>IF(BetTable[Outcome]="","",BetTable[WBA1]+BetTable[WBA2]+BetTable[WBA3]-BetTable[TS])</f>
        <v>-30</v>
      </c>
      <c r="Z140" s="164">
        <f>(((BetTable[Odds]-1)*BetTable[Stake])*(1-(BetTable[Comm %]))+BetTable[Stake])</f>
        <v>52.2</v>
      </c>
      <c r="AA140" s="164">
        <f>(((BetTable[O2]-1)*BetTable[S2])*(1-(BetTable[C% 2]))+BetTable[S2])</f>
        <v>0</v>
      </c>
      <c r="AB140" s="164">
        <f>(((BetTable[O3]-1)*BetTable[S3])*(1-(BetTable[C% 3]))+BetTable[S3])</f>
        <v>0</v>
      </c>
      <c r="AC140" s="165">
        <f>IFERROR(IF(BetTable[Sport]="","",BetTable[R1]/BetTable[TS]),"")</f>
        <v>0.7400000000000001</v>
      </c>
      <c r="AD140" s="165" t="str">
        <f>IF(BetTable[O2]="","",#REF!/BetTable[TS])</f>
        <v/>
      </c>
      <c r="AE140" s="165" t="str">
        <f>IFERROR(IF(BetTable[Sport]="","",#REF!/BetTable[TS]),"")</f>
        <v/>
      </c>
      <c r="AF140" s="164">
        <f>IF(BetTable[Outcome]="Win",BetTable[WBA1-Commission],IF(BetTable[Outcome]="Win Half Stake",(BetTable[Stake]/2)+BetTable[WBA1-Commission]/2,IF(BetTable[Outcome]="Lose Half Stake",BetTable[Stake]/2,IF(BetTable[Outcome]="Lose",0,IF(BetTable[Outcome]="Void",BetTable[Stake],)))))</f>
        <v>0</v>
      </c>
      <c r="AG140" s="164">
        <f>IF(BetTable[Outcome2]="Win",BetTable[WBA2-Commission],IF(BetTable[Outcome2]="Win Half Stake",(BetTable[S2]/2)+BetTable[WBA2-Commission]/2,IF(BetTable[Outcome2]="Lose Half Stake",BetTable[S2]/2,IF(BetTable[Outcome2]="Lose",0,IF(BetTable[Outcome2]="Void",BetTable[S2],)))))</f>
        <v>0</v>
      </c>
      <c r="AH140" s="164">
        <f>IF(BetTable[Outcome3]="Win",BetTable[WBA3-Commission],IF(BetTable[Outcome3]="Win Half Stake",(BetTable[S3]/2)+BetTable[WBA3-Commission]/2,IF(BetTable[Outcome3]="Lose Half Stake",BetTable[S3]/2,IF(BetTable[Outcome3]="Lose",0,IF(BetTable[Outcome3]="Void",BetTable[S3],)))))</f>
        <v>0</v>
      </c>
      <c r="AI140" s="168">
        <f>IF(BetTable[Outcome]="",AI139,BetTable[Result]+AI139)</f>
        <v>368.87425000000013</v>
      </c>
      <c r="AJ140" s="160"/>
    </row>
    <row r="141" spans="1:36" x14ac:dyDescent="0.2">
      <c r="A141" s="159" t="s">
        <v>562</v>
      </c>
      <c r="B141" s="160" t="s">
        <v>200</v>
      </c>
      <c r="C141" s="161" t="s">
        <v>234</v>
      </c>
      <c r="D141" s="161"/>
      <c r="E141" s="161"/>
      <c r="F141" s="162"/>
      <c r="G141" s="162"/>
      <c r="H141" s="162"/>
      <c r="I141" s="160" t="s">
        <v>697</v>
      </c>
      <c r="J141" s="163">
        <v>1.92</v>
      </c>
      <c r="K141" s="163"/>
      <c r="L141" s="163"/>
      <c r="M141" s="164">
        <v>36</v>
      </c>
      <c r="N141" s="164"/>
      <c r="O141" s="164"/>
      <c r="P141" s="159" t="s">
        <v>360</v>
      </c>
      <c r="Q141" s="159" t="s">
        <v>677</v>
      </c>
      <c r="R141" s="159" t="s">
        <v>701</v>
      </c>
      <c r="S141" s="165">
        <v>2.7880779402868001E-2</v>
      </c>
      <c r="T141" s="166" t="s">
        <v>372</v>
      </c>
      <c r="U141" s="166"/>
      <c r="V141" s="166"/>
      <c r="W141" s="167">
        <f>IF(BetTable[Sport]="","",BetTable[Stake]+BetTable[S2]+BetTable[S3])</f>
        <v>36</v>
      </c>
      <c r="X141" s="164">
        <f>IF(BetTable[Odds]="","",(BetTable[WBA1-Commission])-BetTable[TS])</f>
        <v>33.120000000000005</v>
      </c>
      <c r="Y141" s="168">
        <f>IF(BetTable[Outcome]="","",BetTable[WBA1]+BetTable[WBA2]+BetTable[WBA3]-BetTable[TS])</f>
        <v>33.120000000000005</v>
      </c>
      <c r="Z141" s="164">
        <f>(((BetTable[Odds]-1)*BetTable[Stake])*(1-(BetTable[Comm %]))+BetTable[Stake])</f>
        <v>69.12</v>
      </c>
      <c r="AA141" s="164">
        <f>(((BetTable[O2]-1)*BetTable[S2])*(1-(BetTable[C% 2]))+BetTable[S2])</f>
        <v>0</v>
      </c>
      <c r="AB141" s="164">
        <f>(((BetTable[O3]-1)*BetTable[S3])*(1-(BetTable[C% 3]))+BetTable[S3])</f>
        <v>0</v>
      </c>
      <c r="AC141" s="165">
        <f>IFERROR(IF(BetTable[Sport]="","",BetTable[R1]/BetTable[TS]),"")</f>
        <v>0.92000000000000015</v>
      </c>
      <c r="AD141" s="165" t="str">
        <f>IF(BetTable[O2]="","",#REF!/BetTable[TS])</f>
        <v/>
      </c>
      <c r="AE141" s="165" t="str">
        <f>IFERROR(IF(BetTable[Sport]="","",#REF!/BetTable[TS]),"")</f>
        <v/>
      </c>
      <c r="AF141" s="164">
        <f>IF(BetTable[Outcome]="Win",BetTable[WBA1-Commission],IF(BetTable[Outcome]="Win Half Stake",(BetTable[Stake]/2)+BetTable[WBA1-Commission]/2,IF(BetTable[Outcome]="Lose Half Stake",BetTable[Stake]/2,IF(BetTable[Outcome]="Lose",0,IF(BetTable[Outcome]="Void",BetTable[Stake],)))))</f>
        <v>69.12</v>
      </c>
      <c r="AG141" s="164">
        <f>IF(BetTable[Outcome2]="Win",BetTable[WBA2-Commission],IF(BetTable[Outcome2]="Win Half Stake",(BetTable[S2]/2)+BetTable[WBA2-Commission]/2,IF(BetTable[Outcome2]="Lose Half Stake",BetTable[S2]/2,IF(BetTable[Outcome2]="Lose",0,IF(BetTable[Outcome2]="Void",BetTable[S2],)))))</f>
        <v>0</v>
      </c>
      <c r="AH141" s="164">
        <f>IF(BetTable[Outcome3]="Win",BetTable[WBA3-Commission],IF(BetTable[Outcome3]="Win Half Stake",(BetTable[S3]/2)+BetTable[WBA3-Commission]/2,IF(BetTable[Outcome3]="Lose Half Stake",BetTable[S3]/2,IF(BetTable[Outcome3]="Lose",0,IF(BetTable[Outcome3]="Void",BetTable[S3],)))))</f>
        <v>0</v>
      </c>
      <c r="AI141" s="168">
        <f>IF(BetTable[Outcome]="",AI140,BetTable[Result]+AI140)</f>
        <v>401.99425000000014</v>
      </c>
      <c r="AJ141" s="160"/>
    </row>
    <row r="142" spans="1:36" x14ac:dyDescent="0.2">
      <c r="A142" s="159" t="s">
        <v>562</v>
      </c>
      <c r="B142" s="160" t="s">
        <v>200</v>
      </c>
      <c r="C142" s="161" t="s">
        <v>234</v>
      </c>
      <c r="D142" s="161"/>
      <c r="E142" s="161"/>
      <c r="F142" s="162"/>
      <c r="G142" s="162"/>
      <c r="H142" s="162"/>
      <c r="I142" s="160" t="s">
        <v>702</v>
      </c>
      <c r="J142" s="163">
        <v>2.0640000000000001</v>
      </c>
      <c r="K142" s="163"/>
      <c r="L142" s="163"/>
      <c r="M142" s="164">
        <v>28</v>
      </c>
      <c r="N142" s="164"/>
      <c r="O142" s="164"/>
      <c r="P142" s="159" t="s">
        <v>348</v>
      </c>
      <c r="Q142" s="159" t="s">
        <v>703</v>
      </c>
      <c r="R142" s="159" t="s">
        <v>704</v>
      </c>
      <c r="S142" s="165">
        <v>2.5013706255772698E-2</v>
      </c>
      <c r="T142" s="166" t="s">
        <v>372</v>
      </c>
      <c r="U142" s="166"/>
      <c r="V142" s="166"/>
      <c r="W142" s="167">
        <f>IF(BetTable[Sport]="","",BetTable[Stake]+BetTable[S2]+BetTable[S3])</f>
        <v>28</v>
      </c>
      <c r="X142" s="164">
        <f>IF(BetTable[Odds]="","",(BetTable[WBA1-Commission])-BetTable[TS])</f>
        <v>29.792000000000002</v>
      </c>
      <c r="Y142" s="168">
        <f>IF(BetTable[Outcome]="","",BetTable[WBA1]+BetTable[WBA2]+BetTable[WBA3]-BetTable[TS])</f>
        <v>29.792000000000002</v>
      </c>
      <c r="Z142" s="164">
        <f>(((BetTable[Odds]-1)*BetTable[Stake])*(1-(BetTable[Comm %]))+BetTable[Stake])</f>
        <v>57.792000000000002</v>
      </c>
      <c r="AA142" s="164">
        <f>(((BetTable[O2]-1)*BetTable[S2])*(1-(BetTable[C% 2]))+BetTable[S2])</f>
        <v>0</v>
      </c>
      <c r="AB142" s="164">
        <f>(((BetTable[O3]-1)*BetTable[S3])*(1-(BetTable[C% 3]))+BetTable[S3])</f>
        <v>0</v>
      </c>
      <c r="AC142" s="165">
        <f>IFERROR(IF(BetTable[Sport]="","",BetTable[R1]/BetTable[TS]),"")</f>
        <v>1.0640000000000001</v>
      </c>
      <c r="AD142" s="165" t="str">
        <f>IF(BetTable[O2]="","",#REF!/BetTable[TS])</f>
        <v/>
      </c>
      <c r="AE142" s="165" t="str">
        <f>IFERROR(IF(BetTable[Sport]="","",#REF!/BetTable[TS]),"")</f>
        <v/>
      </c>
      <c r="AF142" s="164">
        <f>IF(BetTable[Outcome]="Win",BetTable[WBA1-Commission],IF(BetTable[Outcome]="Win Half Stake",(BetTable[Stake]/2)+BetTable[WBA1-Commission]/2,IF(BetTable[Outcome]="Lose Half Stake",BetTable[Stake]/2,IF(BetTable[Outcome]="Lose",0,IF(BetTable[Outcome]="Void",BetTable[Stake],)))))</f>
        <v>57.792000000000002</v>
      </c>
      <c r="AG142" s="164">
        <f>IF(BetTable[Outcome2]="Win",BetTable[WBA2-Commission],IF(BetTable[Outcome2]="Win Half Stake",(BetTable[S2]/2)+BetTable[WBA2-Commission]/2,IF(BetTable[Outcome2]="Lose Half Stake",BetTable[S2]/2,IF(BetTable[Outcome2]="Lose",0,IF(BetTable[Outcome2]="Void",BetTable[S2],)))))</f>
        <v>0</v>
      </c>
      <c r="AH142" s="164">
        <f>IF(BetTable[Outcome3]="Win",BetTable[WBA3-Commission],IF(BetTable[Outcome3]="Win Half Stake",(BetTable[S3]/2)+BetTable[WBA3-Commission]/2,IF(BetTable[Outcome3]="Lose Half Stake",BetTable[S3]/2,IF(BetTable[Outcome3]="Lose",0,IF(BetTable[Outcome3]="Void",BetTable[S3],)))))</f>
        <v>0</v>
      </c>
      <c r="AI142" s="168">
        <f>IF(BetTable[Outcome]="",AI141,BetTable[Result]+AI141)</f>
        <v>431.78625000000011</v>
      </c>
      <c r="AJ142" s="160"/>
    </row>
    <row r="143" spans="1:36" x14ac:dyDescent="0.2">
      <c r="A143" s="159" t="s">
        <v>562</v>
      </c>
      <c r="B143" s="160" t="s">
        <v>200</v>
      </c>
      <c r="C143" s="161" t="s">
        <v>234</v>
      </c>
      <c r="D143" s="161"/>
      <c r="E143" s="161"/>
      <c r="F143" s="162"/>
      <c r="G143" s="162"/>
      <c r="H143" s="162"/>
      <c r="I143" s="160" t="s">
        <v>705</v>
      </c>
      <c r="J143" s="163">
        <v>2.12</v>
      </c>
      <c r="K143" s="163"/>
      <c r="L143" s="163"/>
      <c r="M143" s="164">
        <v>17</v>
      </c>
      <c r="N143" s="164"/>
      <c r="O143" s="164"/>
      <c r="P143" s="159" t="s">
        <v>435</v>
      </c>
      <c r="Q143" s="159" t="s">
        <v>677</v>
      </c>
      <c r="R143" s="159" t="s">
        <v>706</v>
      </c>
      <c r="S143" s="165">
        <v>2.3154943147507399E-2</v>
      </c>
      <c r="T143" s="166" t="s">
        <v>372</v>
      </c>
      <c r="U143" s="166"/>
      <c r="V143" s="166"/>
      <c r="W143" s="167">
        <f>IF(BetTable[Sport]="","",BetTable[Stake]+BetTable[S2]+BetTable[S3])</f>
        <v>17</v>
      </c>
      <c r="X143" s="164">
        <f>IF(BetTable[Odds]="","",(BetTable[WBA1-Commission])-BetTable[TS])</f>
        <v>19.040000000000006</v>
      </c>
      <c r="Y143" s="168">
        <f>IF(BetTable[Outcome]="","",BetTable[WBA1]+BetTable[WBA2]+BetTable[WBA3]-BetTable[TS])</f>
        <v>19.040000000000006</v>
      </c>
      <c r="Z143" s="164">
        <f>(((BetTable[Odds]-1)*BetTable[Stake])*(1-(BetTable[Comm %]))+BetTable[Stake])</f>
        <v>36.040000000000006</v>
      </c>
      <c r="AA143" s="164">
        <f>(((BetTable[O2]-1)*BetTable[S2])*(1-(BetTable[C% 2]))+BetTable[S2])</f>
        <v>0</v>
      </c>
      <c r="AB143" s="164">
        <f>(((BetTable[O3]-1)*BetTable[S3])*(1-(BetTable[C% 3]))+BetTable[S3])</f>
        <v>0</v>
      </c>
      <c r="AC143" s="165">
        <f>IFERROR(IF(BetTable[Sport]="","",BetTable[R1]/BetTable[TS]),"")</f>
        <v>1.1200000000000003</v>
      </c>
      <c r="AD143" s="165" t="str">
        <f>IF(BetTable[O2]="","",#REF!/BetTable[TS])</f>
        <v/>
      </c>
      <c r="AE143" s="165" t="str">
        <f>IFERROR(IF(BetTable[Sport]="","",#REF!/BetTable[TS]),"")</f>
        <v/>
      </c>
      <c r="AF143" s="164">
        <f>IF(BetTable[Outcome]="Win",BetTable[WBA1-Commission],IF(BetTable[Outcome]="Win Half Stake",(BetTable[Stake]/2)+BetTable[WBA1-Commission]/2,IF(BetTable[Outcome]="Lose Half Stake",BetTable[Stake]/2,IF(BetTable[Outcome]="Lose",0,IF(BetTable[Outcome]="Void",BetTable[Stake],)))))</f>
        <v>36.040000000000006</v>
      </c>
      <c r="AG143" s="164">
        <f>IF(BetTable[Outcome2]="Win",BetTable[WBA2-Commission],IF(BetTable[Outcome2]="Win Half Stake",(BetTable[S2]/2)+BetTable[WBA2-Commission]/2,IF(BetTable[Outcome2]="Lose Half Stake",BetTable[S2]/2,IF(BetTable[Outcome2]="Lose",0,IF(BetTable[Outcome2]="Void",BetTable[S2],)))))</f>
        <v>0</v>
      </c>
      <c r="AH143" s="164">
        <f>IF(BetTable[Outcome3]="Win",BetTable[WBA3-Commission],IF(BetTable[Outcome3]="Win Half Stake",(BetTable[S3]/2)+BetTable[WBA3-Commission]/2,IF(BetTable[Outcome3]="Lose Half Stake",BetTable[S3]/2,IF(BetTable[Outcome3]="Lose",0,IF(BetTable[Outcome3]="Void",BetTable[S3],)))))</f>
        <v>0</v>
      </c>
      <c r="AI143" s="168">
        <f>IF(BetTable[Outcome]="",AI142,BetTable[Result]+AI142)</f>
        <v>450.82625000000013</v>
      </c>
      <c r="AJ143" s="160"/>
    </row>
    <row r="144" spans="1:36" x14ac:dyDescent="0.2">
      <c r="A144" s="159" t="s">
        <v>562</v>
      </c>
      <c r="B144" s="160" t="s">
        <v>200</v>
      </c>
      <c r="C144" s="161" t="s">
        <v>234</v>
      </c>
      <c r="D144" s="161"/>
      <c r="E144" s="161"/>
      <c r="F144" s="162"/>
      <c r="G144" s="162"/>
      <c r="H144" s="162"/>
      <c r="I144" s="160" t="s">
        <v>707</v>
      </c>
      <c r="J144" s="163">
        <v>2.19</v>
      </c>
      <c r="K144" s="163"/>
      <c r="L144" s="163"/>
      <c r="M144" s="164">
        <v>24</v>
      </c>
      <c r="N144" s="164"/>
      <c r="O144" s="164"/>
      <c r="P144" s="159" t="s">
        <v>428</v>
      </c>
      <c r="Q144" s="159" t="s">
        <v>703</v>
      </c>
      <c r="R144" s="159" t="s">
        <v>708</v>
      </c>
      <c r="S144" s="165">
        <v>2.4276124812528398E-2</v>
      </c>
      <c r="T144" s="166" t="s">
        <v>382</v>
      </c>
      <c r="U144" s="166"/>
      <c r="V144" s="166"/>
      <c r="W144" s="167">
        <f>IF(BetTable[Sport]="","",BetTable[Stake]+BetTable[S2]+BetTable[S3])</f>
        <v>24</v>
      </c>
      <c r="X144" s="164">
        <f>IF(BetTable[Odds]="","",(BetTable[WBA1-Commission])-BetTable[TS])</f>
        <v>28.560000000000002</v>
      </c>
      <c r="Y144" s="168">
        <f>IF(BetTable[Outcome]="","",BetTable[WBA1]+BetTable[WBA2]+BetTable[WBA3]-BetTable[TS])</f>
        <v>-24</v>
      </c>
      <c r="Z144" s="164">
        <f>(((BetTable[Odds]-1)*BetTable[Stake])*(1-(BetTable[Comm %]))+BetTable[Stake])</f>
        <v>52.56</v>
      </c>
      <c r="AA144" s="164">
        <f>(((BetTable[O2]-1)*BetTable[S2])*(1-(BetTable[C% 2]))+BetTable[S2])</f>
        <v>0</v>
      </c>
      <c r="AB144" s="164">
        <f>(((BetTable[O3]-1)*BetTable[S3])*(1-(BetTable[C% 3]))+BetTable[S3])</f>
        <v>0</v>
      </c>
      <c r="AC144" s="165">
        <f>IFERROR(IF(BetTable[Sport]="","",BetTable[R1]/BetTable[TS]),"")</f>
        <v>1.1900000000000002</v>
      </c>
      <c r="AD144" s="165" t="str">
        <f>IF(BetTable[O2]="","",#REF!/BetTable[TS])</f>
        <v/>
      </c>
      <c r="AE144" s="165" t="str">
        <f>IFERROR(IF(BetTable[Sport]="","",#REF!/BetTable[TS]),"")</f>
        <v/>
      </c>
      <c r="AF144" s="164">
        <f>IF(BetTable[Outcome]="Win",BetTable[WBA1-Commission],IF(BetTable[Outcome]="Win Half Stake",(BetTable[Stake]/2)+BetTable[WBA1-Commission]/2,IF(BetTable[Outcome]="Lose Half Stake",BetTable[Stake]/2,IF(BetTable[Outcome]="Lose",0,IF(BetTable[Outcome]="Void",BetTable[Stake],)))))</f>
        <v>0</v>
      </c>
      <c r="AG144" s="164">
        <f>IF(BetTable[Outcome2]="Win",BetTable[WBA2-Commission],IF(BetTable[Outcome2]="Win Half Stake",(BetTable[S2]/2)+BetTable[WBA2-Commission]/2,IF(BetTable[Outcome2]="Lose Half Stake",BetTable[S2]/2,IF(BetTable[Outcome2]="Lose",0,IF(BetTable[Outcome2]="Void",BetTable[S2],)))))</f>
        <v>0</v>
      </c>
      <c r="AH144" s="164">
        <f>IF(BetTable[Outcome3]="Win",BetTable[WBA3-Commission],IF(BetTable[Outcome3]="Win Half Stake",(BetTable[S3]/2)+BetTable[WBA3-Commission]/2,IF(BetTable[Outcome3]="Lose Half Stake",BetTable[S3]/2,IF(BetTable[Outcome3]="Lose",0,IF(BetTable[Outcome3]="Void",BetTable[S3],)))))</f>
        <v>0</v>
      </c>
      <c r="AI144" s="168">
        <f>IF(BetTable[Outcome]="",AI143,BetTable[Result]+AI143)</f>
        <v>426.82625000000013</v>
      </c>
      <c r="AJ144" s="160"/>
    </row>
    <row r="145" spans="1:36" x14ac:dyDescent="0.2">
      <c r="A145" s="159" t="s">
        <v>562</v>
      </c>
      <c r="B145" s="160" t="s">
        <v>200</v>
      </c>
      <c r="C145" s="161" t="s">
        <v>234</v>
      </c>
      <c r="D145" s="161"/>
      <c r="E145" s="161"/>
      <c r="F145" s="162"/>
      <c r="G145" s="162"/>
      <c r="H145" s="162"/>
      <c r="I145" s="160" t="s">
        <v>709</v>
      </c>
      <c r="J145" s="163">
        <v>1.7</v>
      </c>
      <c r="K145" s="163"/>
      <c r="L145" s="163"/>
      <c r="M145" s="164">
        <v>29</v>
      </c>
      <c r="N145" s="164"/>
      <c r="O145" s="164"/>
      <c r="P145" s="159" t="s">
        <v>406</v>
      </c>
      <c r="Q145" s="159" t="s">
        <v>506</v>
      </c>
      <c r="R145" s="159" t="s">
        <v>710</v>
      </c>
      <c r="S145" s="165">
        <v>1.6635590594192E-2</v>
      </c>
      <c r="T145" s="166" t="s">
        <v>382</v>
      </c>
      <c r="U145" s="166"/>
      <c r="V145" s="166"/>
      <c r="W145" s="167">
        <f>IF(BetTable[Sport]="","",BetTable[Stake]+BetTable[S2]+BetTable[S3])</f>
        <v>29</v>
      </c>
      <c r="X145" s="164">
        <f>IF(BetTable[Odds]="","",(BetTable[WBA1-Commission])-BetTable[TS])</f>
        <v>20.299999999999997</v>
      </c>
      <c r="Y145" s="168">
        <f>IF(BetTable[Outcome]="","",BetTable[WBA1]+BetTable[WBA2]+BetTable[WBA3]-BetTable[TS])</f>
        <v>-29</v>
      </c>
      <c r="Z145" s="164">
        <f>(((BetTable[Odds]-1)*BetTable[Stake])*(1-(BetTable[Comm %]))+BetTable[Stake])</f>
        <v>49.3</v>
      </c>
      <c r="AA145" s="164">
        <f>(((BetTable[O2]-1)*BetTable[S2])*(1-(BetTable[C% 2]))+BetTable[S2])</f>
        <v>0</v>
      </c>
      <c r="AB145" s="164">
        <f>(((BetTable[O3]-1)*BetTable[S3])*(1-(BetTable[C% 3]))+BetTable[S3])</f>
        <v>0</v>
      </c>
      <c r="AC145" s="165">
        <f>IFERROR(IF(BetTable[Sport]="","",BetTable[R1]/BetTable[TS]),"")</f>
        <v>0.7</v>
      </c>
      <c r="AD145" s="165" t="str">
        <f>IF(BetTable[O2]="","",#REF!/BetTable[TS])</f>
        <v/>
      </c>
      <c r="AE145" s="165" t="str">
        <f>IFERROR(IF(BetTable[Sport]="","",#REF!/BetTable[TS]),"")</f>
        <v/>
      </c>
      <c r="AF145" s="164">
        <f>IF(BetTable[Outcome]="Win",BetTable[WBA1-Commission],IF(BetTable[Outcome]="Win Half Stake",(BetTable[Stake]/2)+BetTable[WBA1-Commission]/2,IF(BetTable[Outcome]="Lose Half Stake",BetTable[Stake]/2,IF(BetTable[Outcome]="Lose",0,IF(BetTable[Outcome]="Void",BetTable[Stake],)))))</f>
        <v>0</v>
      </c>
      <c r="AG145" s="164">
        <f>IF(BetTable[Outcome2]="Win",BetTable[WBA2-Commission],IF(BetTable[Outcome2]="Win Half Stake",(BetTable[S2]/2)+BetTable[WBA2-Commission]/2,IF(BetTable[Outcome2]="Lose Half Stake",BetTable[S2]/2,IF(BetTable[Outcome2]="Lose",0,IF(BetTable[Outcome2]="Void",BetTable[S2],)))))</f>
        <v>0</v>
      </c>
      <c r="AH145" s="164">
        <f>IF(BetTable[Outcome3]="Win",BetTable[WBA3-Commission],IF(BetTable[Outcome3]="Win Half Stake",(BetTable[S3]/2)+BetTable[WBA3-Commission]/2,IF(BetTable[Outcome3]="Lose Half Stake",BetTable[S3]/2,IF(BetTable[Outcome3]="Lose",0,IF(BetTable[Outcome3]="Void",BetTable[S3],)))))</f>
        <v>0</v>
      </c>
      <c r="AI145" s="168">
        <f>IF(BetTable[Outcome]="",AI144,BetTable[Result]+AI144)</f>
        <v>397.82625000000013</v>
      </c>
      <c r="AJ145" s="160"/>
    </row>
    <row r="146" spans="1:36" x14ac:dyDescent="0.2">
      <c r="A146" s="159" t="s">
        <v>562</v>
      </c>
      <c r="B146" s="160" t="s">
        <v>200</v>
      </c>
      <c r="C146" s="161" t="s">
        <v>234</v>
      </c>
      <c r="D146" s="161"/>
      <c r="E146" s="161"/>
      <c r="F146" s="162"/>
      <c r="G146" s="162"/>
      <c r="H146" s="162"/>
      <c r="I146" s="160" t="s">
        <v>664</v>
      </c>
      <c r="J146" s="163">
        <v>1.89</v>
      </c>
      <c r="K146" s="163"/>
      <c r="L146" s="163"/>
      <c r="M146" s="164">
        <v>24</v>
      </c>
      <c r="N146" s="164"/>
      <c r="O146" s="164"/>
      <c r="P146" s="159" t="s">
        <v>351</v>
      </c>
      <c r="Q146" s="159" t="s">
        <v>581</v>
      </c>
      <c r="R146" s="159" t="s">
        <v>711</v>
      </c>
      <c r="S146" s="165">
        <v>1.7846889952153101E-2</v>
      </c>
      <c r="T146" s="166" t="s">
        <v>549</v>
      </c>
      <c r="U146" s="166"/>
      <c r="V146" s="166"/>
      <c r="W146" s="167">
        <f>IF(BetTable[Sport]="","",BetTable[Stake]+BetTable[S2]+BetTable[S3])</f>
        <v>24</v>
      </c>
      <c r="X146" s="164">
        <f>IF(BetTable[Odds]="","",(BetTable[WBA1-Commission])-BetTable[TS])</f>
        <v>21.36</v>
      </c>
      <c r="Y146" s="168">
        <f>IF(BetTable[Outcome]="","",BetTable[WBA1]+BetTable[WBA2]+BetTable[WBA3]-BetTable[TS])</f>
        <v>-12</v>
      </c>
      <c r="Z146" s="164">
        <f>(((BetTable[Odds]-1)*BetTable[Stake])*(1-(BetTable[Comm %]))+BetTable[Stake])</f>
        <v>45.36</v>
      </c>
      <c r="AA146" s="164">
        <f>(((BetTable[O2]-1)*BetTable[S2])*(1-(BetTable[C% 2]))+BetTable[S2])</f>
        <v>0</v>
      </c>
      <c r="AB146" s="164">
        <f>(((BetTable[O3]-1)*BetTable[S3])*(1-(BetTable[C% 3]))+BetTable[S3])</f>
        <v>0</v>
      </c>
      <c r="AC146" s="165">
        <f>IFERROR(IF(BetTable[Sport]="","",BetTable[R1]/BetTable[TS]),"")</f>
        <v>0.89</v>
      </c>
      <c r="AD146" s="165" t="str">
        <f>IF(BetTable[O2]="","",#REF!/BetTable[TS])</f>
        <v/>
      </c>
      <c r="AE146" s="165" t="str">
        <f>IFERROR(IF(BetTable[Sport]="","",#REF!/BetTable[TS]),"")</f>
        <v/>
      </c>
      <c r="AF146" s="164">
        <f>IF(BetTable[Outcome]="Win",BetTable[WBA1-Commission],IF(BetTable[Outcome]="Win Half Stake",(BetTable[Stake]/2)+BetTable[WBA1-Commission]/2,IF(BetTable[Outcome]="Lose Half Stake",BetTable[Stake]/2,IF(BetTable[Outcome]="Lose",0,IF(BetTable[Outcome]="Void",BetTable[Stake],)))))</f>
        <v>12</v>
      </c>
      <c r="AG146" s="164">
        <f>IF(BetTable[Outcome2]="Win",BetTable[WBA2-Commission],IF(BetTable[Outcome2]="Win Half Stake",(BetTable[S2]/2)+BetTable[WBA2-Commission]/2,IF(BetTable[Outcome2]="Lose Half Stake",BetTable[S2]/2,IF(BetTable[Outcome2]="Lose",0,IF(BetTable[Outcome2]="Void",BetTable[S2],)))))</f>
        <v>0</v>
      </c>
      <c r="AH146" s="164">
        <f>IF(BetTable[Outcome3]="Win",BetTable[WBA3-Commission],IF(BetTable[Outcome3]="Win Half Stake",(BetTable[S3]/2)+BetTable[WBA3-Commission]/2,IF(BetTable[Outcome3]="Lose Half Stake",BetTable[S3]/2,IF(BetTable[Outcome3]="Lose",0,IF(BetTable[Outcome3]="Void",BetTable[S3],)))))</f>
        <v>0</v>
      </c>
      <c r="AI146" s="168">
        <f>IF(BetTable[Outcome]="",AI145,BetTable[Result]+AI145)</f>
        <v>385.82625000000013</v>
      </c>
      <c r="AJ146" s="160"/>
    </row>
    <row r="147" spans="1:36" x14ac:dyDescent="0.2">
      <c r="A147" s="159" t="s">
        <v>562</v>
      </c>
      <c r="B147" s="160" t="s">
        <v>200</v>
      </c>
      <c r="C147" s="161" t="s">
        <v>91</v>
      </c>
      <c r="D147" s="161"/>
      <c r="E147" s="161"/>
      <c r="F147" s="162"/>
      <c r="G147" s="162"/>
      <c r="H147" s="162"/>
      <c r="I147" s="160" t="s">
        <v>712</v>
      </c>
      <c r="J147" s="163">
        <v>1.54</v>
      </c>
      <c r="K147" s="163"/>
      <c r="L147" s="163"/>
      <c r="M147" s="164">
        <v>43</v>
      </c>
      <c r="N147" s="164"/>
      <c r="O147" s="164"/>
      <c r="P147" s="159" t="s">
        <v>385</v>
      </c>
      <c r="Q147" s="159" t="s">
        <v>439</v>
      </c>
      <c r="R147" s="159" t="s">
        <v>713</v>
      </c>
      <c r="S147" s="165">
        <v>1.91831051170155E-2</v>
      </c>
      <c r="T147" s="166" t="s">
        <v>383</v>
      </c>
      <c r="U147" s="166"/>
      <c r="V147" s="166"/>
      <c r="W147" s="167">
        <f>IF(BetTable[Sport]="","",BetTable[Stake]+BetTable[S2]+BetTable[S3])</f>
        <v>43</v>
      </c>
      <c r="X147" s="164">
        <f>IF(BetTable[Odds]="","",(BetTable[WBA1-Commission])-BetTable[TS])</f>
        <v>23.22</v>
      </c>
      <c r="Y147" s="168">
        <f>IF(BetTable[Outcome]="","",BetTable[WBA1]+BetTable[WBA2]+BetTable[WBA3]-BetTable[TS])</f>
        <v>0</v>
      </c>
      <c r="Z147" s="164">
        <f>(((BetTable[Odds]-1)*BetTable[Stake])*(1-(BetTable[Comm %]))+BetTable[Stake])</f>
        <v>66.22</v>
      </c>
      <c r="AA147" s="164">
        <f>(((BetTable[O2]-1)*BetTable[S2])*(1-(BetTable[C% 2]))+BetTable[S2])</f>
        <v>0</v>
      </c>
      <c r="AB147" s="164">
        <f>(((BetTable[O3]-1)*BetTable[S3])*(1-(BetTable[C% 3]))+BetTable[S3])</f>
        <v>0</v>
      </c>
      <c r="AC147" s="165">
        <f>IFERROR(IF(BetTable[Sport]="","",BetTable[R1]/BetTable[TS]),"")</f>
        <v>0.53999999999999992</v>
      </c>
      <c r="AD147" s="165" t="str">
        <f>IF(BetTable[O2]="","",#REF!/BetTable[TS])</f>
        <v/>
      </c>
      <c r="AE147" s="165" t="str">
        <f>IFERROR(IF(BetTable[Sport]="","",#REF!/BetTable[TS]),"")</f>
        <v/>
      </c>
      <c r="AF147" s="164">
        <f>IF(BetTable[Outcome]="Win",BetTable[WBA1-Commission],IF(BetTable[Outcome]="Win Half Stake",(BetTable[Stake]/2)+BetTable[WBA1-Commission]/2,IF(BetTable[Outcome]="Lose Half Stake",BetTable[Stake]/2,IF(BetTable[Outcome]="Lose",0,IF(BetTable[Outcome]="Void",BetTable[Stake],)))))</f>
        <v>43</v>
      </c>
      <c r="AG147" s="164">
        <f>IF(BetTable[Outcome2]="Win",BetTable[WBA2-Commission],IF(BetTable[Outcome2]="Win Half Stake",(BetTable[S2]/2)+BetTable[WBA2-Commission]/2,IF(BetTable[Outcome2]="Lose Half Stake",BetTable[S2]/2,IF(BetTable[Outcome2]="Lose",0,IF(BetTable[Outcome2]="Void",BetTable[S2],)))))</f>
        <v>0</v>
      </c>
      <c r="AH147" s="164">
        <f>IF(BetTable[Outcome3]="Win",BetTable[WBA3-Commission],IF(BetTable[Outcome3]="Win Half Stake",(BetTable[S3]/2)+BetTable[WBA3-Commission]/2,IF(BetTable[Outcome3]="Lose Half Stake",BetTable[S3]/2,IF(BetTable[Outcome3]="Lose",0,IF(BetTable[Outcome3]="Void",BetTable[S3],)))))</f>
        <v>0</v>
      </c>
      <c r="AI147" s="168">
        <f>IF(BetTable[Outcome]="",AI146,BetTable[Result]+AI146)</f>
        <v>385.82625000000013</v>
      </c>
      <c r="AJ147" s="160"/>
    </row>
    <row r="148" spans="1:36" x14ac:dyDescent="0.2">
      <c r="A148" s="159" t="s">
        <v>562</v>
      </c>
      <c r="B148" s="160" t="s">
        <v>200</v>
      </c>
      <c r="C148" s="161" t="s">
        <v>91</v>
      </c>
      <c r="D148" s="161"/>
      <c r="E148" s="161"/>
      <c r="F148" s="162"/>
      <c r="G148" s="162"/>
      <c r="H148" s="162"/>
      <c r="I148" s="160" t="s">
        <v>714</v>
      </c>
      <c r="J148" s="163">
        <v>1.76</v>
      </c>
      <c r="K148" s="163"/>
      <c r="L148" s="163"/>
      <c r="M148" s="164">
        <v>24</v>
      </c>
      <c r="N148" s="164"/>
      <c r="O148" s="164"/>
      <c r="P148" s="159" t="s">
        <v>406</v>
      </c>
      <c r="Q148" s="159" t="s">
        <v>461</v>
      </c>
      <c r="R148" s="159" t="s">
        <v>715</v>
      </c>
      <c r="S148" s="165">
        <v>1.5141801144969101E-2</v>
      </c>
      <c r="T148" s="166" t="s">
        <v>382</v>
      </c>
      <c r="U148" s="166"/>
      <c r="V148" s="166"/>
      <c r="W148" s="167">
        <f>IF(BetTable[Sport]="","",BetTable[Stake]+BetTable[S2]+BetTable[S3])</f>
        <v>24</v>
      </c>
      <c r="X148" s="164">
        <f>IF(BetTable[Odds]="","",(BetTable[WBA1-Commission])-BetTable[TS])</f>
        <v>18.240000000000002</v>
      </c>
      <c r="Y148" s="168">
        <f>IF(BetTable[Outcome]="","",BetTable[WBA1]+BetTable[WBA2]+BetTable[WBA3]-BetTable[TS])</f>
        <v>-24</v>
      </c>
      <c r="Z148" s="164">
        <f>(((BetTable[Odds]-1)*BetTable[Stake])*(1-(BetTable[Comm %]))+BetTable[Stake])</f>
        <v>42.24</v>
      </c>
      <c r="AA148" s="164">
        <f>(((BetTable[O2]-1)*BetTable[S2])*(1-(BetTable[C% 2]))+BetTable[S2])</f>
        <v>0</v>
      </c>
      <c r="AB148" s="164">
        <f>(((BetTable[O3]-1)*BetTable[S3])*(1-(BetTable[C% 3]))+BetTable[S3])</f>
        <v>0</v>
      </c>
      <c r="AC148" s="165">
        <f>IFERROR(IF(BetTable[Sport]="","",BetTable[R1]/BetTable[TS]),"")</f>
        <v>0.76000000000000012</v>
      </c>
      <c r="AD148" s="165" t="str">
        <f>IF(BetTable[O2]="","",#REF!/BetTable[TS])</f>
        <v/>
      </c>
      <c r="AE148" s="165" t="str">
        <f>IFERROR(IF(BetTable[Sport]="","",#REF!/BetTable[TS]),"")</f>
        <v/>
      </c>
      <c r="AF148" s="164">
        <f>IF(BetTable[Outcome]="Win",BetTable[WBA1-Commission],IF(BetTable[Outcome]="Win Half Stake",(BetTable[Stake]/2)+BetTable[WBA1-Commission]/2,IF(BetTable[Outcome]="Lose Half Stake",BetTable[Stake]/2,IF(BetTable[Outcome]="Lose",0,IF(BetTable[Outcome]="Void",BetTable[Stake],)))))</f>
        <v>0</v>
      </c>
      <c r="AG148" s="164">
        <f>IF(BetTable[Outcome2]="Win",BetTable[WBA2-Commission],IF(BetTable[Outcome2]="Win Half Stake",(BetTable[S2]/2)+BetTable[WBA2-Commission]/2,IF(BetTable[Outcome2]="Lose Half Stake",BetTable[S2]/2,IF(BetTable[Outcome2]="Lose",0,IF(BetTable[Outcome2]="Void",BetTable[S2],)))))</f>
        <v>0</v>
      </c>
      <c r="AH148" s="164">
        <f>IF(BetTable[Outcome3]="Win",BetTable[WBA3-Commission],IF(BetTable[Outcome3]="Win Half Stake",(BetTable[S3]/2)+BetTable[WBA3-Commission]/2,IF(BetTable[Outcome3]="Lose Half Stake",BetTable[S3]/2,IF(BetTable[Outcome3]="Lose",0,IF(BetTable[Outcome3]="Void",BetTable[S3],)))))</f>
        <v>0</v>
      </c>
      <c r="AI148" s="168">
        <f>IF(BetTable[Outcome]="",AI147,BetTable[Result]+AI147)</f>
        <v>361.82625000000013</v>
      </c>
      <c r="AJ148" s="160"/>
    </row>
    <row r="149" spans="1:36" x14ac:dyDescent="0.2">
      <c r="A149" s="159" t="s">
        <v>562</v>
      </c>
      <c r="B149" s="160" t="s">
        <v>200</v>
      </c>
      <c r="C149" s="161" t="s">
        <v>234</v>
      </c>
      <c r="D149" s="161"/>
      <c r="E149" s="161"/>
      <c r="F149" s="162"/>
      <c r="G149" s="162"/>
      <c r="H149" s="162"/>
      <c r="I149" s="160" t="s">
        <v>716</v>
      </c>
      <c r="J149" s="163">
        <v>1.71</v>
      </c>
      <c r="K149" s="163"/>
      <c r="L149" s="163"/>
      <c r="M149" s="164">
        <v>41</v>
      </c>
      <c r="N149" s="164"/>
      <c r="O149" s="164"/>
      <c r="P149" s="159" t="s">
        <v>348</v>
      </c>
      <c r="Q149" s="159" t="s">
        <v>703</v>
      </c>
      <c r="R149" s="159" t="s">
        <v>717</v>
      </c>
      <c r="S149" s="165">
        <v>2.4370382267908702E-2</v>
      </c>
      <c r="T149" s="166" t="s">
        <v>383</v>
      </c>
      <c r="U149" s="166"/>
      <c r="V149" s="166"/>
      <c r="W149" s="167">
        <f>IF(BetTable[Sport]="","",BetTable[Stake]+BetTable[S2]+BetTable[S3])</f>
        <v>41</v>
      </c>
      <c r="X149" s="164">
        <f>IF(BetTable[Odds]="","",(BetTable[WBA1-Commission])-BetTable[TS])</f>
        <v>29.11</v>
      </c>
      <c r="Y149" s="168">
        <f>IF(BetTable[Outcome]="","",BetTable[WBA1]+BetTable[WBA2]+BetTable[WBA3]-BetTable[TS])</f>
        <v>0</v>
      </c>
      <c r="Z149" s="164">
        <f>(((BetTable[Odds]-1)*BetTable[Stake])*(1-(BetTable[Comm %]))+BetTable[Stake])</f>
        <v>70.11</v>
      </c>
      <c r="AA149" s="164">
        <f>(((BetTable[O2]-1)*BetTable[S2])*(1-(BetTable[C% 2]))+BetTable[S2])</f>
        <v>0</v>
      </c>
      <c r="AB149" s="164">
        <f>(((BetTable[O3]-1)*BetTable[S3])*(1-(BetTable[C% 3]))+BetTable[S3])</f>
        <v>0</v>
      </c>
      <c r="AC149" s="165">
        <f>IFERROR(IF(BetTable[Sport]="","",BetTable[R1]/BetTable[TS]),"")</f>
        <v>0.71</v>
      </c>
      <c r="AD149" s="165" t="str">
        <f>IF(BetTable[O2]="","",#REF!/BetTable[TS])</f>
        <v/>
      </c>
      <c r="AE149" s="165" t="str">
        <f>IFERROR(IF(BetTable[Sport]="","",#REF!/BetTable[TS]),"")</f>
        <v/>
      </c>
      <c r="AF149" s="164">
        <f>IF(BetTable[Outcome]="Win",BetTable[WBA1-Commission],IF(BetTable[Outcome]="Win Half Stake",(BetTable[Stake]/2)+BetTable[WBA1-Commission]/2,IF(BetTable[Outcome]="Lose Half Stake",BetTable[Stake]/2,IF(BetTable[Outcome]="Lose",0,IF(BetTable[Outcome]="Void",BetTable[Stake],)))))</f>
        <v>41</v>
      </c>
      <c r="AG149" s="164">
        <f>IF(BetTable[Outcome2]="Win",BetTable[WBA2-Commission],IF(BetTable[Outcome2]="Win Half Stake",(BetTable[S2]/2)+BetTable[WBA2-Commission]/2,IF(BetTable[Outcome2]="Lose Half Stake",BetTable[S2]/2,IF(BetTable[Outcome2]="Lose",0,IF(BetTable[Outcome2]="Void",BetTable[S2],)))))</f>
        <v>0</v>
      </c>
      <c r="AH149" s="164">
        <f>IF(BetTable[Outcome3]="Win",BetTable[WBA3-Commission],IF(BetTable[Outcome3]="Win Half Stake",(BetTable[S3]/2)+BetTable[WBA3-Commission]/2,IF(BetTable[Outcome3]="Lose Half Stake",BetTable[S3]/2,IF(BetTable[Outcome3]="Lose",0,IF(BetTable[Outcome3]="Void",BetTable[S3],)))))</f>
        <v>0</v>
      </c>
      <c r="AI149" s="168">
        <f>IF(BetTable[Outcome]="",AI148,BetTable[Result]+AI148)</f>
        <v>361.82625000000013</v>
      </c>
      <c r="AJ149" s="160"/>
    </row>
    <row r="150" spans="1:36" x14ac:dyDescent="0.2">
      <c r="A150" s="159" t="s">
        <v>562</v>
      </c>
      <c r="B150" s="160" t="s">
        <v>200</v>
      </c>
      <c r="C150" s="161" t="s">
        <v>91</v>
      </c>
      <c r="D150" s="161"/>
      <c r="E150" s="161"/>
      <c r="F150" s="162"/>
      <c r="G150" s="162"/>
      <c r="H150" s="162"/>
      <c r="I150" s="160" t="s">
        <v>718</v>
      </c>
      <c r="J150" s="163">
        <v>2.0099999999999998</v>
      </c>
      <c r="K150" s="163"/>
      <c r="L150" s="163"/>
      <c r="M150" s="164">
        <v>25</v>
      </c>
      <c r="N150" s="164"/>
      <c r="O150" s="164"/>
      <c r="P150" s="159" t="s">
        <v>348</v>
      </c>
      <c r="Q150" s="159" t="s">
        <v>703</v>
      </c>
      <c r="R150" s="159" t="s">
        <v>719</v>
      </c>
      <c r="S150" s="165">
        <v>2.1344393700380101E-2</v>
      </c>
      <c r="T150" s="166" t="s">
        <v>382</v>
      </c>
      <c r="U150" s="166"/>
      <c r="V150" s="166"/>
      <c r="W150" s="167">
        <f>IF(BetTable[Sport]="","",BetTable[Stake]+BetTable[S2]+BetTable[S3])</f>
        <v>25</v>
      </c>
      <c r="X150" s="164">
        <f>IF(BetTable[Odds]="","",(BetTable[WBA1-Commission])-BetTable[TS])</f>
        <v>25.249999999999993</v>
      </c>
      <c r="Y150" s="168">
        <f>IF(BetTable[Outcome]="","",BetTable[WBA1]+BetTable[WBA2]+BetTable[WBA3]-BetTable[TS])</f>
        <v>-25</v>
      </c>
      <c r="Z150" s="164">
        <f>(((BetTable[Odds]-1)*BetTable[Stake])*(1-(BetTable[Comm %]))+BetTable[Stake])</f>
        <v>50.249999999999993</v>
      </c>
      <c r="AA150" s="164">
        <f>(((BetTable[O2]-1)*BetTable[S2])*(1-(BetTable[C% 2]))+BetTable[S2])</f>
        <v>0</v>
      </c>
      <c r="AB150" s="164">
        <f>(((BetTable[O3]-1)*BetTable[S3])*(1-(BetTable[C% 3]))+BetTable[S3])</f>
        <v>0</v>
      </c>
      <c r="AC150" s="165">
        <f>IFERROR(IF(BetTable[Sport]="","",BetTable[R1]/BetTable[TS]),"")</f>
        <v>1.0099999999999998</v>
      </c>
      <c r="AD150" s="165" t="str">
        <f>IF(BetTable[O2]="","",#REF!/BetTable[TS])</f>
        <v/>
      </c>
      <c r="AE150" s="165" t="str">
        <f>IFERROR(IF(BetTable[Sport]="","",#REF!/BetTable[TS]),"")</f>
        <v/>
      </c>
      <c r="AF150" s="164">
        <f>IF(BetTable[Outcome]="Win",BetTable[WBA1-Commission],IF(BetTable[Outcome]="Win Half Stake",(BetTable[Stake]/2)+BetTable[WBA1-Commission]/2,IF(BetTable[Outcome]="Lose Half Stake",BetTable[Stake]/2,IF(BetTable[Outcome]="Lose",0,IF(BetTable[Outcome]="Void",BetTable[Stake],)))))</f>
        <v>0</v>
      </c>
      <c r="AG150" s="164">
        <f>IF(BetTable[Outcome2]="Win",BetTable[WBA2-Commission],IF(BetTable[Outcome2]="Win Half Stake",(BetTable[S2]/2)+BetTable[WBA2-Commission]/2,IF(BetTable[Outcome2]="Lose Half Stake",BetTable[S2]/2,IF(BetTable[Outcome2]="Lose",0,IF(BetTable[Outcome2]="Void",BetTable[S2],)))))</f>
        <v>0</v>
      </c>
      <c r="AH150" s="164">
        <f>IF(BetTable[Outcome3]="Win",BetTable[WBA3-Commission],IF(BetTable[Outcome3]="Win Half Stake",(BetTable[S3]/2)+BetTable[WBA3-Commission]/2,IF(BetTable[Outcome3]="Lose Half Stake",BetTable[S3]/2,IF(BetTable[Outcome3]="Lose",0,IF(BetTable[Outcome3]="Void",BetTable[S3],)))))</f>
        <v>0</v>
      </c>
      <c r="AI150" s="168">
        <f>IF(BetTable[Outcome]="",AI149,BetTable[Result]+AI149)</f>
        <v>336.82625000000013</v>
      </c>
      <c r="AJ150" s="160"/>
    </row>
    <row r="151" spans="1:36" x14ac:dyDescent="0.2">
      <c r="A151" s="159" t="s">
        <v>562</v>
      </c>
      <c r="B151" s="160" t="s">
        <v>200</v>
      </c>
      <c r="C151" s="161" t="s">
        <v>91</v>
      </c>
      <c r="D151" s="161"/>
      <c r="E151" s="161"/>
      <c r="F151" s="162"/>
      <c r="G151" s="162"/>
      <c r="H151" s="162"/>
      <c r="I151" s="160" t="s">
        <v>720</v>
      </c>
      <c r="J151" s="163">
        <v>2</v>
      </c>
      <c r="K151" s="163"/>
      <c r="L151" s="163"/>
      <c r="M151" s="164">
        <v>19</v>
      </c>
      <c r="N151" s="164"/>
      <c r="O151" s="164"/>
      <c r="P151" s="159" t="s">
        <v>348</v>
      </c>
      <c r="Q151" s="159" t="s">
        <v>703</v>
      </c>
      <c r="R151" s="159" t="s">
        <v>721</v>
      </c>
      <c r="S151" s="165">
        <v>1.5953128751196401E-2</v>
      </c>
      <c r="T151" s="166" t="s">
        <v>383</v>
      </c>
      <c r="U151" s="166"/>
      <c r="V151" s="166"/>
      <c r="W151" s="167">
        <f>IF(BetTable[Sport]="","",BetTable[Stake]+BetTable[S2]+BetTable[S3])</f>
        <v>19</v>
      </c>
      <c r="X151" s="164">
        <f>IF(BetTable[Odds]="","",(BetTable[WBA1-Commission])-BetTable[TS])</f>
        <v>19</v>
      </c>
      <c r="Y151" s="168">
        <f>IF(BetTable[Outcome]="","",BetTable[WBA1]+BetTable[WBA2]+BetTable[WBA3]-BetTable[TS])</f>
        <v>0</v>
      </c>
      <c r="Z151" s="164">
        <f>(((BetTable[Odds]-1)*BetTable[Stake])*(1-(BetTable[Comm %]))+BetTable[Stake])</f>
        <v>38</v>
      </c>
      <c r="AA151" s="164">
        <f>(((BetTable[O2]-1)*BetTable[S2])*(1-(BetTable[C% 2]))+BetTable[S2])</f>
        <v>0</v>
      </c>
      <c r="AB151" s="164">
        <f>(((BetTable[O3]-1)*BetTable[S3])*(1-(BetTable[C% 3]))+BetTable[S3])</f>
        <v>0</v>
      </c>
      <c r="AC151" s="165">
        <f>IFERROR(IF(BetTable[Sport]="","",BetTable[R1]/BetTable[TS]),"")</f>
        <v>1</v>
      </c>
      <c r="AD151" s="165" t="str">
        <f>IF(BetTable[O2]="","",#REF!/BetTable[TS])</f>
        <v/>
      </c>
      <c r="AE151" s="165" t="str">
        <f>IFERROR(IF(BetTable[Sport]="","",#REF!/BetTable[TS]),"")</f>
        <v/>
      </c>
      <c r="AF151" s="164">
        <f>IF(BetTable[Outcome]="Win",BetTable[WBA1-Commission],IF(BetTable[Outcome]="Win Half Stake",(BetTable[Stake]/2)+BetTable[WBA1-Commission]/2,IF(BetTable[Outcome]="Lose Half Stake",BetTable[Stake]/2,IF(BetTable[Outcome]="Lose",0,IF(BetTable[Outcome]="Void",BetTable[Stake],)))))</f>
        <v>19</v>
      </c>
      <c r="AG151" s="164">
        <f>IF(BetTable[Outcome2]="Win",BetTable[WBA2-Commission],IF(BetTable[Outcome2]="Win Half Stake",(BetTable[S2]/2)+BetTable[WBA2-Commission]/2,IF(BetTable[Outcome2]="Lose Half Stake",BetTable[S2]/2,IF(BetTable[Outcome2]="Lose",0,IF(BetTable[Outcome2]="Void",BetTable[S2],)))))</f>
        <v>0</v>
      </c>
      <c r="AH151" s="164">
        <f>IF(BetTable[Outcome3]="Win",BetTable[WBA3-Commission],IF(BetTable[Outcome3]="Win Half Stake",(BetTable[S3]/2)+BetTable[WBA3-Commission]/2,IF(BetTable[Outcome3]="Lose Half Stake",BetTable[S3]/2,IF(BetTable[Outcome3]="Lose",0,IF(BetTable[Outcome3]="Void",BetTable[S3],)))))</f>
        <v>0</v>
      </c>
      <c r="AI151" s="168">
        <f>IF(BetTable[Outcome]="",AI150,BetTable[Result]+AI150)</f>
        <v>336.82625000000013</v>
      </c>
      <c r="AJ151" s="160"/>
    </row>
    <row r="152" spans="1:36" x14ac:dyDescent="0.2">
      <c r="A152" s="159" t="s">
        <v>562</v>
      </c>
      <c r="B152" s="160" t="s">
        <v>200</v>
      </c>
      <c r="C152" s="161" t="s">
        <v>91</v>
      </c>
      <c r="D152" s="161"/>
      <c r="E152" s="161"/>
      <c r="F152" s="162"/>
      <c r="G152" s="162"/>
      <c r="H152" s="162"/>
      <c r="I152" s="160" t="s">
        <v>722</v>
      </c>
      <c r="J152" s="163">
        <v>1.74</v>
      </c>
      <c r="K152" s="163"/>
      <c r="L152" s="163"/>
      <c r="M152" s="164">
        <v>27</v>
      </c>
      <c r="N152" s="164"/>
      <c r="O152" s="164"/>
      <c r="P152" s="159" t="s">
        <v>351</v>
      </c>
      <c r="Q152" s="159" t="s">
        <v>703</v>
      </c>
      <c r="R152" s="159" t="s">
        <v>723</v>
      </c>
      <c r="S152" s="165">
        <v>1.67635988616587E-2</v>
      </c>
      <c r="T152" s="166" t="s">
        <v>382</v>
      </c>
      <c r="U152" s="166"/>
      <c r="V152" s="166"/>
      <c r="W152" s="167">
        <f>IF(BetTable[Sport]="","",BetTable[Stake]+BetTable[S2]+BetTable[S3])</f>
        <v>27</v>
      </c>
      <c r="X152" s="164">
        <f>IF(BetTable[Odds]="","",(BetTable[WBA1-Commission])-BetTable[TS])</f>
        <v>19.980000000000004</v>
      </c>
      <c r="Y152" s="168">
        <f>IF(BetTable[Outcome]="","",BetTable[WBA1]+BetTable[WBA2]+BetTable[WBA3]-BetTable[TS])</f>
        <v>-27</v>
      </c>
      <c r="Z152" s="164">
        <f>(((BetTable[Odds]-1)*BetTable[Stake])*(1-(BetTable[Comm %]))+BetTable[Stake])</f>
        <v>46.980000000000004</v>
      </c>
      <c r="AA152" s="164">
        <f>(((BetTable[O2]-1)*BetTable[S2])*(1-(BetTable[C% 2]))+BetTable[S2])</f>
        <v>0</v>
      </c>
      <c r="AB152" s="164">
        <f>(((BetTable[O3]-1)*BetTable[S3])*(1-(BetTable[C% 3]))+BetTable[S3])</f>
        <v>0</v>
      </c>
      <c r="AC152" s="165">
        <f>IFERROR(IF(BetTable[Sport]="","",BetTable[R1]/BetTable[TS]),"")</f>
        <v>0.7400000000000001</v>
      </c>
      <c r="AD152" s="165" t="str">
        <f>IF(BetTable[O2]="","",#REF!/BetTable[TS])</f>
        <v/>
      </c>
      <c r="AE152" s="165" t="str">
        <f>IFERROR(IF(BetTable[Sport]="","",#REF!/BetTable[TS]),"")</f>
        <v/>
      </c>
      <c r="AF152" s="164">
        <f>IF(BetTable[Outcome]="Win",BetTable[WBA1-Commission],IF(BetTable[Outcome]="Win Half Stake",(BetTable[Stake]/2)+BetTable[WBA1-Commission]/2,IF(BetTable[Outcome]="Lose Half Stake",BetTable[Stake]/2,IF(BetTable[Outcome]="Lose",0,IF(BetTable[Outcome]="Void",BetTable[Stake],)))))</f>
        <v>0</v>
      </c>
      <c r="AG152" s="164">
        <f>IF(BetTable[Outcome2]="Win",BetTable[WBA2-Commission],IF(BetTable[Outcome2]="Win Half Stake",(BetTable[S2]/2)+BetTable[WBA2-Commission]/2,IF(BetTable[Outcome2]="Lose Half Stake",BetTable[S2]/2,IF(BetTable[Outcome2]="Lose",0,IF(BetTable[Outcome2]="Void",BetTable[S2],)))))</f>
        <v>0</v>
      </c>
      <c r="AH152" s="164">
        <f>IF(BetTable[Outcome3]="Win",BetTable[WBA3-Commission],IF(BetTable[Outcome3]="Win Half Stake",(BetTable[S3]/2)+BetTable[WBA3-Commission]/2,IF(BetTable[Outcome3]="Lose Half Stake",BetTable[S3]/2,IF(BetTable[Outcome3]="Lose",0,IF(BetTable[Outcome3]="Void",BetTable[S3],)))))</f>
        <v>0</v>
      </c>
      <c r="AI152" s="168">
        <f>IF(BetTable[Outcome]="",AI151,BetTable[Result]+AI151)</f>
        <v>309.82625000000013</v>
      </c>
      <c r="AJ152" s="160"/>
    </row>
    <row r="153" spans="1:36" x14ac:dyDescent="0.2">
      <c r="A153" s="159" t="s">
        <v>562</v>
      </c>
      <c r="B153" s="160" t="s">
        <v>200</v>
      </c>
      <c r="C153" s="161" t="s">
        <v>91</v>
      </c>
      <c r="D153" s="161"/>
      <c r="E153" s="161"/>
      <c r="F153" s="162"/>
      <c r="G153" s="162"/>
      <c r="H153" s="162"/>
      <c r="I153" s="160" t="s">
        <v>724</v>
      </c>
      <c r="J153" s="163">
        <v>1.9</v>
      </c>
      <c r="K153" s="163"/>
      <c r="L153" s="163"/>
      <c r="M153" s="164">
        <v>31</v>
      </c>
      <c r="N153" s="164"/>
      <c r="O153" s="164"/>
      <c r="P153" s="159" t="s">
        <v>348</v>
      </c>
      <c r="Q153" s="159" t="s">
        <v>703</v>
      </c>
      <c r="R153" s="159" t="s">
        <v>725</v>
      </c>
      <c r="S153" s="165">
        <v>2.3232323232323202E-2</v>
      </c>
      <c r="T153" s="166" t="s">
        <v>382</v>
      </c>
      <c r="U153" s="166"/>
      <c r="V153" s="166"/>
      <c r="W153" s="167">
        <f>IF(BetTable[Sport]="","",BetTable[Stake]+BetTable[S2]+BetTable[S3])</f>
        <v>31</v>
      </c>
      <c r="X153" s="164">
        <f>IF(BetTable[Odds]="","",(BetTable[WBA1-Commission])-BetTable[TS])</f>
        <v>27.9</v>
      </c>
      <c r="Y153" s="168">
        <f>IF(BetTable[Outcome]="","",BetTable[WBA1]+BetTable[WBA2]+BetTable[WBA3]-BetTable[TS])</f>
        <v>-31</v>
      </c>
      <c r="Z153" s="164">
        <f>(((BetTable[Odds]-1)*BetTable[Stake])*(1-(BetTable[Comm %]))+BetTable[Stake])</f>
        <v>58.9</v>
      </c>
      <c r="AA153" s="164">
        <f>(((BetTable[O2]-1)*BetTable[S2])*(1-(BetTable[C% 2]))+BetTable[S2])</f>
        <v>0</v>
      </c>
      <c r="AB153" s="164">
        <f>(((BetTable[O3]-1)*BetTable[S3])*(1-(BetTable[C% 3]))+BetTable[S3])</f>
        <v>0</v>
      </c>
      <c r="AC153" s="165">
        <f>IFERROR(IF(BetTable[Sport]="","",BetTable[R1]/BetTable[TS]),"")</f>
        <v>0.89999999999999991</v>
      </c>
      <c r="AD153" s="165" t="str">
        <f>IF(BetTable[O2]="","",#REF!/BetTable[TS])</f>
        <v/>
      </c>
      <c r="AE153" s="165" t="str">
        <f>IFERROR(IF(BetTable[Sport]="","",#REF!/BetTable[TS]),"")</f>
        <v/>
      </c>
      <c r="AF153" s="164">
        <f>IF(BetTable[Outcome]="Win",BetTable[WBA1-Commission],IF(BetTable[Outcome]="Win Half Stake",(BetTable[Stake]/2)+BetTable[WBA1-Commission]/2,IF(BetTable[Outcome]="Lose Half Stake",BetTable[Stake]/2,IF(BetTable[Outcome]="Lose",0,IF(BetTable[Outcome]="Void",BetTable[Stake],)))))</f>
        <v>0</v>
      </c>
      <c r="AG153" s="164">
        <f>IF(BetTable[Outcome2]="Win",BetTable[WBA2-Commission],IF(BetTable[Outcome2]="Win Half Stake",(BetTable[S2]/2)+BetTable[WBA2-Commission]/2,IF(BetTable[Outcome2]="Lose Half Stake",BetTable[S2]/2,IF(BetTable[Outcome2]="Lose",0,IF(BetTable[Outcome2]="Void",BetTable[S2],)))))</f>
        <v>0</v>
      </c>
      <c r="AH153" s="164">
        <f>IF(BetTable[Outcome3]="Win",BetTable[WBA3-Commission],IF(BetTable[Outcome3]="Win Half Stake",(BetTable[S3]/2)+BetTable[WBA3-Commission]/2,IF(BetTable[Outcome3]="Lose Half Stake",BetTable[S3]/2,IF(BetTable[Outcome3]="Lose",0,IF(BetTable[Outcome3]="Void",BetTable[S3],)))))</f>
        <v>0</v>
      </c>
      <c r="AI153" s="168">
        <f>IF(BetTable[Outcome]="",AI152,BetTable[Result]+AI152)</f>
        <v>278.82625000000013</v>
      </c>
      <c r="AJ153" s="160"/>
    </row>
    <row r="154" spans="1:36" x14ac:dyDescent="0.2">
      <c r="A154" s="159" t="s">
        <v>562</v>
      </c>
      <c r="B154" s="160" t="s">
        <v>200</v>
      </c>
      <c r="C154" s="161" t="s">
        <v>91</v>
      </c>
      <c r="D154" s="161"/>
      <c r="E154" s="161"/>
      <c r="F154" s="162"/>
      <c r="G154" s="162"/>
      <c r="H154" s="162"/>
      <c r="I154" s="160" t="s">
        <v>726</v>
      </c>
      <c r="J154" s="163">
        <v>3.05</v>
      </c>
      <c r="K154" s="163"/>
      <c r="L154" s="163"/>
      <c r="M154" s="164">
        <v>9</v>
      </c>
      <c r="N154" s="164"/>
      <c r="O154" s="164"/>
      <c r="P154" s="159" t="s">
        <v>494</v>
      </c>
      <c r="Q154" s="159" t="s">
        <v>540</v>
      </c>
      <c r="R154" s="159" t="s">
        <v>727</v>
      </c>
      <c r="S154" s="165">
        <v>1.50297481362085E-2</v>
      </c>
      <c r="T154" s="166" t="s">
        <v>382</v>
      </c>
      <c r="U154" s="166"/>
      <c r="V154" s="166"/>
      <c r="W154" s="167">
        <f>IF(BetTable[Sport]="","",BetTable[Stake]+BetTable[S2]+BetTable[S3])</f>
        <v>9</v>
      </c>
      <c r="X154" s="164">
        <f>IF(BetTable[Odds]="","",(BetTable[WBA1-Commission])-BetTable[TS])</f>
        <v>18.45</v>
      </c>
      <c r="Y154" s="168">
        <f>IF(BetTable[Outcome]="","",BetTable[WBA1]+BetTable[WBA2]+BetTable[WBA3]-BetTable[TS])</f>
        <v>-9</v>
      </c>
      <c r="Z154" s="164">
        <f>(((BetTable[Odds]-1)*BetTable[Stake])*(1-(BetTable[Comm %]))+BetTable[Stake])</f>
        <v>27.45</v>
      </c>
      <c r="AA154" s="164">
        <f>(((BetTable[O2]-1)*BetTable[S2])*(1-(BetTable[C% 2]))+BetTable[S2])</f>
        <v>0</v>
      </c>
      <c r="AB154" s="164">
        <f>(((BetTable[O3]-1)*BetTable[S3])*(1-(BetTable[C% 3]))+BetTable[S3])</f>
        <v>0</v>
      </c>
      <c r="AC154" s="165">
        <f>IFERROR(IF(BetTable[Sport]="","",BetTable[R1]/BetTable[TS]),"")</f>
        <v>2.0499999999999998</v>
      </c>
      <c r="AD154" s="165" t="str">
        <f>IF(BetTable[O2]="","",#REF!/BetTable[TS])</f>
        <v/>
      </c>
      <c r="AE154" s="165" t="str">
        <f>IFERROR(IF(BetTable[Sport]="","",#REF!/BetTable[TS]),"")</f>
        <v/>
      </c>
      <c r="AF154" s="164">
        <f>IF(BetTable[Outcome]="Win",BetTable[WBA1-Commission],IF(BetTable[Outcome]="Win Half Stake",(BetTable[Stake]/2)+BetTable[WBA1-Commission]/2,IF(BetTable[Outcome]="Lose Half Stake",BetTable[Stake]/2,IF(BetTable[Outcome]="Lose",0,IF(BetTable[Outcome]="Void",BetTable[Stake],)))))</f>
        <v>0</v>
      </c>
      <c r="AG154" s="164">
        <f>IF(BetTable[Outcome2]="Win",BetTable[WBA2-Commission],IF(BetTable[Outcome2]="Win Half Stake",(BetTable[S2]/2)+BetTable[WBA2-Commission]/2,IF(BetTable[Outcome2]="Lose Half Stake",BetTable[S2]/2,IF(BetTable[Outcome2]="Lose",0,IF(BetTable[Outcome2]="Void",BetTable[S2],)))))</f>
        <v>0</v>
      </c>
      <c r="AH154" s="164">
        <f>IF(BetTable[Outcome3]="Win",BetTable[WBA3-Commission],IF(BetTable[Outcome3]="Win Half Stake",(BetTable[S3]/2)+BetTable[WBA3-Commission]/2,IF(BetTable[Outcome3]="Lose Half Stake",BetTable[S3]/2,IF(BetTable[Outcome3]="Lose",0,IF(BetTable[Outcome3]="Void",BetTable[S3],)))))</f>
        <v>0</v>
      </c>
      <c r="AI154" s="168">
        <f>IF(BetTable[Outcome]="",AI153,BetTable[Result]+AI153)</f>
        <v>269.82625000000013</v>
      </c>
      <c r="AJ154" s="160"/>
    </row>
    <row r="155" spans="1:36" x14ac:dyDescent="0.2">
      <c r="A155" s="159" t="s">
        <v>562</v>
      </c>
      <c r="B155" s="160" t="s">
        <v>200</v>
      </c>
      <c r="C155" s="161" t="s">
        <v>91</v>
      </c>
      <c r="D155" s="161"/>
      <c r="E155" s="161"/>
      <c r="F155" s="162"/>
      <c r="G155" s="162"/>
      <c r="H155" s="162"/>
      <c r="I155" s="160" t="s">
        <v>728</v>
      </c>
      <c r="J155" s="163">
        <v>1.72</v>
      </c>
      <c r="K155" s="163"/>
      <c r="L155" s="163"/>
      <c r="M155" s="164">
        <v>23</v>
      </c>
      <c r="N155" s="164"/>
      <c r="O155" s="164"/>
      <c r="P155" s="159" t="s">
        <v>360</v>
      </c>
      <c r="Q155" s="159" t="s">
        <v>333</v>
      </c>
      <c r="R155" s="159" t="s">
        <v>729</v>
      </c>
      <c r="S155" s="165">
        <v>1.40408894715896E-2</v>
      </c>
      <c r="T155" s="166" t="s">
        <v>372</v>
      </c>
      <c r="U155" s="166"/>
      <c r="V155" s="166"/>
      <c r="W155" s="167">
        <f>IF(BetTable[Sport]="","",BetTable[Stake]+BetTable[S2]+BetTable[S3])</f>
        <v>23</v>
      </c>
      <c r="X155" s="164">
        <f>IF(BetTable[Odds]="","",(BetTable[WBA1-Commission])-BetTable[TS])</f>
        <v>16.560000000000002</v>
      </c>
      <c r="Y155" s="168">
        <f>IF(BetTable[Outcome]="","",BetTable[WBA1]+BetTable[WBA2]+BetTable[WBA3]-BetTable[TS])</f>
        <v>16.560000000000002</v>
      </c>
      <c r="Z155" s="164">
        <f>(((BetTable[Odds]-1)*BetTable[Stake])*(1-(BetTable[Comm %]))+BetTable[Stake])</f>
        <v>39.56</v>
      </c>
      <c r="AA155" s="164">
        <f>(((BetTable[O2]-1)*BetTable[S2])*(1-(BetTable[C% 2]))+BetTable[S2])</f>
        <v>0</v>
      </c>
      <c r="AB155" s="164">
        <f>(((BetTable[O3]-1)*BetTable[S3])*(1-(BetTable[C% 3]))+BetTable[S3])</f>
        <v>0</v>
      </c>
      <c r="AC155" s="165">
        <f>IFERROR(IF(BetTable[Sport]="","",BetTable[R1]/BetTable[TS]),"")</f>
        <v>0.72000000000000008</v>
      </c>
      <c r="AD155" s="165" t="str">
        <f>IF(BetTable[O2]="","",#REF!/BetTable[TS])</f>
        <v/>
      </c>
      <c r="AE155" s="165" t="str">
        <f>IFERROR(IF(BetTable[Sport]="","",#REF!/BetTable[TS]),"")</f>
        <v/>
      </c>
      <c r="AF155" s="164">
        <f>IF(BetTable[Outcome]="Win",BetTable[WBA1-Commission],IF(BetTable[Outcome]="Win Half Stake",(BetTable[Stake]/2)+BetTable[WBA1-Commission]/2,IF(BetTable[Outcome]="Lose Half Stake",BetTable[Stake]/2,IF(BetTable[Outcome]="Lose",0,IF(BetTable[Outcome]="Void",BetTable[Stake],)))))</f>
        <v>39.56</v>
      </c>
      <c r="AG155" s="164">
        <f>IF(BetTable[Outcome2]="Win",BetTable[WBA2-Commission],IF(BetTable[Outcome2]="Win Half Stake",(BetTable[S2]/2)+BetTable[WBA2-Commission]/2,IF(BetTable[Outcome2]="Lose Half Stake",BetTable[S2]/2,IF(BetTable[Outcome2]="Lose",0,IF(BetTable[Outcome2]="Void",BetTable[S2],)))))</f>
        <v>0</v>
      </c>
      <c r="AH155" s="164">
        <f>IF(BetTable[Outcome3]="Win",BetTable[WBA3-Commission],IF(BetTable[Outcome3]="Win Half Stake",(BetTable[S3]/2)+BetTable[WBA3-Commission]/2,IF(BetTable[Outcome3]="Lose Half Stake",BetTable[S3]/2,IF(BetTable[Outcome3]="Lose",0,IF(BetTable[Outcome3]="Void",BetTable[S3],)))))</f>
        <v>0</v>
      </c>
      <c r="AI155" s="168">
        <f>IF(BetTable[Outcome]="",AI154,BetTable[Result]+AI154)</f>
        <v>286.38625000000013</v>
      </c>
      <c r="AJ155" s="160"/>
    </row>
    <row r="156" spans="1:36" x14ac:dyDescent="0.2">
      <c r="A156" s="159" t="s">
        <v>562</v>
      </c>
      <c r="B156" s="160" t="s">
        <v>200</v>
      </c>
      <c r="C156" s="161" t="s">
        <v>91</v>
      </c>
      <c r="D156" s="161"/>
      <c r="E156" s="161"/>
      <c r="F156" s="162"/>
      <c r="G156" s="162"/>
      <c r="H156" s="162"/>
      <c r="I156" s="160" t="s">
        <v>730</v>
      </c>
      <c r="J156" s="163">
        <v>2.13</v>
      </c>
      <c r="K156" s="163"/>
      <c r="L156" s="163"/>
      <c r="M156" s="164">
        <v>20</v>
      </c>
      <c r="N156" s="164"/>
      <c r="O156" s="164"/>
      <c r="P156" s="159" t="s">
        <v>348</v>
      </c>
      <c r="Q156" s="159" t="s">
        <v>458</v>
      </c>
      <c r="R156" s="159" t="s">
        <v>731</v>
      </c>
      <c r="S156" s="165">
        <v>1.8802585391829701E-2</v>
      </c>
      <c r="T156" s="166" t="s">
        <v>372</v>
      </c>
      <c r="U156" s="166"/>
      <c r="V156" s="166"/>
      <c r="W156" s="167">
        <f>IF(BetTable[Sport]="","",BetTable[Stake]+BetTable[S2]+BetTable[S3])</f>
        <v>20</v>
      </c>
      <c r="X156" s="164">
        <f>IF(BetTable[Odds]="","",(BetTable[WBA1-Commission])-BetTable[TS])</f>
        <v>22.599999999999994</v>
      </c>
      <c r="Y156" s="168">
        <f>IF(BetTable[Outcome]="","",BetTable[WBA1]+BetTable[WBA2]+BetTable[WBA3]-BetTable[TS])</f>
        <v>22.599999999999994</v>
      </c>
      <c r="Z156" s="164">
        <f>(((BetTable[Odds]-1)*BetTable[Stake])*(1-(BetTable[Comm %]))+BetTable[Stake])</f>
        <v>42.599999999999994</v>
      </c>
      <c r="AA156" s="164">
        <f>(((BetTable[O2]-1)*BetTable[S2])*(1-(BetTable[C% 2]))+BetTable[S2])</f>
        <v>0</v>
      </c>
      <c r="AB156" s="164">
        <f>(((BetTable[O3]-1)*BetTable[S3])*(1-(BetTable[C% 3]))+BetTable[S3])</f>
        <v>0</v>
      </c>
      <c r="AC156" s="165">
        <f>IFERROR(IF(BetTable[Sport]="","",BetTable[R1]/BetTable[TS]),"")</f>
        <v>1.1299999999999997</v>
      </c>
      <c r="AD156" s="165" t="str">
        <f>IF(BetTable[O2]="","",#REF!/BetTable[TS])</f>
        <v/>
      </c>
      <c r="AE156" s="165" t="str">
        <f>IFERROR(IF(BetTable[Sport]="","",#REF!/BetTable[TS]),"")</f>
        <v/>
      </c>
      <c r="AF156" s="164">
        <f>IF(BetTable[Outcome]="Win",BetTable[WBA1-Commission],IF(BetTable[Outcome]="Win Half Stake",(BetTable[Stake]/2)+BetTable[WBA1-Commission]/2,IF(BetTable[Outcome]="Lose Half Stake",BetTable[Stake]/2,IF(BetTable[Outcome]="Lose",0,IF(BetTable[Outcome]="Void",BetTable[Stake],)))))</f>
        <v>42.599999999999994</v>
      </c>
      <c r="AG156" s="164">
        <f>IF(BetTable[Outcome2]="Win",BetTable[WBA2-Commission],IF(BetTable[Outcome2]="Win Half Stake",(BetTable[S2]/2)+BetTable[WBA2-Commission]/2,IF(BetTable[Outcome2]="Lose Half Stake",BetTable[S2]/2,IF(BetTable[Outcome2]="Lose",0,IF(BetTable[Outcome2]="Void",BetTable[S2],)))))</f>
        <v>0</v>
      </c>
      <c r="AH156" s="164">
        <f>IF(BetTable[Outcome3]="Win",BetTable[WBA3-Commission],IF(BetTable[Outcome3]="Win Half Stake",(BetTable[S3]/2)+BetTable[WBA3-Commission]/2,IF(BetTable[Outcome3]="Lose Half Stake",BetTable[S3]/2,IF(BetTable[Outcome3]="Lose",0,IF(BetTable[Outcome3]="Void",BetTable[S3],)))))</f>
        <v>0</v>
      </c>
      <c r="AI156" s="168">
        <f>IF(BetTable[Outcome]="",AI155,BetTable[Result]+AI155)</f>
        <v>308.98625000000015</v>
      </c>
      <c r="AJ156" s="160"/>
    </row>
    <row r="157" spans="1:36" x14ac:dyDescent="0.2">
      <c r="A157" s="159" t="s">
        <v>562</v>
      </c>
      <c r="B157" s="160" t="s">
        <v>200</v>
      </c>
      <c r="C157" s="161" t="s">
        <v>91</v>
      </c>
      <c r="D157" s="161"/>
      <c r="E157" s="161"/>
      <c r="F157" s="162"/>
      <c r="G157" s="162"/>
      <c r="H157" s="162"/>
      <c r="I157" s="160" t="s">
        <v>732</v>
      </c>
      <c r="J157" s="163">
        <v>1.8</v>
      </c>
      <c r="K157" s="163"/>
      <c r="L157" s="163"/>
      <c r="M157" s="164">
        <v>32</v>
      </c>
      <c r="N157" s="164"/>
      <c r="O157" s="164"/>
      <c r="P157" s="159" t="s">
        <v>733</v>
      </c>
      <c r="Q157" s="159" t="s">
        <v>734</v>
      </c>
      <c r="R157" s="159" t="s">
        <v>735</v>
      </c>
      <c r="S157" s="165">
        <v>2.1302782458444199E-2</v>
      </c>
      <c r="T157" s="166" t="s">
        <v>549</v>
      </c>
      <c r="U157" s="166"/>
      <c r="V157" s="166"/>
      <c r="W157" s="167">
        <f>IF(BetTable[Sport]="","",BetTable[Stake]+BetTable[S2]+BetTable[S3])</f>
        <v>32</v>
      </c>
      <c r="X157" s="164">
        <f>IF(BetTable[Odds]="","",(BetTable[WBA1-Commission])-BetTable[TS])</f>
        <v>25.6</v>
      </c>
      <c r="Y157" s="168">
        <f>IF(BetTable[Outcome]="","",BetTable[WBA1]+BetTable[WBA2]+BetTable[WBA3]-BetTable[TS])</f>
        <v>-16</v>
      </c>
      <c r="Z157" s="164">
        <f>(((BetTable[Odds]-1)*BetTable[Stake])*(1-(BetTable[Comm %]))+BetTable[Stake])</f>
        <v>57.6</v>
      </c>
      <c r="AA157" s="164">
        <f>(((BetTable[O2]-1)*BetTable[S2])*(1-(BetTable[C% 2]))+BetTable[S2])</f>
        <v>0</v>
      </c>
      <c r="AB157" s="164">
        <f>(((BetTable[O3]-1)*BetTable[S3])*(1-(BetTable[C% 3]))+BetTable[S3])</f>
        <v>0</v>
      </c>
      <c r="AC157" s="165">
        <f>IFERROR(IF(BetTable[Sport]="","",BetTable[R1]/BetTable[TS]),"")</f>
        <v>0.8</v>
      </c>
      <c r="AD157" s="165" t="str">
        <f>IF(BetTable[O2]="","",#REF!/BetTable[TS])</f>
        <v/>
      </c>
      <c r="AE157" s="165" t="str">
        <f>IFERROR(IF(BetTable[Sport]="","",#REF!/BetTable[TS]),"")</f>
        <v/>
      </c>
      <c r="AF157" s="164">
        <f>IF(BetTable[Outcome]="Win",BetTable[WBA1-Commission],IF(BetTable[Outcome]="Win Half Stake",(BetTable[Stake]/2)+BetTable[WBA1-Commission]/2,IF(BetTable[Outcome]="Lose Half Stake",BetTable[Stake]/2,IF(BetTable[Outcome]="Lose",0,IF(BetTable[Outcome]="Void",BetTable[Stake],)))))</f>
        <v>16</v>
      </c>
      <c r="AG157" s="164">
        <f>IF(BetTable[Outcome2]="Win",BetTable[WBA2-Commission],IF(BetTable[Outcome2]="Win Half Stake",(BetTable[S2]/2)+BetTable[WBA2-Commission]/2,IF(BetTable[Outcome2]="Lose Half Stake",BetTable[S2]/2,IF(BetTable[Outcome2]="Lose",0,IF(BetTable[Outcome2]="Void",BetTable[S2],)))))</f>
        <v>0</v>
      </c>
      <c r="AH157" s="164">
        <f>IF(BetTable[Outcome3]="Win",BetTable[WBA3-Commission],IF(BetTable[Outcome3]="Win Half Stake",(BetTable[S3]/2)+BetTable[WBA3-Commission]/2,IF(BetTable[Outcome3]="Lose Half Stake",BetTable[S3]/2,IF(BetTable[Outcome3]="Lose",0,IF(BetTable[Outcome3]="Void",BetTable[S3],)))))</f>
        <v>0</v>
      </c>
      <c r="AI157" s="168">
        <f>IF(BetTable[Outcome]="",AI156,BetTable[Result]+AI156)</f>
        <v>292.98625000000015</v>
      </c>
      <c r="AJ157" s="160"/>
    </row>
    <row r="158" spans="1:36" x14ac:dyDescent="0.2">
      <c r="A158" s="159" t="s">
        <v>562</v>
      </c>
      <c r="B158" s="160" t="s">
        <v>200</v>
      </c>
      <c r="C158" s="161" t="s">
        <v>185</v>
      </c>
      <c r="D158" s="161"/>
      <c r="E158" s="161"/>
      <c r="F158" s="162"/>
      <c r="G158" s="162"/>
      <c r="H158" s="162"/>
      <c r="I158" s="160" t="s">
        <v>522</v>
      </c>
      <c r="J158" s="163">
        <v>3.5</v>
      </c>
      <c r="K158" s="163"/>
      <c r="L158" s="163"/>
      <c r="M158" s="164">
        <v>7</v>
      </c>
      <c r="N158" s="164"/>
      <c r="O158" s="164"/>
      <c r="P158" s="159" t="s">
        <v>494</v>
      </c>
      <c r="Q158" s="159" t="s">
        <v>474</v>
      </c>
      <c r="R158" s="159" t="s">
        <v>736</v>
      </c>
      <c r="S158" s="165">
        <v>1.46231816526926E-2</v>
      </c>
      <c r="T158" s="166" t="s">
        <v>372</v>
      </c>
      <c r="U158" s="166"/>
      <c r="V158" s="166"/>
      <c r="W158" s="167">
        <f>IF(BetTable[Sport]="","",BetTable[Stake]+BetTable[S2]+BetTable[S3])</f>
        <v>7</v>
      </c>
      <c r="X158" s="164">
        <f>IF(BetTable[Odds]="","",(BetTable[WBA1-Commission])-BetTable[TS])</f>
        <v>17.5</v>
      </c>
      <c r="Y158" s="168">
        <f>IF(BetTable[Outcome]="","",BetTable[WBA1]+BetTable[WBA2]+BetTable[WBA3]-BetTable[TS])</f>
        <v>17.5</v>
      </c>
      <c r="Z158" s="164">
        <f>(((BetTable[Odds]-1)*BetTable[Stake])*(1-(BetTable[Comm %]))+BetTable[Stake])</f>
        <v>24.5</v>
      </c>
      <c r="AA158" s="164">
        <f>(((BetTable[O2]-1)*BetTable[S2])*(1-(BetTable[C% 2]))+BetTable[S2])</f>
        <v>0</v>
      </c>
      <c r="AB158" s="164">
        <f>(((BetTable[O3]-1)*BetTable[S3])*(1-(BetTable[C% 3]))+BetTable[S3])</f>
        <v>0</v>
      </c>
      <c r="AC158" s="165">
        <f>IFERROR(IF(BetTable[Sport]="","",BetTable[R1]/BetTable[TS]),"")</f>
        <v>2.5</v>
      </c>
      <c r="AD158" s="165" t="str">
        <f>IF(BetTable[O2]="","",#REF!/BetTable[TS])</f>
        <v/>
      </c>
      <c r="AE158" s="165" t="str">
        <f>IFERROR(IF(BetTable[Sport]="","",#REF!/BetTable[TS]),"")</f>
        <v/>
      </c>
      <c r="AF158" s="164">
        <f>IF(BetTable[Outcome]="Win",BetTable[WBA1-Commission],IF(BetTable[Outcome]="Win Half Stake",(BetTable[Stake]/2)+BetTable[WBA1-Commission]/2,IF(BetTable[Outcome]="Lose Half Stake",BetTable[Stake]/2,IF(BetTable[Outcome]="Lose",0,IF(BetTable[Outcome]="Void",BetTable[Stake],)))))</f>
        <v>24.5</v>
      </c>
      <c r="AG158" s="164">
        <f>IF(BetTable[Outcome2]="Win",BetTable[WBA2-Commission],IF(BetTable[Outcome2]="Win Half Stake",(BetTable[S2]/2)+BetTable[WBA2-Commission]/2,IF(BetTable[Outcome2]="Lose Half Stake",BetTable[S2]/2,IF(BetTable[Outcome2]="Lose",0,IF(BetTable[Outcome2]="Void",BetTable[S2],)))))</f>
        <v>0</v>
      </c>
      <c r="AH158" s="164">
        <f>IF(BetTable[Outcome3]="Win",BetTable[WBA3-Commission],IF(BetTable[Outcome3]="Win Half Stake",(BetTable[S3]/2)+BetTable[WBA3-Commission]/2,IF(BetTable[Outcome3]="Lose Half Stake",BetTable[S3]/2,IF(BetTable[Outcome3]="Lose",0,IF(BetTable[Outcome3]="Void",BetTable[S3],)))))</f>
        <v>0</v>
      </c>
      <c r="AI158" s="168">
        <f>IF(BetTable[Outcome]="",AI157,BetTable[Result]+AI157)</f>
        <v>310.48625000000015</v>
      </c>
      <c r="AJ158" s="160"/>
    </row>
    <row r="159" spans="1:36" x14ac:dyDescent="0.2">
      <c r="A159" s="159" t="s">
        <v>562</v>
      </c>
      <c r="B159" s="160" t="s">
        <v>200</v>
      </c>
      <c r="C159" s="161" t="s">
        <v>234</v>
      </c>
      <c r="D159" s="161"/>
      <c r="E159" s="161"/>
      <c r="F159" s="162"/>
      <c r="G159" s="162"/>
      <c r="H159" s="162"/>
      <c r="I159" s="160" t="s">
        <v>737</v>
      </c>
      <c r="J159" s="163">
        <v>2.0299999999999998</v>
      </c>
      <c r="K159" s="163"/>
      <c r="L159" s="163"/>
      <c r="M159" s="164">
        <v>20</v>
      </c>
      <c r="N159" s="164"/>
      <c r="O159" s="164"/>
      <c r="P159" s="159" t="s">
        <v>406</v>
      </c>
      <c r="Q159" s="159" t="s">
        <v>581</v>
      </c>
      <c r="R159" s="159" t="s">
        <v>738</v>
      </c>
      <c r="S159" s="165">
        <v>1.7336280325929598E-2</v>
      </c>
      <c r="T159" s="166" t="s">
        <v>372</v>
      </c>
      <c r="U159" s="166"/>
      <c r="V159" s="166"/>
      <c r="W159" s="167">
        <f>IF(BetTable[Sport]="","",BetTable[Stake]+BetTable[S2]+BetTable[S3])</f>
        <v>20</v>
      </c>
      <c r="X159" s="164">
        <f>IF(BetTable[Odds]="","",(BetTable[WBA1-Commission])-BetTable[TS])</f>
        <v>20.599999999999994</v>
      </c>
      <c r="Y159" s="168">
        <f>IF(BetTable[Outcome]="","",BetTable[WBA1]+BetTable[WBA2]+BetTable[WBA3]-BetTable[TS])</f>
        <v>20.599999999999994</v>
      </c>
      <c r="Z159" s="164">
        <f>(((BetTable[Odds]-1)*BetTable[Stake])*(1-(BetTable[Comm %]))+BetTable[Stake])</f>
        <v>40.599999999999994</v>
      </c>
      <c r="AA159" s="164">
        <f>(((BetTable[O2]-1)*BetTable[S2])*(1-(BetTable[C% 2]))+BetTable[S2])</f>
        <v>0</v>
      </c>
      <c r="AB159" s="164">
        <f>(((BetTable[O3]-1)*BetTable[S3])*(1-(BetTable[C% 3]))+BetTable[S3])</f>
        <v>0</v>
      </c>
      <c r="AC159" s="165">
        <f>IFERROR(IF(BetTable[Sport]="","",BetTable[R1]/BetTable[TS]),"")</f>
        <v>1.0299999999999998</v>
      </c>
      <c r="AD159" s="165" t="str">
        <f>IF(BetTable[O2]="","",#REF!/BetTable[TS])</f>
        <v/>
      </c>
      <c r="AE159" s="165" t="str">
        <f>IFERROR(IF(BetTable[Sport]="","",#REF!/BetTable[TS]),"")</f>
        <v/>
      </c>
      <c r="AF159" s="164">
        <f>IF(BetTable[Outcome]="Win",BetTable[WBA1-Commission],IF(BetTable[Outcome]="Win Half Stake",(BetTable[Stake]/2)+BetTable[WBA1-Commission]/2,IF(BetTable[Outcome]="Lose Half Stake",BetTable[Stake]/2,IF(BetTable[Outcome]="Lose",0,IF(BetTable[Outcome]="Void",BetTable[Stake],)))))</f>
        <v>40.599999999999994</v>
      </c>
      <c r="AG159" s="164">
        <f>IF(BetTable[Outcome2]="Win",BetTable[WBA2-Commission],IF(BetTable[Outcome2]="Win Half Stake",(BetTable[S2]/2)+BetTable[WBA2-Commission]/2,IF(BetTable[Outcome2]="Lose Half Stake",BetTable[S2]/2,IF(BetTable[Outcome2]="Lose",0,IF(BetTable[Outcome2]="Void",BetTable[S2],)))))</f>
        <v>0</v>
      </c>
      <c r="AH159" s="164">
        <f>IF(BetTable[Outcome3]="Win",BetTable[WBA3-Commission],IF(BetTable[Outcome3]="Win Half Stake",(BetTable[S3]/2)+BetTable[WBA3-Commission]/2,IF(BetTable[Outcome3]="Lose Half Stake",BetTable[S3]/2,IF(BetTable[Outcome3]="Lose",0,IF(BetTable[Outcome3]="Void",BetTable[S3],)))))</f>
        <v>0</v>
      </c>
      <c r="AI159" s="168">
        <f>IF(BetTable[Outcome]="",AI158,BetTable[Result]+AI158)</f>
        <v>331.08625000000018</v>
      </c>
      <c r="AJ159" s="160"/>
    </row>
    <row r="160" spans="1:36" x14ac:dyDescent="0.2">
      <c r="A160" s="159" t="s">
        <v>562</v>
      </c>
      <c r="B160" s="160" t="s">
        <v>200</v>
      </c>
      <c r="C160" s="161" t="s">
        <v>234</v>
      </c>
      <c r="D160" s="161"/>
      <c r="E160" s="161"/>
      <c r="F160" s="162"/>
      <c r="G160" s="162"/>
      <c r="H160" s="162"/>
      <c r="I160" s="160" t="s">
        <v>730</v>
      </c>
      <c r="J160" s="163">
        <v>1.85</v>
      </c>
      <c r="K160" s="163"/>
      <c r="L160" s="163"/>
      <c r="M160" s="164">
        <v>18</v>
      </c>
      <c r="N160" s="164"/>
      <c r="O160" s="164"/>
      <c r="P160" s="159" t="s">
        <v>351</v>
      </c>
      <c r="Q160" s="159" t="s">
        <v>458</v>
      </c>
      <c r="R160" s="159" t="s">
        <v>739</v>
      </c>
      <c r="S160" s="165">
        <v>1.2528010724805E-2</v>
      </c>
      <c r="T160" s="166" t="s">
        <v>372</v>
      </c>
      <c r="U160" s="166"/>
      <c r="V160" s="166"/>
      <c r="W160" s="167">
        <f>IF(BetTable[Sport]="","",BetTable[Stake]+BetTable[S2]+BetTable[S3])</f>
        <v>18</v>
      </c>
      <c r="X160" s="164">
        <f>IF(BetTable[Odds]="","",(BetTable[WBA1-Commission])-BetTable[TS])</f>
        <v>15.299999999999997</v>
      </c>
      <c r="Y160" s="168">
        <f>IF(BetTable[Outcome]="","",BetTable[WBA1]+BetTable[WBA2]+BetTable[WBA3]-BetTable[TS])</f>
        <v>15.299999999999997</v>
      </c>
      <c r="Z160" s="164">
        <f>(((BetTable[Odds]-1)*BetTable[Stake])*(1-(BetTable[Comm %]))+BetTable[Stake])</f>
        <v>33.299999999999997</v>
      </c>
      <c r="AA160" s="164">
        <f>(((BetTable[O2]-1)*BetTable[S2])*(1-(BetTable[C% 2]))+BetTable[S2])</f>
        <v>0</v>
      </c>
      <c r="AB160" s="164">
        <f>(((BetTable[O3]-1)*BetTable[S3])*(1-(BetTable[C% 3]))+BetTable[S3])</f>
        <v>0</v>
      </c>
      <c r="AC160" s="165">
        <f>IFERROR(IF(BetTable[Sport]="","",BetTable[R1]/BetTable[TS]),"")</f>
        <v>0.84999999999999987</v>
      </c>
      <c r="AD160" s="165" t="str">
        <f>IF(BetTable[O2]="","",#REF!/BetTable[TS])</f>
        <v/>
      </c>
      <c r="AE160" s="165" t="str">
        <f>IFERROR(IF(BetTable[Sport]="","",#REF!/BetTable[TS]),"")</f>
        <v/>
      </c>
      <c r="AF160" s="164">
        <f>IF(BetTable[Outcome]="Win",BetTable[WBA1-Commission],IF(BetTable[Outcome]="Win Half Stake",(BetTable[Stake]/2)+BetTable[WBA1-Commission]/2,IF(BetTable[Outcome]="Lose Half Stake",BetTable[Stake]/2,IF(BetTable[Outcome]="Lose",0,IF(BetTable[Outcome]="Void",BetTable[Stake],)))))</f>
        <v>33.299999999999997</v>
      </c>
      <c r="AG160" s="164">
        <f>IF(BetTable[Outcome2]="Win",BetTable[WBA2-Commission],IF(BetTable[Outcome2]="Win Half Stake",(BetTable[S2]/2)+BetTable[WBA2-Commission]/2,IF(BetTable[Outcome2]="Lose Half Stake",BetTable[S2]/2,IF(BetTable[Outcome2]="Lose",0,IF(BetTable[Outcome2]="Void",BetTable[S2],)))))</f>
        <v>0</v>
      </c>
      <c r="AH160" s="164">
        <f>IF(BetTable[Outcome3]="Win",BetTable[WBA3-Commission],IF(BetTable[Outcome3]="Win Half Stake",(BetTable[S3]/2)+BetTable[WBA3-Commission]/2,IF(BetTable[Outcome3]="Lose Half Stake",BetTable[S3]/2,IF(BetTable[Outcome3]="Lose",0,IF(BetTable[Outcome3]="Void",BetTable[S3],)))))</f>
        <v>0</v>
      </c>
      <c r="AI160" s="168">
        <f>IF(BetTable[Outcome]="",AI159,BetTable[Result]+AI159)</f>
        <v>346.38625000000019</v>
      </c>
      <c r="AJ160" s="160"/>
    </row>
    <row r="161" spans="1:36" x14ac:dyDescent="0.2">
      <c r="A161" s="159" t="s">
        <v>562</v>
      </c>
      <c r="B161" s="160" t="s">
        <v>7</v>
      </c>
      <c r="C161" s="161" t="s">
        <v>216</v>
      </c>
      <c r="D161" s="161"/>
      <c r="E161" s="161"/>
      <c r="F161" s="162"/>
      <c r="G161" s="162"/>
      <c r="H161" s="162"/>
      <c r="I161" s="160" t="s">
        <v>740</v>
      </c>
      <c r="J161" s="163">
        <v>2.5499999999999998</v>
      </c>
      <c r="K161" s="163"/>
      <c r="L161" s="163"/>
      <c r="M161" s="164">
        <v>20</v>
      </c>
      <c r="N161" s="164"/>
      <c r="O161" s="164"/>
      <c r="P161" s="159" t="s">
        <v>428</v>
      </c>
      <c r="Q161" s="159" t="s">
        <v>741</v>
      </c>
      <c r="R161" s="159" t="s">
        <v>742</v>
      </c>
      <c r="S161" s="165">
        <v>2.6481394953699701E-2</v>
      </c>
      <c r="T161" s="166" t="s">
        <v>382</v>
      </c>
      <c r="U161" s="166"/>
      <c r="V161" s="166"/>
      <c r="W161" s="167">
        <f>IF(BetTable[Sport]="","",BetTable[Stake]+BetTable[S2]+BetTable[S3])</f>
        <v>20</v>
      </c>
      <c r="X161" s="164">
        <f>IF(BetTable[Odds]="","",(BetTable[WBA1-Commission])-BetTable[TS])</f>
        <v>31</v>
      </c>
      <c r="Y161" s="168">
        <f>IF(BetTable[Outcome]="","",BetTable[WBA1]+BetTable[WBA2]+BetTable[WBA3]-BetTable[TS])</f>
        <v>-20</v>
      </c>
      <c r="Z161" s="164">
        <f>(((BetTable[Odds]-1)*BetTable[Stake])*(1-(BetTable[Comm %]))+BetTable[Stake])</f>
        <v>51</v>
      </c>
      <c r="AA161" s="164">
        <f>(((BetTable[O2]-1)*BetTable[S2])*(1-(BetTable[C% 2]))+BetTable[S2])</f>
        <v>0</v>
      </c>
      <c r="AB161" s="164">
        <f>(((BetTable[O3]-1)*BetTable[S3])*(1-(BetTable[C% 3]))+BetTable[S3])</f>
        <v>0</v>
      </c>
      <c r="AC161" s="165">
        <f>IFERROR(IF(BetTable[Sport]="","",BetTable[R1]/BetTable[TS]),"")</f>
        <v>1.55</v>
      </c>
      <c r="AD161" s="165" t="str">
        <f>IF(BetTable[O2]="","",#REF!/BetTable[TS])</f>
        <v/>
      </c>
      <c r="AE161" s="165" t="str">
        <f>IFERROR(IF(BetTable[Sport]="","",#REF!/BetTable[TS]),"")</f>
        <v/>
      </c>
      <c r="AF161" s="164">
        <f>IF(BetTable[Outcome]="Win",BetTable[WBA1-Commission],IF(BetTable[Outcome]="Win Half Stake",(BetTable[Stake]/2)+BetTable[WBA1-Commission]/2,IF(BetTable[Outcome]="Lose Half Stake",BetTable[Stake]/2,IF(BetTable[Outcome]="Lose",0,IF(BetTable[Outcome]="Void",BetTable[Stake],)))))</f>
        <v>0</v>
      </c>
      <c r="AG161" s="164">
        <f>IF(BetTable[Outcome2]="Win",BetTable[WBA2-Commission],IF(BetTable[Outcome2]="Win Half Stake",(BetTable[S2]/2)+BetTable[WBA2-Commission]/2,IF(BetTable[Outcome2]="Lose Half Stake",BetTable[S2]/2,IF(BetTable[Outcome2]="Lose",0,IF(BetTable[Outcome2]="Void",BetTable[S2],)))))</f>
        <v>0</v>
      </c>
      <c r="AH161" s="164">
        <f>IF(BetTable[Outcome3]="Win",BetTable[WBA3-Commission],IF(BetTable[Outcome3]="Win Half Stake",(BetTable[S3]/2)+BetTable[WBA3-Commission]/2,IF(BetTable[Outcome3]="Lose Half Stake",BetTable[S3]/2,IF(BetTable[Outcome3]="Lose",0,IF(BetTable[Outcome3]="Void",BetTable[S3],)))))</f>
        <v>0</v>
      </c>
      <c r="AI161" s="168">
        <f>IF(BetTable[Outcome]="",AI160,BetTable[Result]+AI160)</f>
        <v>326.38625000000019</v>
      </c>
      <c r="AJ161" s="160"/>
    </row>
    <row r="162" spans="1:36" x14ac:dyDescent="0.2">
      <c r="A162" s="159" t="s">
        <v>562</v>
      </c>
      <c r="B162" s="160" t="s">
        <v>200</v>
      </c>
      <c r="C162" s="161" t="s">
        <v>91</v>
      </c>
      <c r="D162" s="161"/>
      <c r="E162" s="161"/>
      <c r="F162" s="162"/>
      <c r="G162" s="162"/>
      <c r="H162" s="162"/>
      <c r="I162" s="160" t="s">
        <v>726</v>
      </c>
      <c r="J162" s="163">
        <v>2</v>
      </c>
      <c r="K162" s="163"/>
      <c r="L162" s="163"/>
      <c r="M162" s="164">
        <v>20</v>
      </c>
      <c r="N162" s="164"/>
      <c r="O162" s="164"/>
      <c r="P162" s="159" t="s">
        <v>406</v>
      </c>
      <c r="Q162" s="159" t="s">
        <v>540</v>
      </c>
      <c r="R162" s="159" t="s">
        <v>743</v>
      </c>
      <c r="S162" s="165">
        <v>1.6419635892238899E-2</v>
      </c>
      <c r="T162" s="166" t="s">
        <v>382</v>
      </c>
      <c r="U162" s="166"/>
      <c r="V162" s="166"/>
      <c r="W162" s="167">
        <f>IF(BetTable[Sport]="","",BetTable[Stake]+BetTable[S2]+BetTable[S3])</f>
        <v>20</v>
      </c>
      <c r="X162" s="164">
        <f>IF(BetTable[Odds]="","",(BetTable[WBA1-Commission])-BetTable[TS])</f>
        <v>20</v>
      </c>
      <c r="Y162" s="168">
        <f>IF(BetTable[Outcome]="","",BetTable[WBA1]+BetTable[WBA2]+BetTable[WBA3]-BetTable[TS])</f>
        <v>-20</v>
      </c>
      <c r="Z162" s="164">
        <f>(((BetTable[Odds]-1)*BetTable[Stake])*(1-(BetTable[Comm %]))+BetTable[Stake])</f>
        <v>40</v>
      </c>
      <c r="AA162" s="164">
        <f>(((BetTable[O2]-1)*BetTable[S2])*(1-(BetTable[C% 2]))+BetTable[S2])</f>
        <v>0</v>
      </c>
      <c r="AB162" s="164">
        <f>(((BetTable[O3]-1)*BetTable[S3])*(1-(BetTable[C% 3]))+BetTable[S3])</f>
        <v>0</v>
      </c>
      <c r="AC162" s="165">
        <f>IFERROR(IF(BetTable[Sport]="","",BetTable[R1]/BetTable[TS]),"")</f>
        <v>1</v>
      </c>
      <c r="AD162" s="165" t="str">
        <f>IF(BetTable[O2]="","",#REF!/BetTable[TS])</f>
        <v/>
      </c>
      <c r="AE162" s="165" t="str">
        <f>IFERROR(IF(BetTable[Sport]="","",#REF!/BetTable[TS]),"")</f>
        <v/>
      </c>
      <c r="AF162" s="164">
        <f>IF(BetTable[Outcome]="Win",BetTable[WBA1-Commission],IF(BetTable[Outcome]="Win Half Stake",(BetTable[Stake]/2)+BetTable[WBA1-Commission]/2,IF(BetTable[Outcome]="Lose Half Stake",BetTable[Stake]/2,IF(BetTable[Outcome]="Lose",0,IF(BetTable[Outcome]="Void",BetTable[Stake],)))))</f>
        <v>0</v>
      </c>
      <c r="AG162" s="164">
        <f>IF(BetTable[Outcome2]="Win",BetTable[WBA2-Commission],IF(BetTable[Outcome2]="Win Half Stake",(BetTable[S2]/2)+BetTable[WBA2-Commission]/2,IF(BetTable[Outcome2]="Lose Half Stake",BetTable[S2]/2,IF(BetTable[Outcome2]="Lose",0,IF(BetTable[Outcome2]="Void",BetTable[S2],)))))</f>
        <v>0</v>
      </c>
      <c r="AH162" s="164">
        <f>IF(BetTable[Outcome3]="Win",BetTable[WBA3-Commission],IF(BetTable[Outcome3]="Win Half Stake",(BetTable[S3]/2)+BetTable[WBA3-Commission]/2,IF(BetTable[Outcome3]="Lose Half Stake",BetTable[S3]/2,IF(BetTable[Outcome3]="Lose",0,IF(BetTable[Outcome3]="Void",BetTable[S3],)))))</f>
        <v>0</v>
      </c>
      <c r="AI162" s="168">
        <f>IF(BetTable[Outcome]="",AI161,BetTable[Result]+AI161)</f>
        <v>306.38625000000019</v>
      </c>
      <c r="AJ162" s="160"/>
    </row>
    <row r="163" spans="1:36" x14ac:dyDescent="0.2">
      <c r="A163" s="159" t="s">
        <v>562</v>
      </c>
      <c r="B163" s="160" t="s">
        <v>200</v>
      </c>
      <c r="C163" s="161" t="s">
        <v>234</v>
      </c>
      <c r="D163" s="161"/>
      <c r="E163" s="161"/>
      <c r="F163" s="162"/>
      <c r="G163" s="162"/>
      <c r="H163" s="162"/>
      <c r="I163" s="160" t="s">
        <v>744</v>
      </c>
      <c r="J163" s="163">
        <v>1.87</v>
      </c>
      <c r="K163" s="163"/>
      <c r="L163" s="163"/>
      <c r="M163" s="164">
        <v>23</v>
      </c>
      <c r="N163" s="164"/>
      <c r="O163" s="164"/>
      <c r="P163" s="159" t="s">
        <v>508</v>
      </c>
      <c r="Q163" s="159" t="s">
        <v>461</v>
      </c>
      <c r="R163" s="159" t="s">
        <v>745</v>
      </c>
      <c r="S163" s="165">
        <v>1.67843186164463E-2</v>
      </c>
      <c r="T163" s="166" t="s">
        <v>372</v>
      </c>
      <c r="U163" s="166"/>
      <c r="V163" s="166"/>
      <c r="W163" s="167">
        <f>IF(BetTable[Sport]="","",BetTable[Stake]+BetTable[S2]+BetTable[S3])</f>
        <v>23</v>
      </c>
      <c r="X163" s="164">
        <f>IF(BetTable[Odds]="","",(BetTable[WBA1-Commission])-BetTable[TS])</f>
        <v>20.010000000000005</v>
      </c>
      <c r="Y163" s="168">
        <f>IF(BetTable[Outcome]="","",BetTable[WBA1]+BetTable[WBA2]+BetTable[WBA3]-BetTable[TS])</f>
        <v>20.010000000000005</v>
      </c>
      <c r="Z163" s="164">
        <f>(((BetTable[Odds]-1)*BetTable[Stake])*(1-(BetTable[Comm %]))+BetTable[Stake])</f>
        <v>43.010000000000005</v>
      </c>
      <c r="AA163" s="164">
        <f>(((BetTable[O2]-1)*BetTable[S2])*(1-(BetTable[C% 2]))+BetTable[S2])</f>
        <v>0</v>
      </c>
      <c r="AB163" s="164">
        <f>(((BetTable[O3]-1)*BetTable[S3])*(1-(BetTable[C% 3]))+BetTable[S3])</f>
        <v>0</v>
      </c>
      <c r="AC163" s="165">
        <f>IFERROR(IF(BetTable[Sport]="","",BetTable[R1]/BetTable[TS]),"")</f>
        <v>0.87000000000000022</v>
      </c>
      <c r="AD163" s="165" t="str">
        <f>IF(BetTable[O2]="","",#REF!/BetTable[TS])</f>
        <v/>
      </c>
      <c r="AE163" s="165" t="str">
        <f>IFERROR(IF(BetTable[Sport]="","",#REF!/BetTable[TS]),"")</f>
        <v/>
      </c>
      <c r="AF163" s="164">
        <f>IF(BetTable[Outcome]="Win",BetTable[WBA1-Commission],IF(BetTable[Outcome]="Win Half Stake",(BetTable[Stake]/2)+BetTable[WBA1-Commission]/2,IF(BetTable[Outcome]="Lose Half Stake",BetTable[Stake]/2,IF(BetTable[Outcome]="Lose",0,IF(BetTable[Outcome]="Void",BetTable[Stake],)))))</f>
        <v>43.010000000000005</v>
      </c>
      <c r="AG163" s="164">
        <f>IF(BetTable[Outcome2]="Win",BetTable[WBA2-Commission],IF(BetTable[Outcome2]="Win Half Stake",(BetTable[S2]/2)+BetTable[WBA2-Commission]/2,IF(BetTable[Outcome2]="Lose Half Stake",BetTable[S2]/2,IF(BetTable[Outcome2]="Lose",0,IF(BetTable[Outcome2]="Void",BetTable[S2],)))))</f>
        <v>0</v>
      </c>
      <c r="AH163" s="164">
        <f>IF(BetTable[Outcome3]="Win",BetTable[WBA3-Commission],IF(BetTable[Outcome3]="Win Half Stake",(BetTable[S3]/2)+BetTable[WBA3-Commission]/2,IF(BetTable[Outcome3]="Lose Half Stake",BetTable[S3]/2,IF(BetTable[Outcome3]="Lose",0,IF(BetTable[Outcome3]="Void",BetTable[S3],)))))</f>
        <v>0</v>
      </c>
      <c r="AI163" s="168">
        <f>IF(BetTable[Outcome]="",AI162,BetTable[Result]+AI162)</f>
        <v>326.39625000000018</v>
      </c>
      <c r="AJ163" s="160"/>
    </row>
    <row r="164" spans="1:36" x14ac:dyDescent="0.2">
      <c r="A164" s="159" t="s">
        <v>562</v>
      </c>
      <c r="B164" s="160" t="s">
        <v>7</v>
      </c>
      <c r="C164" s="161" t="s">
        <v>91</v>
      </c>
      <c r="D164" s="161"/>
      <c r="E164" s="161"/>
      <c r="F164" s="162"/>
      <c r="G164" s="162"/>
      <c r="H164" s="162"/>
      <c r="I164" s="160" t="s">
        <v>746</v>
      </c>
      <c r="J164" s="163">
        <v>1.92</v>
      </c>
      <c r="K164" s="163"/>
      <c r="L164" s="163"/>
      <c r="M164" s="164">
        <v>27</v>
      </c>
      <c r="N164" s="164"/>
      <c r="O164" s="164"/>
      <c r="P164" s="159" t="s">
        <v>747</v>
      </c>
      <c r="Q164" s="159" t="s">
        <v>333</v>
      </c>
      <c r="R164" s="159" t="s">
        <v>748</v>
      </c>
      <c r="S164" s="165">
        <v>2.0426929392446599E-2</v>
      </c>
      <c r="T164" s="166" t="s">
        <v>372</v>
      </c>
      <c r="U164" s="166"/>
      <c r="V164" s="166"/>
      <c r="W164" s="167">
        <f>IF(BetTable[Sport]="","",BetTable[Stake]+BetTable[S2]+BetTable[S3])</f>
        <v>27</v>
      </c>
      <c r="X164" s="164">
        <f>IF(BetTable[Odds]="","",(BetTable[WBA1-Commission])-BetTable[TS])</f>
        <v>24.839999999999996</v>
      </c>
      <c r="Y164" s="168">
        <f>IF(BetTable[Outcome]="","",BetTable[WBA1]+BetTable[WBA2]+BetTable[WBA3]-BetTable[TS])</f>
        <v>24.839999999999996</v>
      </c>
      <c r="Z164" s="164">
        <f>(((BetTable[Odds]-1)*BetTable[Stake])*(1-(BetTable[Comm %]))+BetTable[Stake])</f>
        <v>51.839999999999996</v>
      </c>
      <c r="AA164" s="164">
        <f>(((BetTable[O2]-1)*BetTable[S2])*(1-(BetTable[C% 2]))+BetTable[S2])</f>
        <v>0</v>
      </c>
      <c r="AB164" s="164">
        <f>(((BetTable[O3]-1)*BetTable[S3])*(1-(BetTable[C% 3]))+BetTable[S3])</f>
        <v>0</v>
      </c>
      <c r="AC164" s="165">
        <f>IFERROR(IF(BetTable[Sport]="","",BetTable[R1]/BetTable[TS]),"")</f>
        <v>0.91999999999999982</v>
      </c>
      <c r="AD164" s="165" t="str">
        <f>IF(BetTable[O2]="","",#REF!/BetTable[TS])</f>
        <v/>
      </c>
      <c r="AE164" s="165" t="str">
        <f>IFERROR(IF(BetTable[Sport]="","",#REF!/BetTable[TS]),"")</f>
        <v/>
      </c>
      <c r="AF164" s="164">
        <f>IF(BetTable[Outcome]="Win",BetTable[WBA1-Commission],IF(BetTable[Outcome]="Win Half Stake",(BetTable[Stake]/2)+BetTable[WBA1-Commission]/2,IF(BetTable[Outcome]="Lose Half Stake",BetTable[Stake]/2,IF(BetTable[Outcome]="Lose",0,IF(BetTable[Outcome]="Void",BetTable[Stake],)))))</f>
        <v>51.839999999999996</v>
      </c>
      <c r="AG164" s="164">
        <f>IF(BetTable[Outcome2]="Win",BetTable[WBA2-Commission],IF(BetTable[Outcome2]="Win Half Stake",(BetTable[S2]/2)+BetTable[WBA2-Commission]/2,IF(BetTable[Outcome2]="Lose Half Stake",BetTable[S2]/2,IF(BetTable[Outcome2]="Lose",0,IF(BetTable[Outcome2]="Void",BetTable[S2],)))))</f>
        <v>0</v>
      </c>
      <c r="AH164" s="164">
        <f>IF(BetTable[Outcome3]="Win",BetTable[WBA3-Commission],IF(BetTable[Outcome3]="Win Half Stake",(BetTable[S3]/2)+BetTable[WBA3-Commission]/2,IF(BetTable[Outcome3]="Lose Half Stake",BetTable[S3]/2,IF(BetTable[Outcome3]="Lose",0,IF(BetTable[Outcome3]="Void",BetTable[S3],)))))</f>
        <v>0</v>
      </c>
      <c r="AI164" s="168">
        <f>IF(BetTable[Outcome]="",AI163,BetTable[Result]+AI163)</f>
        <v>351.23625000000015</v>
      </c>
      <c r="AJ164" s="160"/>
    </row>
    <row r="165" spans="1:36" x14ac:dyDescent="0.2">
      <c r="A165" s="159" t="s">
        <v>562</v>
      </c>
      <c r="B165" s="160" t="s">
        <v>200</v>
      </c>
      <c r="C165" s="161" t="s">
        <v>91</v>
      </c>
      <c r="D165" s="161"/>
      <c r="E165" s="161"/>
      <c r="F165" s="162"/>
      <c r="G165" s="162"/>
      <c r="H165" s="162"/>
      <c r="I165" s="160" t="s">
        <v>749</v>
      </c>
      <c r="J165" s="163">
        <v>1.79</v>
      </c>
      <c r="K165" s="163"/>
      <c r="L165" s="163"/>
      <c r="M165" s="164">
        <v>22</v>
      </c>
      <c r="N165" s="164"/>
      <c r="O165" s="164"/>
      <c r="P165" s="159" t="s">
        <v>635</v>
      </c>
      <c r="Q165" s="159" t="s">
        <v>436</v>
      </c>
      <c r="R165" s="159" t="s">
        <v>750</v>
      </c>
      <c r="S165" s="165">
        <v>1.4395310656965201E-2</v>
      </c>
      <c r="T165" s="166" t="s">
        <v>372</v>
      </c>
      <c r="U165" s="166"/>
      <c r="V165" s="166"/>
      <c r="W165" s="167">
        <f>IF(BetTable[Sport]="","",BetTable[Stake]+BetTable[S2]+BetTable[S3])</f>
        <v>22</v>
      </c>
      <c r="X165" s="164">
        <f>IF(BetTable[Odds]="","",(BetTable[WBA1-Commission])-BetTable[TS])</f>
        <v>17.380000000000003</v>
      </c>
      <c r="Y165" s="168">
        <f>IF(BetTable[Outcome]="","",BetTable[WBA1]+BetTable[WBA2]+BetTable[WBA3]-BetTable[TS])</f>
        <v>17.380000000000003</v>
      </c>
      <c r="Z165" s="164">
        <f>(((BetTable[Odds]-1)*BetTable[Stake])*(1-(BetTable[Comm %]))+BetTable[Stake])</f>
        <v>39.380000000000003</v>
      </c>
      <c r="AA165" s="164">
        <f>(((BetTable[O2]-1)*BetTable[S2])*(1-(BetTable[C% 2]))+BetTable[S2])</f>
        <v>0</v>
      </c>
      <c r="AB165" s="164">
        <f>(((BetTable[O3]-1)*BetTable[S3])*(1-(BetTable[C% 3]))+BetTable[S3])</f>
        <v>0</v>
      </c>
      <c r="AC165" s="165">
        <f>IFERROR(IF(BetTable[Sport]="","",BetTable[R1]/BetTable[TS]),"")</f>
        <v>0.79000000000000015</v>
      </c>
      <c r="AD165" s="165" t="str">
        <f>IF(BetTable[O2]="","",#REF!/BetTable[TS])</f>
        <v/>
      </c>
      <c r="AE165" s="165" t="str">
        <f>IFERROR(IF(BetTable[Sport]="","",#REF!/BetTable[TS]),"")</f>
        <v/>
      </c>
      <c r="AF165" s="164">
        <f>IF(BetTable[Outcome]="Win",BetTable[WBA1-Commission],IF(BetTable[Outcome]="Win Half Stake",(BetTable[Stake]/2)+BetTable[WBA1-Commission]/2,IF(BetTable[Outcome]="Lose Half Stake",BetTable[Stake]/2,IF(BetTable[Outcome]="Lose",0,IF(BetTable[Outcome]="Void",BetTable[Stake],)))))</f>
        <v>39.380000000000003</v>
      </c>
      <c r="AG165" s="164">
        <f>IF(BetTable[Outcome2]="Win",BetTable[WBA2-Commission],IF(BetTable[Outcome2]="Win Half Stake",(BetTable[S2]/2)+BetTable[WBA2-Commission]/2,IF(BetTable[Outcome2]="Lose Half Stake",BetTable[S2]/2,IF(BetTable[Outcome2]="Lose",0,IF(BetTable[Outcome2]="Void",BetTable[S2],)))))</f>
        <v>0</v>
      </c>
      <c r="AH165" s="164">
        <f>IF(BetTable[Outcome3]="Win",BetTable[WBA3-Commission],IF(BetTable[Outcome3]="Win Half Stake",(BetTable[S3]/2)+BetTable[WBA3-Commission]/2,IF(BetTable[Outcome3]="Lose Half Stake",BetTable[S3]/2,IF(BetTable[Outcome3]="Lose",0,IF(BetTable[Outcome3]="Void",BetTable[S3],)))))</f>
        <v>0</v>
      </c>
      <c r="AI165" s="168">
        <f>IF(BetTable[Outcome]="",AI164,BetTable[Result]+AI164)</f>
        <v>368.61625000000015</v>
      </c>
      <c r="AJ165" s="160"/>
    </row>
    <row r="166" spans="1:36" x14ac:dyDescent="0.2">
      <c r="A166" s="159" t="s">
        <v>562</v>
      </c>
      <c r="B166" s="160" t="s">
        <v>9</v>
      </c>
      <c r="C166" s="161" t="s">
        <v>216</v>
      </c>
      <c r="D166" s="161"/>
      <c r="E166" s="161"/>
      <c r="F166" s="162"/>
      <c r="G166" s="162"/>
      <c r="H166" s="162"/>
      <c r="I166" s="160" t="s">
        <v>751</v>
      </c>
      <c r="J166" s="163">
        <v>2.2200000000000002</v>
      </c>
      <c r="K166" s="163"/>
      <c r="L166" s="163"/>
      <c r="M166" s="164">
        <v>19</v>
      </c>
      <c r="N166" s="164"/>
      <c r="O166" s="164"/>
      <c r="P166" s="159" t="s">
        <v>385</v>
      </c>
      <c r="Q166" s="159" t="s">
        <v>752</v>
      </c>
      <c r="R166" s="159" t="s">
        <v>753</v>
      </c>
      <c r="S166" s="165">
        <v>1.9120071316775199E-2</v>
      </c>
      <c r="T166" s="166" t="s">
        <v>382</v>
      </c>
      <c r="U166" s="166"/>
      <c r="V166" s="166"/>
      <c r="W166" s="167">
        <f>IF(BetTable[Sport]="","",BetTable[Stake]+BetTable[S2]+BetTable[S3])</f>
        <v>19</v>
      </c>
      <c r="X166" s="164">
        <f>IF(BetTable[Odds]="","",(BetTable[WBA1-Commission])-BetTable[TS])</f>
        <v>23.180000000000007</v>
      </c>
      <c r="Y166" s="168">
        <f>IF(BetTable[Outcome]="","",BetTable[WBA1]+BetTable[WBA2]+BetTable[WBA3]-BetTable[TS])</f>
        <v>-19</v>
      </c>
      <c r="Z166" s="164">
        <f>(((BetTable[Odds]-1)*BetTable[Stake])*(1-(BetTable[Comm %]))+BetTable[Stake])</f>
        <v>42.180000000000007</v>
      </c>
      <c r="AA166" s="164">
        <f>(((BetTable[O2]-1)*BetTable[S2])*(1-(BetTable[C% 2]))+BetTable[S2])</f>
        <v>0</v>
      </c>
      <c r="AB166" s="164">
        <f>(((BetTable[O3]-1)*BetTable[S3])*(1-(BetTable[C% 3]))+BetTable[S3])</f>
        <v>0</v>
      </c>
      <c r="AC166" s="165">
        <f>IFERROR(IF(BetTable[Sport]="","",BetTable[R1]/BetTable[TS]),"")</f>
        <v>1.2200000000000004</v>
      </c>
      <c r="AD166" s="165" t="str">
        <f>IF(BetTable[O2]="","",#REF!/BetTable[TS])</f>
        <v/>
      </c>
      <c r="AE166" s="165" t="str">
        <f>IFERROR(IF(BetTable[Sport]="","",#REF!/BetTable[TS]),"")</f>
        <v/>
      </c>
      <c r="AF166" s="164">
        <f>IF(BetTable[Outcome]="Win",BetTable[WBA1-Commission],IF(BetTable[Outcome]="Win Half Stake",(BetTable[Stake]/2)+BetTable[WBA1-Commission]/2,IF(BetTable[Outcome]="Lose Half Stake",BetTable[Stake]/2,IF(BetTable[Outcome]="Lose",0,IF(BetTable[Outcome]="Void",BetTable[Stake],)))))</f>
        <v>0</v>
      </c>
      <c r="AG166" s="164">
        <f>IF(BetTable[Outcome2]="Win",BetTable[WBA2-Commission],IF(BetTable[Outcome2]="Win Half Stake",(BetTable[S2]/2)+BetTable[WBA2-Commission]/2,IF(BetTable[Outcome2]="Lose Half Stake",BetTable[S2]/2,IF(BetTable[Outcome2]="Lose",0,IF(BetTable[Outcome2]="Void",BetTable[S2],)))))</f>
        <v>0</v>
      </c>
      <c r="AH166" s="164">
        <f>IF(BetTable[Outcome3]="Win",BetTable[WBA3-Commission],IF(BetTable[Outcome3]="Win Half Stake",(BetTable[S3]/2)+BetTable[WBA3-Commission]/2,IF(BetTable[Outcome3]="Lose Half Stake",BetTable[S3]/2,IF(BetTable[Outcome3]="Lose",0,IF(BetTable[Outcome3]="Void",BetTable[S3],)))))</f>
        <v>0</v>
      </c>
      <c r="AI166" s="168">
        <f>IF(BetTable[Outcome]="",AI165,BetTable[Result]+AI165)</f>
        <v>349.61625000000015</v>
      </c>
      <c r="AJ166" s="160"/>
    </row>
    <row r="167" spans="1:36" x14ac:dyDescent="0.2">
      <c r="A167" s="159" t="s">
        <v>562</v>
      </c>
      <c r="B167" s="160" t="s">
        <v>7</v>
      </c>
      <c r="C167" s="161" t="s">
        <v>234</v>
      </c>
      <c r="D167" s="161"/>
      <c r="E167" s="161"/>
      <c r="F167" s="162"/>
      <c r="G167" s="162"/>
      <c r="H167" s="162"/>
      <c r="I167" s="160" t="s">
        <v>623</v>
      </c>
      <c r="J167" s="163">
        <v>2.0499999999999998</v>
      </c>
      <c r="K167" s="163"/>
      <c r="L167" s="163"/>
      <c r="M167" s="164">
        <v>12</v>
      </c>
      <c r="N167" s="164"/>
      <c r="O167" s="164"/>
      <c r="P167" s="159" t="s">
        <v>754</v>
      </c>
      <c r="Q167" s="159" t="s">
        <v>625</v>
      </c>
      <c r="R167" s="159" t="s">
        <v>755</v>
      </c>
      <c r="S167" s="165">
        <v>1.03644084892728E-2</v>
      </c>
      <c r="T167" s="166" t="s">
        <v>382</v>
      </c>
      <c r="U167" s="166"/>
      <c r="V167" s="166"/>
      <c r="W167" s="167">
        <f>IF(BetTable[Sport]="","",BetTable[Stake]+BetTable[S2]+BetTable[S3])</f>
        <v>12</v>
      </c>
      <c r="X167" s="164">
        <f>IF(BetTable[Odds]="","",(BetTable[WBA1-Commission])-BetTable[TS])</f>
        <v>12.599999999999998</v>
      </c>
      <c r="Y167" s="168">
        <f>IF(BetTable[Outcome]="","",BetTable[WBA1]+BetTable[WBA2]+BetTable[WBA3]-BetTable[TS])</f>
        <v>-12</v>
      </c>
      <c r="Z167" s="164">
        <f>(((BetTable[Odds]-1)*BetTable[Stake])*(1-(BetTable[Comm %]))+BetTable[Stake])</f>
        <v>24.599999999999998</v>
      </c>
      <c r="AA167" s="164">
        <f>(((BetTable[O2]-1)*BetTable[S2])*(1-(BetTable[C% 2]))+BetTable[S2])</f>
        <v>0</v>
      </c>
      <c r="AB167" s="164">
        <f>(((BetTable[O3]-1)*BetTable[S3])*(1-(BetTable[C% 3]))+BetTable[S3])</f>
        <v>0</v>
      </c>
      <c r="AC167" s="165">
        <f>IFERROR(IF(BetTable[Sport]="","",BetTable[R1]/BetTable[TS]),"")</f>
        <v>1.0499999999999998</v>
      </c>
      <c r="AD167" s="165" t="str">
        <f>IF(BetTable[O2]="","",#REF!/BetTable[TS])</f>
        <v/>
      </c>
      <c r="AE167" s="165" t="str">
        <f>IFERROR(IF(BetTable[Sport]="","",#REF!/BetTable[TS]),"")</f>
        <v/>
      </c>
      <c r="AF167" s="164">
        <f>IF(BetTable[Outcome]="Win",BetTable[WBA1-Commission],IF(BetTable[Outcome]="Win Half Stake",(BetTable[Stake]/2)+BetTable[WBA1-Commission]/2,IF(BetTable[Outcome]="Lose Half Stake",BetTable[Stake]/2,IF(BetTable[Outcome]="Lose",0,IF(BetTable[Outcome]="Void",BetTable[Stake],)))))</f>
        <v>0</v>
      </c>
      <c r="AG167" s="164">
        <f>IF(BetTable[Outcome2]="Win",BetTable[WBA2-Commission],IF(BetTable[Outcome2]="Win Half Stake",(BetTable[S2]/2)+BetTable[WBA2-Commission]/2,IF(BetTable[Outcome2]="Lose Half Stake",BetTable[S2]/2,IF(BetTable[Outcome2]="Lose",0,IF(BetTable[Outcome2]="Void",BetTable[S2],)))))</f>
        <v>0</v>
      </c>
      <c r="AH167" s="164">
        <f>IF(BetTable[Outcome3]="Win",BetTable[WBA3-Commission],IF(BetTable[Outcome3]="Win Half Stake",(BetTable[S3]/2)+BetTable[WBA3-Commission]/2,IF(BetTable[Outcome3]="Lose Half Stake",BetTable[S3]/2,IF(BetTable[Outcome3]="Lose",0,IF(BetTable[Outcome3]="Void",BetTable[S3],)))))</f>
        <v>0</v>
      </c>
      <c r="AI167" s="168">
        <f>IF(BetTable[Outcome]="",AI166,BetTable[Result]+AI166)</f>
        <v>337.61625000000015</v>
      </c>
      <c r="AJ167" s="160"/>
    </row>
    <row r="168" spans="1:36" x14ac:dyDescent="0.2">
      <c r="A168" s="159" t="s">
        <v>562</v>
      </c>
      <c r="B168" s="160" t="s">
        <v>200</v>
      </c>
      <c r="C168" s="161" t="s">
        <v>216</v>
      </c>
      <c r="D168" s="161"/>
      <c r="E168" s="161"/>
      <c r="F168" s="162"/>
      <c r="G168" s="162"/>
      <c r="H168" s="162"/>
      <c r="I168" s="160" t="s">
        <v>756</v>
      </c>
      <c r="J168" s="163">
        <v>2.0499999999999998</v>
      </c>
      <c r="K168" s="163"/>
      <c r="L168" s="163"/>
      <c r="M168" s="164">
        <v>50</v>
      </c>
      <c r="N168" s="164"/>
      <c r="O168" s="164"/>
      <c r="P168" s="159" t="s">
        <v>757</v>
      </c>
      <c r="Q168" s="159" t="s">
        <v>503</v>
      </c>
      <c r="R168" s="159" t="s">
        <v>758</v>
      </c>
      <c r="S168" s="165">
        <v>9.3409490773400203E-2</v>
      </c>
      <c r="T168" s="166" t="s">
        <v>372</v>
      </c>
      <c r="U168" s="166"/>
      <c r="V168" s="166"/>
      <c r="W168" s="167">
        <f>IF(BetTable[Sport]="","",BetTable[Stake]+BetTable[S2]+BetTable[S3])</f>
        <v>50</v>
      </c>
      <c r="X168" s="164">
        <f>IF(BetTable[Odds]="","",(BetTable[WBA1-Commission])-BetTable[TS])</f>
        <v>52.5</v>
      </c>
      <c r="Y168" s="168">
        <f>IF(BetTable[Outcome]="","",BetTable[WBA1]+BetTable[WBA2]+BetTable[WBA3]-BetTable[TS])</f>
        <v>52.5</v>
      </c>
      <c r="Z168" s="164">
        <f>(((BetTable[Odds]-1)*BetTable[Stake])*(1-(BetTable[Comm %]))+BetTable[Stake])</f>
        <v>102.5</v>
      </c>
      <c r="AA168" s="164">
        <f>(((BetTable[O2]-1)*BetTable[S2])*(1-(BetTable[C% 2]))+BetTable[S2])</f>
        <v>0</v>
      </c>
      <c r="AB168" s="164">
        <f>(((BetTable[O3]-1)*BetTable[S3])*(1-(BetTable[C% 3]))+BetTable[S3])</f>
        <v>0</v>
      </c>
      <c r="AC168" s="165">
        <f>IFERROR(IF(BetTable[Sport]="","",BetTable[R1]/BetTable[TS]),"")</f>
        <v>1.05</v>
      </c>
      <c r="AD168" s="165" t="str">
        <f>IF(BetTable[O2]="","",#REF!/BetTable[TS])</f>
        <v/>
      </c>
      <c r="AE168" s="165" t="str">
        <f>IFERROR(IF(BetTable[Sport]="","",#REF!/BetTable[TS]),"")</f>
        <v/>
      </c>
      <c r="AF168" s="164">
        <f>IF(BetTable[Outcome]="Win",BetTable[WBA1-Commission],IF(BetTable[Outcome]="Win Half Stake",(BetTable[Stake]/2)+BetTable[WBA1-Commission]/2,IF(BetTable[Outcome]="Lose Half Stake",BetTable[Stake]/2,IF(BetTable[Outcome]="Lose",0,IF(BetTable[Outcome]="Void",BetTable[Stake],)))))</f>
        <v>102.5</v>
      </c>
      <c r="AG168" s="164">
        <f>IF(BetTable[Outcome2]="Win",BetTable[WBA2-Commission],IF(BetTable[Outcome2]="Win Half Stake",(BetTable[S2]/2)+BetTable[WBA2-Commission]/2,IF(BetTable[Outcome2]="Lose Half Stake",BetTable[S2]/2,IF(BetTable[Outcome2]="Lose",0,IF(BetTable[Outcome2]="Void",BetTable[S2],)))))</f>
        <v>0</v>
      </c>
      <c r="AH168" s="164">
        <f>IF(BetTable[Outcome3]="Win",BetTable[WBA3-Commission],IF(BetTable[Outcome3]="Win Half Stake",(BetTable[S3]/2)+BetTable[WBA3-Commission]/2,IF(BetTable[Outcome3]="Lose Half Stake",BetTable[S3]/2,IF(BetTable[Outcome3]="Lose",0,IF(BetTable[Outcome3]="Void",BetTable[S3],)))))</f>
        <v>0</v>
      </c>
      <c r="AI168" s="168">
        <f>IF(BetTable[Outcome]="",AI167,BetTable[Result]+AI167)</f>
        <v>390.11625000000015</v>
      </c>
      <c r="AJ168" s="160"/>
    </row>
    <row r="169" spans="1:36" x14ac:dyDescent="0.2">
      <c r="A169" s="159" t="s">
        <v>562</v>
      </c>
      <c r="B169" s="160" t="s">
        <v>7</v>
      </c>
      <c r="C169" s="161" t="s">
        <v>216</v>
      </c>
      <c r="D169" s="161"/>
      <c r="E169" s="161"/>
      <c r="F169" s="162"/>
      <c r="G169" s="162"/>
      <c r="H169" s="162"/>
      <c r="I169" s="160" t="s">
        <v>759</v>
      </c>
      <c r="J169" s="163">
        <v>1.909</v>
      </c>
      <c r="K169" s="163"/>
      <c r="L169" s="163"/>
      <c r="M169" s="164">
        <v>65</v>
      </c>
      <c r="N169" s="164"/>
      <c r="O169" s="164"/>
      <c r="P169" s="159" t="s">
        <v>760</v>
      </c>
      <c r="Q169" s="159" t="s">
        <v>647</v>
      </c>
      <c r="R169" s="159" t="s">
        <v>761</v>
      </c>
      <c r="S169" s="165">
        <v>5.1221188376462799E-2</v>
      </c>
      <c r="T169" s="166" t="s">
        <v>372</v>
      </c>
      <c r="U169" s="166"/>
      <c r="V169" s="166"/>
      <c r="W169" s="167">
        <f>IF(BetTable[Sport]="","",BetTable[Stake]+BetTable[S2]+BetTable[S3])</f>
        <v>65</v>
      </c>
      <c r="X169" s="164">
        <f>IF(BetTable[Odds]="","",(BetTable[WBA1-Commission])-BetTable[TS])</f>
        <v>59.085000000000008</v>
      </c>
      <c r="Y169" s="168">
        <f>IF(BetTable[Outcome]="","",BetTable[WBA1]+BetTable[WBA2]+BetTable[WBA3]-BetTable[TS])</f>
        <v>59.085000000000008</v>
      </c>
      <c r="Z169" s="164">
        <f>(((BetTable[Odds]-1)*BetTable[Stake])*(1-(BetTable[Comm %]))+BetTable[Stake])</f>
        <v>124.08500000000001</v>
      </c>
      <c r="AA169" s="164">
        <f>(((BetTable[O2]-1)*BetTable[S2])*(1-(BetTable[C% 2]))+BetTable[S2])</f>
        <v>0</v>
      </c>
      <c r="AB169" s="164">
        <f>(((BetTable[O3]-1)*BetTable[S3])*(1-(BetTable[C% 3]))+BetTable[S3])</f>
        <v>0</v>
      </c>
      <c r="AC169" s="165">
        <f>IFERROR(IF(BetTable[Sport]="","",BetTable[R1]/BetTable[TS]),"")</f>
        <v>0.90900000000000014</v>
      </c>
      <c r="AD169" s="165" t="str">
        <f>IF(BetTable[O2]="","",#REF!/BetTable[TS])</f>
        <v/>
      </c>
      <c r="AE169" s="165" t="str">
        <f>IFERROR(IF(BetTable[Sport]="","",#REF!/BetTable[TS]),"")</f>
        <v/>
      </c>
      <c r="AF169" s="164">
        <f>IF(BetTable[Outcome]="Win",BetTable[WBA1-Commission],IF(BetTable[Outcome]="Win Half Stake",(BetTable[Stake]/2)+BetTable[WBA1-Commission]/2,IF(BetTable[Outcome]="Lose Half Stake",BetTable[Stake]/2,IF(BetTable[Outcome]="Lose",0,IF(BetTable[Outcome]="Void",BetTable[Stake],)))))</f>
        <v>124.08500000000001</v>
      </c>
      <c r="AG169" s="164">
        <f>IF(BetTable[Outcome2]="Win",BetTable[WBA2-Commission],IF(BetTable[Outcome2]="Win Half Stake",(BetTable[S2]/2)+BetTable[WBA2-Commission]/2,IF(BetTable[Outcome2]="Lose Half Stake",BetTable[S2]/2,IF(BetTable[Outcome2]="Lose",0,IF(BetTable[Outcome2]="Void",BetTable[S2],)))))</f>
        <v>0</v>
      </c>
      <c r="AH169" s="164">
        <f>IF(BetTable[Outcome3]="Win",BetTable[WBA3-Commission],IF(BetTable[Outcome3]="Win Half Stake",(BetTable[S3]/2)+BetTable[WBA3-Commission]/2,IF(BetTable[Outcome3]="Lose Half Stake",BetTable[S3]/2,IF(BetTable[Outcome3]="Lose",0,IF(BetTable[Outcome3]="Void",BetTable[S3],)))))</f>
        <v>0</v>
      </c>
      <c r="AI169" s="168">
        <f>IF(BetTable[Outcome]="",AI168,BetTable[Result]+AI168)</f>
        <v>449.20125000000019</v>
      </c>
      <c r="AJ169" s="160"/>
    </row>
    <row r="170" spans="1:36" x14ac:dyDescent="0.2">
      <c r="A170" s="159" t="s">
        <v>562</v>
      </c>
      <c r="B170" s="160" t="s">
        <v>200</v>
      </c>
      <c r="C170" s="161" t="s">
        <v>185</v>
      </c>
      <c r="D170" s="161"/>
      <c r="E170" s="161"/>
      <c r="F170" s="162"/>
      <c r="G170" s="162"/>
      <c r="H170" s="162"/>
      <c r="I170" s="160" t="s">
        <v>762</v>
      </c>
      <c r="J170" s="163">
        <v>2.37</v>
      </c>
      <c r="K170" s="163"/>
      <c r="L170" s="163"/>
      <c r="M170" s="164">
        <v>10</v>
      </c>
      <c r="N170" s="164"/>
      <c r="O170" s="164"/>
      <c r="P170" s="159" t="s">
        <v>435</v>
      </c>
      <c r="Q170" s="159" t="s">
        <v>506</v>
      </c>
      <c r="R170" s="159" t="s">
        <v>763</v>
      </c>
      <c r="S170" s="165">
        <v>1.08757699117722E-2</v>
      </c>
      <c r="T170" s="166" t="s">
        <v>382</v>
      </c>
      <c r="U170" s="166"/>
      <c r="V170" s="166"/>
      <c r="W170" s="167">
        <f>IF(BetTable[Sport]="","",BetTable[Stake]+BetTable[S2]+BetTable[S3])</f>
        <v>10</v>
      </c>
      <c r="X170" s="164">
        <f>IF(BetTable[Odds]="","",(BetTable[WBA1-Commission])-BetTable[TS])</f>
        <v>13.700000000000003</v>
      </c>
      <c r="Y170" s="168">
        <f>IF(BetTable[Outcome]="","",BetTable[WBA1]+BetTable[WBA2]+BetTable[WBA3]-BetTable[TS])</f>
        <v>-10</v>
      </c>
      <c r="Z170" s="164">
        <f>(((BetTable[Odds]-1)*BetTable[Stake])*(1-(BetTable[Comm %]))+BetTable[Stake])</f>
        <v>23.700000000000003</v>
      </c>
      <c r="AA170" s="164">
        <f>(((BetTable[O2]-1)*BetTable[S2])*(1-(BetTable[C% 2]))+BetTable[S2])</f>
        <v>0</v>
      </c>
      <c r="AB170" s="164">
        <f>(((BetTable[O3]-1)*BetTable[S3])*(1-(BetTable[C% 3]))+BetTable[S3])</f>
        <v>0</v>
      </c>
      <c r="AC170" s="165">
        <f>IFERROR(IF(BetTable[Sport]="","",BetTable[R1]/BetTable[TS]),"")</f>
        <v>1.3700000000000003</v>
      </c>
      <c r="AD170" s="165" t="str">
        <f>IF(BetTable[O2]="","",#REF!/BetTable[TS])</f>
        <v/>
      </c>
      <c r="AE170" s="165" t="str">
        <f>IFERROR(IF(BetTable[Sport]="","",#REF!/BetTable[TS]),"")</f>
        <v/>
      </c>
      <c r="AF170" s="164">
        <f>IF(BetTable[Outcome]="Win",BetTable[WBA1-Commission],IF(BetTable[Outcome]="Win Half Stake",(BetTable[Stake]/2)+BetTable[WBA1-Commission]/2,IF(BetTable[Outcome]="Lose Half Stake",BetTable[Stake]/2,IF(BetTable[Outcome]="Lose",0,IF(BetTable[Outcome]="Void",BetTable[Stake],)))))</f>
        <v>0</v>
      </c>
      <c r="AG170" s="164">
        <f>IF(BetTable[Outcome2]="Win",BetTable[WBA2-Commission],IF(BetTable[Outcome2]="Win Half Stake",(BetTable[S2]/2)+BetTable[WBA2-Commission]/2,IF(BetTable[Outcome2]="Lose Half Stake",BetTable[S2]/2,IF(BetTable[Outcome2]="Lose",0,IF(BetTable[Outcome2]="Void",BetTable[S2],)))))</f>
        <v>0</v>
      </c>
      <c r="AH170" s="164">
        <f>IF(BetTable[Outcome3]="Win",BetTable[WBA3-Commission],IF(BetTable[Outcome3]="Win Half Stake",(BetTable[S3]/2)+BetTable[WBA3-Commission]/2,IF(BetTable[Outcome3]="Lose Half Stake",BetTable[S3]/2,IF(BetTable[Outcome3]="Lose",0,IF(BetTable[Outcome3]="Void",BetTable[S3],)))))</f>
        <v>0</v>
      </c>
      <c r="AI170" s="168">
        <f>IF(BetTable[Outcome]="",AI169,BetTable[Result]+AI169)</f>
        <v>439.20125000000019</v>
      </c>
      <c r="AJ170" s="160"/>
    </row>
    <row r="171" spans="1:36" x14ac:dyDescent="0.2">
      <c r="A171" s="159" t="s">
        <v>764</v>
      </c>
      <c r="B171" s="160" t="s">
        <v>200</v>
      </c>
      <c r="C171" s="161" t="s">
        <v>185</v>
      </c>
      <c r="D171" s="161"/>
      <c r="E171" s="161"/>
      <c r="F171" s="162"/>
      <c r="G171" s="162"/>
      <c r="H171" s="162"/>
      <c r="I171" s="160" t="s">
        <v>718</v>
      </c>
      <c r="J171" s="163">
        <v>4</v>
      </c>
      <c r="K171" s="163"/>
      <c r="L171" s="163"/>
      <c r="M171" s="164">
        <v>8</v>
      </c>
      <c r="N171" s="164"/>
      <c r="O171" s="164"/>
      <c r="P171" s="159" t="s">
        <v>435</v>
      </c>
      <c r="Q171" s="159" t="s">
        <v>703</v>
      </c>
      <c r="R171" s="159" t="s">
        <v>765</v>
      </c>
      <c r="S171" s="165">
        <v>1.9707208839591001E-2</v>
      </c>
      <c r="T171" s="166" t="s">
        <v>372</v>
      </c>
      <c r="U171" s="166"/>
      <c r="V171" s="166"/>
      <c r="W171" s="167">
        <f>IF(BetTable[Sport]="","",BetTable[Stake]+BetTable[S2]+BetTable[S3])</f>
        <v>8</v>
      </c>
      <c r="X171" s="164">
        <f>IF(BetTable[Odds]="","",(BetTable[WBA1-Commission])-BetTable[TS])</f>
        <v>24</v>
      </c>
      <c r="Y171" s="168">
        <f>IF(BetTable[Outcome]="","",BetTable[WBA1]+BetTable[WBA2]+BetTable[WBA3]-BetTable[TS])</f>
        <v>24</v>
      </c>
      <c r="Z171" s="164">
        <f>(((BetTable[Odds]-1)*BetTable[Stake])*(1-(BetTable[Comm %]))+BetTable[Stake])</f>
        <v>32</v>
      </c>
      <c r="AA171" s="164">
        <f>(((BetTable[O2]-1)*BetTable[S2])*(1-(BetTable[C% 2]))+BetTable[S2])</f>
        <v>0</v>
      </c>
      <c r="AB171" s="164">
        <f>(((BetTable[O3]-1)*BetTable[S3])*(1-(BetTable[C% 3]))+BetTable[S3])</f>
        <v>0</v>
      </c>
      <c r="AC171" s="165">
        <f>IFERROR(IF(BetTable[Sport]="","",BetTable[R1]/BetTable[TS]),"")</f>
        <v>3</v>
      </c>
      <c r="AD171" s="165" t="str">
        <f>IF(BetTable[O2]="","",#REF!/BetTable[TS])</f>
        <v/>
      </c>
      <c r="AE171" s="165" t="str">
        <f>IFERROR(IF(BetTable[Sport]="","",#REF!/BetTable[TS]),"")</f>
        <v/>
      </c>
      <c r="AF171" s="164">
        <f>IF(BetTable[Outcome]="Win",BetTable[WBA1-Commission],IF(BetTable[Outcome]="Win Half Stake",(BetTable[Stake]/2)+BetTable[WBA1-Commission]/2,IF(BetTable[Outcome]="Lose Half Stake",BetTable[Stake]/2,IF(BetTable[Outcome]="Lose",0,IF(BetTable[Outcome]="Void",BetTable[Stake],)))))</f>
        <v>32</v>
      </c>
      <c r="AG171" s="164">
        <f>IF(BetTable[Outcome2]="Win",BetTable[WBA2-Commission],IF(BetTable[Outcome2]="Win Half Stake",(BetTable[S2]/2)+BetTable[WBA2-Commission]/2,IF(BetTable[Outcome2]="Lose Half Stake",BetTable[S2]/2,IF(BetTable[Outcome2]="Lose",0,IF(BetTable[Outcome2]="Void",BetTable[S2],)))))</f>
        <v>0</v>
      </c>
      <c r="AH171" s="164">
        <f>IF(BetTable[Outcome3]="Win",BetTable[WBA3-Commission],IF(BetTable[Outcome3]="Win Half Stake",(BetTable[S3]/2)+BetTable[WBA3-Commission]/2,IF(BetTable[Outcome3]="Lose Half Stake",BetTable[S3]/2,IF(BetTable[Outcome3]="Lose",0,IF(BetTable[Outcome3]="Void",BetTable[S3],)))))</f>
        <v>0</v>
      </c>
      <c r="AI171" s="168">
        <f>IF(BetTable[Outcome]="",AI170,BetTable[Result]+AI170)</f>
        <v>463.20125000000019</v>
      </c>
      <c r="AJ171" s="160"/>
    </row>
    <row r="172" spans="1:36" x14ac:dyDescent="0.2">
      <c r="A172" s="159" t="s">
        <v>764</v>
      </c>
      <c r="B172" s="160" t="s">
        <v>200</v>
      </c>
      <c r="C172" s="161" t="s">
        <v>185</v>
      </c>
      <c r="D172" s="161"/>
      <c r="E172" s="161"/>
      <c r="F172" s="162"/>
      <c r="G172" s="162"/>
      <c r="H172" s="162"/>
      <c r="I172" s="160" t="s">
        <v>766</v>
      </c>
      <c r="J172" s="163">
        <v>4.3330000000000002</v>
      </c>
      <c r="K172" s="163"/>
      <c r="L172" s="163"/>
      <c r="M172" s="164">
        <v>9</v>
      </c>
      <c r="N172" s="164"/>
      <c r="O172" s="164"/>
      <c r="P172" s="159" t="s">
        <v>428</v>
      </c>
      <c r="Q172" s="159" t="s">
        <v>503</v>
      </c>
      <c r="R172" s="159" t="s">
        <v>767</v>
      </c>
      <c r="S172" s="165">
        <v>3.3727071483261997E-2</v>
      </c>
      <c r="T172" s="166" t="s">
        <v>382</v>
      </c>
      <c r="U172" s="166"/>
      <c r="V172" s="166"/>
      <c r="W172" s="167">
        <f>IF(BetTable[Sport]="","",BetTable[Stake]+BetTable[S2]+BetTable[S3])</f>
        <v>9</v>
      </c>
      <c r="X172" s="164">
        <f>IF(BetTable[Odds]="","",(BetTable[WBA1-Commission])-BetTable[TS])</f>
        <v>29.997</v>
      </c>
      <c r="Y172" s="168">
        <f>IF(BetTable[Outcome]="","",BetTable[WBA1]+BetTable[WBA2]+BetTable[WBA3]-BetTable[TS])</f>
        <v>-9</v>
      </c>
      <c r="Z172" s="164">
        <f>(((BetTable[Odds]-1)*BetTable[Stake])*(1-(BetTable[Comm %]))+BetTable[Stake])</f>
        <v>38.997</v>
      </c>
      <c r="AA172" s="164">
        <f>(((BetTable[O2]-1)*BetTable[S2])*(1-(BetTable[C% 2]))+BetTable[S2])</f>
        <v>0</v>
      </c>
      <c r="AB172" s="164">
        <f>(((BetTable[O3]-1)*BetTable[S3])*(1-(BetTable[C% 3]))+BetTable[S3])</f>
        <v>0</v>
      </c>
      <c r="AC172" s="165">
        <f>IFERROR(IF(BetTable[Sport]="","",BetTable[R1]/BetTable[TS]),"")</f>
        <v>3.3330000000000002</v>
      </c>
      <c r="AD172" s="165" t="str">
        <f>IF(BetTable[O2]="","",#REF!/BetTable[TS])</f>
        <v/>
      </c>
      <c r="AE172" s="165" t="str">
        <f>IFERROR(IF(BetTable[Sport]="","",#REF!/BetTable[TS]),"")</f>
        <v/>
      </c>
      <c r="AF172" s="164">
        <f>IF(BetTable[Outcome]="Win",BetTable[WBA1-Commission],IF(BetTable[Outcome]="Win Half Stake",(BetTable[Stake]/2)+BetTable[WBA1-Commission]/2,IF(BetTable[Outcome]="Lose Half Stake",BetTable[Stake]/2,IF(BetTable[Outcome]="Lose",0,IF(BetTable[Outcome]="Void",BetTable[Stake],)))))</f>
        <v>0</v>
      </c>
      <c r="AG172" s="164">
        <f>IF(BetTable[Outcome2]="Win",BetTable[WBA2-Commission],IF(BetTable[Outcome2]="Win Half Stake",(BetTable[S2]/2)+BetTable[WBA2-Commission]/2,IF(BetTable[Outcome2]="Lose Half Stake",BetTable[S2]/2,IF(BetTable[Outcome2]="Lose",0,IF(BetTable[Outcome2]="Void",BetTable[S2],)))))</f>
        <v>0</v>
      </c>
      <c r="AH172" s="164">
        <f>IF(BetTable[Outcome3]="Win",BetTable[WBA3-Commission],IF(BetTable[Outcome3]="Win Half Stake",(BetTable[S3]/2)+BetTable[WBA3-Commission]/2,IF(BetTable[Outcome3]="Lose Half Stake",BetTable[S3]/2,IF(BetTable[Outcome3]="Lose",0,IF(BetTable[Outcome3]="Void",BetTable[S3],)))))</f>
        <v>0</v>
      </c>
      <c r="AI172" s="168">
        <f>IF(BetTable[Outcome]="",AI171,BetTable[Result]+AI171)</f>
        <v>454.20125000000019</v>
      </c>
      <c r="AJ172" s="160"/>
    </row>
    <row r="173" spans="1:36" x14ac:dyDescent="0.2">
      <c r="A173" s="159" t="s">
        <v>764</v>
      </c>
      <c r="B173" s="160" t="s">
        <v>9</v>
      </c>
      <c r="C173" s="161" t="s">
        <v>216</v>
      </c>
      <c r="D173" s="161"/>
      <c r="E173" s="161"/>
      <c r="F173" s="162"/>
      <c r="G173" s="162"/>
      <c r="H173" s="162"/>
      <c r="I173" s="160" t="s">
        <v>768</v>
      </c>
      <c r="J173" s="163">
        <v>1.909</v>
      </c>
      <c r="K173" s="163"/>
      <c r="L173" s="163"/>
      <c r="M173" s="164">
        <v>43</v>
      </c>
      <c r="N173" s="164"/>
      <c r="O173" s="164"/>
      <c r="P173" s="159" t="s">
        <v>769</v>
      </c>
      <c r="Q173" s="159" t="s">
        <v>482</v>
      </c>
      <c r="R173" s="159" t="s">
        <v>770</v>
      </c>
      <c r="S173" s="165">
        <v>3.2889123454208198E-2</v>
      </c>
      <c r="T173" s="166" t="s">
        <v>382</v>
      </c>
      <c r="U173" s="166"/>
      <c r="V173" s="166"/>
      <c r="W173" s="167">
        <f>IF(BetTable[Sport]="","",BetTable[Stake]+BetTable[S2]+BetTable[S3])</f>
        <v>43</v>
      </c>
      <c r="X173" s="164">
        <f>IF(BetTable[Odds]="","",(BetTable[WBA1-Commission])-BetTable[TS])</f>
        <v>39.087000000000003</v>
      </c>
      <c r="Y173" s="168">
        <f>IF(BetTable[Outcome]="","",BetTable[WBA1]+BetTable[WBA2]+BetTable[WBA3]-BetTable[TS])</f>
        <v>-43</v>
      </c>
      <c r="Z173" s="164">
        <f>(((BetTable[Odds]-1)*BetTable[Stake])*(1-(BetTable[Comm %]))+BetTable[Stake])</f>
        <v>82.087000000000003</v>
      </c>
      <c r="AA173" s="164">
        <f>(((BetTable[O2]-1)*BetTable[S2])*(1-(BetTable[C% 2]))+BetTable[S2])</f>
        <v>0</v>
      </c>
      <c r="AB173" s="164">
        <f>(((BetTable[O3]-1)*BetTable[S3])*(1-(BetTable[C% 3]))+BetTable[S3])</f>
        <v>0</v>
      </c>
      <c r="AC173" s="165">
        <f>IFERROR(IF(BetTable[Sport]="","",BetTable[R1]/BetTable[TS]),"")</f>
        <v>0.90900000000000003</v>
      </c>
      <c r="AD173" s="165" t="str">
        <f>IF(BetTable[O2]="","",#REF!/BetTable[TS])</f>
        <v/>
      </c>
      <c r="AE173" s="165" t="str">
        <f>IFERROR(IF(BetTable[Sport]="","",#REF!/BetTable[TS]),"")</f>
        <v/>
      </c>
      <c r="AF173" s="164">
        <f>IF(BetTable[Outcome]="Win",BetTable[WBA1-Commission],IF(BetTable[Outcome]="Win Half Stake",(BetTable[Stake]/2)+BetTable[WBA1-Commission]/2,IF(BetTable[Outcome]="Lose Half Stake",BetTable[Stake]/2,IF(BetTable[Outcome]="Lose",0,IF(BetTable[Outcome]="Void",BetTable[Stake],)))))</f>
        <v>0</v>
      </c>
      <c r="AG173" s="164">
        <f>IF(BetTable[Outcome2]="Win",BetTable[WBA2-Commission],IF(BetTable[Outcome2]="Win Half Stake",(BetTable[S2]/2)+BetTable[WBA2-Commission]/2,IF(BetTable[Outcome2]="Lose Half Stake",BetTable[S2]/2,IF(BetTable[Outcome2]="Lose",0,IF(BetTable[Outcome2]="Void",BetTable[S2],)))))</f>
        <v>0</v>
      </c>
      <c r="AH173" s="164">
        <f>IF(BetTable[Outcome3]="Win",BetTable[WBA3-Commission],IF(BetTable[Outcome3]="Win Half Stake",(BetTable[S3]/2)+BetTable[WBA3-Commission]/2,IF(BetTable[Outcome3]="Lose Half Stake",BetTable[S3]/2,IF(BetTable[Outcome3]="Lose",0,IF(BetTable[Outcome3]="Void",BetTable[S3],)))))</f>
        <v>0</v>
      </c>
      <c r="AI173" s="168">
        <f>IF(BetTable[Outcome]="",AI172,BetTable[Result]+AI172)</f>
        <v>411.20125000000019</v>
      </c>
      <c r="AJ173" s="160"/>
    </row>
    <row r="174" spans="1:36" x14ac:dyDescent="0.2">
      <c r="A174" s="159" t="s">
        <v>764</v>
      </c>
      <c r="B174" s="160" t="s">
        <v>9</v>
      </c>
      <c r="C174" s="161" t="s">
        <v>91</v>
      </c>
      <c r="D174" s="161"/>
      <c r="E174" s="161"/>
      <c r="F174" s="162"/>
      <c r="G174" s="162"/>
      <c r="H174" s="162"/>
      <c r="I174" s="160" t="s">
        <v>771</v>
      </c>
      <c r="J174" s="163">
        <v>1.94</v>
      </c>
      <c r="K174" s="163"/>
      <c r="L174" s="163"/>
      <c r="M174" s="164">
        <v>26</v>
      </c>
      <c r="N174" s="164"/>
      <c r="O174" s="164"/>
      <c r="P174" s="159" t="s">
        <v>772</v>
      </c>
      <c r="Q174" s="159" t="s">
        <v>773</v>
      </c>
      <c r="R174" s="159" t="s">
        <v>774</v>
      </c>
      <c r="S174" s="165">
        <v>2.0476622695269099E-2</v>
      </c>
      <c r="T174" s="166" t="s">
        <v>372</v>
      </c>
      <c r="U174" s="166"/>
      <c r="V174" s="166"/>
      <c r="W174" s="167">
        <f>IF(BetTable[Sport]="","",BetTable[Stake]+BetTable[S2]+BetTable[S3])</f>
        <v>26</v>
      </c>
      <c r="X174" s="164">
        <f>IF(BetTable[Odds]="","",(BetTable[WBA1-Commission])-BetTable[TS])</f>
        <v>24.439999999999998</v>
      </c>
      <c r="Y174" s="168">
        <f>IF(BetTable[Outcome]="","",BetTable[WBA1]+BetTable[WBA2]+BetTable[WBA3]-BetTable[TS])</f>
        <v>24.439999999999998</v>
      </c>
      <c r="Z174" s="164">
        <f>(((BetTable[Odds]-1)*BetTable[Stake])*(1-(BetTable[Comm %]))+BetTable[Stake])</f>
        <v>50.44</v>
      </c>
      <c r="AA174" s="164">
        <f>(((BetTable[O2]-1)*BetTable[S2])*(1-(BetTable[C% 2]))+BetTable[S2])</f>
        <v>0</v>
      </c>
      <c r="AB174" s="164">
        <f>(((BetTable[O3]-1)*BetTable[S3])*(1-(BetTable[C% 3]))+BetTable[S3])</f>
        <v>0</v>
      </c>
      <c r="AC174" s="165">
        <f>IFERROR(IF(BetTable[Sport]="","",BetTable[R1]/BetTable[TS]),"")</f>
        <v>0.94</v>
      </c>
      <c r="AD174" s="165" t="str">
        <f>IF(BetTable[O2]="","",#REF!/BetTable[TS])</f>
        <v/>
      </c>
      <c r="AE174" s="165" t="str">
        <f>IFERROR(IF(BetTable[Sport]="","",#REF!/BetTable[TS]),"")</f>
        <v/>
      </c>
      <c r="AF174" s="164">
        <f>IF(BetTable[Outcome]="Win",BetTable[WBA1-Commission],IF(BetTable[Outcome]="Win Half Stake",(BetTable[Stake]/2)+BetTable[WBA1-Commission]/2,IF(BetTable[Outcome]="Lose Half Stake",BetTable[Stake]/2,IF(BetTable[Outcome]="Lose",0,IF(BetTable[Outcome]="Void",BetTable[Stake],)))))</f>
        <v>50.44</v>
      </c>
      <c r="AG174" s="164">
        <f>IF(BetTable[Outcome2]="Win",BetTable[WBA2-Commission],IF(BetTable[Outcome2]="Win Half Stake",(BetTable[S2]/2)+BetTable[WBA2-Commission]/2,IF(BetTable[Outcome2]="Lose Half Stake",BetTable[S2]/2,IF(BetTable[Outcome2]="Lose",0,IF(BetTable[Outcome2]="Void",BetTable[S2],)))))</f>
        <v>0</v>
      </c>
      <c r="AH174" s="164">
        <f>IF(BetTable[Outcome3]="Win",BetTable[WBA3-Commission],IF(BetTable[Outcome3]="Win Half Stake",(BetTable[S3]/2)+BetTable[WBA3-Commission]/2,IF(BetTable[Outcome3]="Lose Half Stake",BetTable[S3]/2,IF(BetTable[Outcome3]="Lose",0,IF(BetTable[Outcome3]="Void",BetTable[S3],)))))</f>
        <v>0</v>
      </c>
      <c r="AI174" s="168">
        <f>IF(BetTable[Outcome]="",AI173,BetTable[Result]+AI173)</f>
        <v>435.64125000000018</v>
      </c>
      <c r="AJ174" s="160"/>
    </row>
    <row r="175" spans="1:36" x14ac:dyDescent="0.2">
      <c r="A175" s="159" t="s">
        <v>764</v>
      </c>
      <c r="B175" s="160" t="s">
        <v>9</v>
      </c>
      <c r="C175" s="161" t="s">
        <v>91</v>
      </c>
      <c r="D175" s="161"/>
      <c r="E175" s="161"/>
      <c r="F175" s="162"/>
      <c r="G175" s="162"/>
      <c r="H175" s="162"/>
      <c r="I175" s="160" t="s">
        <v>775</v>
      </c>
      <c r="J175" s="163">
        <v>2.04</v>
      </c>
      <c r="K175" s="163"/>
      <c r="L175" s="163"/>
      <c r="M175" s="164">
        <v>23</v>
      </c>
      <c r="N175" s="164"/>
      <c r="O175" s="164"/>
      <c r="P175" s="159" t="s">
        <v>776</v>
      </c>
      <c r="Q175" s="159" t="s">
        <v>569</v>
      </c>
      <c r="R175" s="159" t="s">
        <v>777</v>
      </c>
      <c r="S175" s="165">
        <v>0.02</v>
      </c>
      <c r="T175" s="166" t="s">
        <v>372</v>
      </c>
      <c r="U175" s="166"/>
      <c r="V175" s="166"/>
      <c r="W175" s="167">
        <f>IF(BetTable[Sport]="","",BetTable[Stake]+BetTable[S2]+BetTable[S3])</f>
        <v>23</v>
      </c>
      <c r="X175" s="164">
        <f>IF(BetTable[Odds]="","",(BetTable[WBA1-Commission])-BetTable[TS])</f>
        <v>23.92</v>
      </c>
      <c r="Y175" s="168">
        <f>IF(BetTable[Outcome]="","",BetTable[WBA1]+BetTable[WBA2]+BetTable[WBA3]-BetTable[TS])</f>
        <v>23.92</v>
      </c>
      <c r="Z175" s="164">
        <f>(((BetTable[Odds]-1)*BetTable[Stake])*(1-(BetTable[Comm %]))+BetTable[Stake])</f>
        <v>46.92</v>
      </c>
      <c r="AA175" s="164">
        <f>(((BetTable[O2]-1)*BetTable[S2])*(1-(BetTable[C% 2]))+BetTable[S2])</f>
        <v>0</v>
      </c>
      <c r="AB175" s="164">
        <f>(((BetTable[O3]-1)*BetTable[S3])*(1-(BetTable[C% 3]))+BetTable[S3])</f>
        <v>0</v>
      </c>
      <c r="AC175" s="165">
        <f>IFERROR(IF(BetTable[Sport]="","",BetTable[R1]/BetTable[TS]),"")</f>
        <v>1.04</v>
      </c>
      <c r="AD175" s="165" t="str">
        <f>IF(BetTable[O2]="","",#REF!/BetTable[TS])</f>
        <v/>
      </c>
      <c r="AE175" s="165" t="str">
        <f>IFERROR(IF(BetTable[Sport]="","",#REF!/BetTable[TS]),"")</f>
        <v/>
      </c>
      <c r="AF175" s="164">
        <f>IF(BetTable[Outcome]="Win",BetTable[WBA1-Commission],IF(BetTable[Outcome]="Win Half Stake",(BetTable[Stake]/2)+BetTable[WBA1-Commission]/2,IF(BetTable[Outcome]="Lose Half Stake",BetTable[Stake]/2,IF(BetTable[Outcome]="Lose",0,IF(BetTable[Outcome]="Void",BetTable[Stake],)))))</f>
        <v>46.92</v>
      </c>
      <c r="AG175" s="164">
        <f>IF(BetTable[Outcome2]="Win",BetTable[WBA2-Commission],IF(BetTable[Outcome2]="Win Half Stake",(BetTable[S2]/2)+BetTable[WBA2-Commission]/2,IF(BetTable[Outcome2]="Lose Half Stake",BetTable[S2]/2,IF(BetTable[Outcome2]="Lose",0,IF(BetTable[Outcome2]="Void",BetTable[S2],)))))</f>
        <v>0</v>
      </c>
      <c r="AH175" s="164">
        <f>IF(BetTable[Outcome3]="Win",BetTable[WBA3-Commission],IF(BetTable[Outcome3]="Win Half Stake",(BetTable[S3]/2)+BetTable[WBA3-Commission]/2,IF(BetTable[Outcome3]="Lose Half Stake",BetTable[S3]/2,IF(BetTable[Outcome3]="Lose",0,IF(BetTable[Outcome3]="Void",BetTable[S3],)))))</f>
        <v>0</v>
      </c>
      <c r="AI175" s="168">
        <f>IF(BetTable[Outcome]="",AI174,BetTable[Result]+AI174)</f>
        <v>459.5612500000002</v>
      </c>
      <c r="AJ175" s="160"/>
    </row>
    <row r="176" spans="1:36" x14ac:dyDescent="0.2">
      <c r="A176" s="159" t="s">
        <v>764</v>
      </c>
      <c r="B176" s="160" t="s">
        <v>200</v>
      </c>
      <c r="C176" s="161" t="s">
        <v>91</v>
      </c>
      <c r="D176" s="161"/>
      <c r="E176" s="161"/>
      <c r="F176" s="162"/>
      <c r="G176" s="162"/>
      <c r="H176" s="162"/>
      <c r="I176" s="160" t="s">
        <v>778</v>
      </c>
      <c r="J176" s="163">
        <v>1.76</v>
      </c>
      <c r="K176" s="163"/>
      <c r="L176" s="163"/>
      <c r="M176" s="164">
        <v>27</v>
      </c>
      <c r="N176" s="164"/>
      <c r="O176" s="164"/>
      <c r="P176" s="159" t="s">
        <v>360</v>
      </c>
      <c r="Q176" s="159" t="s">
        <v>779</v>
      </c>
      <c r="R176" s="159" t="s">
        <v>780</v>
      </c>
      <c r="S176" s="165">
        <v>1.72061104808852E-2</v>
      </c>
      <c r="T176" s="166" t="s">
        <v>382</v>
      </c>
      <c r="U176" s="166"/>
      <c r="V176" s="166"/>
      <c r="W176" s="167">
        <f>IF(BetTable[Sport]="","",BetTable[Stake]+BetTable[S2]+BetTable[S3])</f>
        <v>27</v>
      </c>
      <c r="X176" s="164">
        <f>IF(BetTable[Odds]="","",(BetTable[WBA1-Commission])-BetTable[TS])</f>
        <v>20.519999999999996</v>
      </c>
      <c r="Y176" s="168">
        <f>IF(BetTable[Outcome]="","",BetTable[WBA1]+BetTable[WBA2]+BetTable[WBA3]-BetTable[TS])</f>
        <v>-27</v>
      </c>
      <c r="Z176" s="164">
        <f>(((BetTable[Odds]-1)*BetTable[Stake])*(1-(BetTable[Comm %]))+BetTable[Stake])</f>
        <v>47.519999999999996</v>
      </c>
      <c r="AA176" s="164">
        <f>(((BetTable[O2]-1)*BetTable[S2])*(1-(BetTable[C% 2]))+BetTable[S2])</f>
        <v>0</v>
      </c>
      <c r="AB176" s="164">
        <f>(((BetTable[O3]-1)*BetTable[S3])*(1-(BetTable[C% 3]))+BetTable[S3])</f>
        <v>0</v>
      </c>
      <c r="AC176" s="165">
        <f>IFERROR(IF(BetTable[Sport]="","",BetTable[R1]/BetTable[TS]),"")</f>
        <v>0.7599999999999999</v>
      </c>
      <c r="AD176" s="165" t="str">
        <f>IF(BetTable[O2]="","",#REF!/BetTable[TS])</f>
        <v/>
      </c>
      <c r="AE176" s="165" t="str">
        <f>IFERROR(IF(BetTable[Sport]="","",#REF!/BetTable[TS]),"")</f>
        <v/>
      </c>
      <c r="AF176" s="164">
        <f>IF(BetTable[Outcome]="Win",BetTable[WBA1-Commission],IF(BetTable[Outcome]="Win Half Stake",(BetTable[Stake]/2)+BetTable[WBA1-Commission]/2,IF(BetTable[Outcome]="Lose Half Stake",BetTable[Stake]/2,IF(BetTable[Outcome]="Lose",0,IF(BetTable[Outcome]="Void",BetTable[Stake],)))))</f>
        <v>0</v>
      </c>
      <c r="AG176" s="164">
        <f>IF(BetTable[Outcome2]="Win",BetTable[WBA2-Commission],IF(BetTable[Outcome2]="Win Half Stake",(BetTable[S2]/2)+BetTable[WBA2-Commission]/2,IF(BetTable[Outcome2]="Lose Half Stake",BetTable[S2]/2,IF(BetTable[Outcome2]="Lose",0,IF(BetTable[Outcome2]="Void",BetTable[S2],)))))</f>
        <v>0</v>
      </c>
      <c r="AH176" s="164">
        <f>IF(BetTable[Outcome3]="Win",BetTable[WBA3-Commission],IF(BetTable[Outcome3]="Win Half Stake",(BetTable[S3]/2)+BetTable[WBA3-Commission]/2,IF(BetTable[Outcome3]="Lose Half Stake",BetTable[S3]/2,IF(BetTable[Outcome3]="Lose",0,IF(BetTable[Outcome3]="Void",BetTable[S3],)))))</f>
        <v>0</v>
      </c>
      <c r="AI176" s="168">
        <f>IF(BetTable[Outcome]="",AI175,BetTable[Result]+AI175)</f>
        <v>432.5612500000002</v>
      </c>
      <c r="AJ176" s="160"/>
    </row>
    <row r="177" spans="1:36" x14ac:dyDescent="0.2">
      <c r="A177" s="159" t="s">
        <v>764</v>
      </c>
      <c r="B177" s="160" t="s">
        <v>9</v>
      </c>
      <c r="C177" s="161" t="s">
        <v>91</v>
      </c>
      <c r="D177" s="161"/>
      <c r="E177" s="161"/>
      <c r="F177" s="162"/>
      <c r="G177" s="162"/>
      <c r="H177" s="162"/>
      <c r="I177" s="160" t="s">
        <v>781</v>
      </c>
      <c r="J177" s="163">
        <v>1.81</v>
      </c>
      <c r="K177" s="163"/>
      <c r="L177" s="163"/>
      <c r="M177" s="164">
        <v>28</v>
      </c>
      <c r="N177" s="164"/>
      <c r="O177" s="164"/>
      <c r="P177" s="159" t="s">
        <v>782</v>
      </c>
      <c r="Q177" s="159" t="s">
        <v>530</v>
      </c>
      <c r="R177" s="159" t="s">
        <v>783</v>
      </c>
      <c r="S177" s="165">
        <v>1.89809183389739E-2</v>
      </c>
      <c r="T177" s="166" t="s">
        <v>372</v>
      </c>
      <c r="U177" s="166"/>
      <c r="V177" s="166"/>
      <c r="W177" s="167">
        <f>IF(BetTable[Sport]="","",BetTable[Stake]+BetTable[S2]+BetTable[S3])</f>
        <v>28</v>
      </c>
      <c r="X177" s="164">
        <f>IF(BetTable[Odds]="","",(BetTable[WBA1-Commission])-BetTable[TS])</f>
        <v>22.68</v>
      </c>
      <c r="Y177" s="168">
        <f>IF(BetTable[Outcome]="","",BetTable[WBA1]+BetTable[WBA2]+BetTable[WBA3]-BetTable[TS])</f>
        <v>22.68</v>
      </c>
      <c r="Z177" s="164">
        <f>(((BetTable[Odds]-1)*BetTable[Stake])*(1-(BetTable[Comm %]))+BetTable[Stake])</f>
        <v>50.68</v>
      </c>
      <c r="AA177" s="164">
        <f>(((BetTable[O2]-1)*BetTable[S2])*(1-(BetTable[C% 2]))+BetTable[S2])</f>
        <v>0</v>
      </c>
      <c r="AB177" s="164">
        <f>(((BetTable[O3]-1)*BetTable[S3])*(1-(BetTable[C% 3]))+BetTable[S3])</f>
        <v>0</v>
      </c>
      <c r="AC177" s="165">
        <f>IFERROR(IF(BetTable[Sport]="","",BetTable[R1]/BetTable[TS]),"")</f>
        <v>0.80999999999999994</v>
      </c>
      <c r="AD177" s="165" t="str">
        <f>IF(BetTable[O2]="","",#REF!/BetTable[TS])</f>
        <v/>
      </c>
      <c r="AE177" s="165" t="str">
        <f>IFERROR(IF(BetTable[Sport]="","",#REF!/BetTable[TS]),"")</f>
        <v/>
      </c>
      <c r="AF177" s="164">
        <f>IF(BetTable[Outcome]="Win",BetTable[WBA1-Commission],IF(BetTable[Outcome]="Win Half Stake",(BetTable[Stake]/2)+BetTable[WBA1-Commission]/2,IF(BetTable[Outcome]="Lose Half Stake",BetTable[Stake]/2,IF(BetTable[Outcome]="Lose",0,IF(BetTable[Outcome]="Void",BetTable[Stake],)))))</f>
        <v>50.68</v>
      </c>
      <c r="AG177" s="164">
        <f>IF(BetTable[Outcome2]="Win",BetTable[WBA2-Commission],IF(BetTable[Outcome2]="Win Half Stake",(BetTable[S2]/2)+BetTable[WBA2-Commission]/2,IF(BetTable[Outcome2]="Lose Half Stake",BetTable[S2]/2,IF(BetTable[Outcome2]="Lose",0,IF(BetTable[Outcome2]="Void",BetTable[S2],)))))</f>
        <v>0</v>
      </c>
      <c r="AH177" s="164">
        <f>IF(BetTable[Outcome3]="Win",BetTable[WBA3-Commission],IF(BetTable[Outcome3]="Win Half Stake",(BetTable[S3]/2)+BetTable[WBA3-Commission]/2,IF(BetTable[Outcome3]="Lose Half Stake",BetTable[S3]/2,IF(BetTable[Outcome3]="Lose",0,IF(BetTable[Outcome3]="Void",BetTable[S3],)))))</f>
        <v>0</v>
      </c>
      <c r="AI177" s="168">
        <f>IF(BetTable[Outcome]="",AI176,BetTable[Result]+AI176)</f>
        <v>455.24125000000021</v>
      </c>
      <c r="AJ177" s="160"/>
    </row>
    <row r="178" spans="1:36" x14ac:dyDescent="0.2">
      <c r="A178" s="159" t="s">
        <v>764</v>
      </c>
      <c r="B178" s="160" t="s">
        <v>200</v>
      </c>
      <c r="C178" s="161" t="s">
        <v>91</v>
      </c>
      <c r="D178" s="161"/>
      <c r="E178" s="161"/>
      <c r="F178" s="162"/>
      <c r="G178" s="162"/>
      <c r="H178" s="162"/>
      <c r="I178" s="160" t="s">
        <v>784</v>
      </c>
      <c r="J178" s="163">
        <v>1.68</v>
      </c>
      <c r="K178" s="163"/>
      <c r="L178" s="163"/>
      <c r="M178" s="164">
        <v>42</v>
      </c>
      <c r="N178" s="164"/>
      <c r="O178" s="164"/>
      <c r="P178" s="159" t="s">
        <v>360</v>
      </c>
      <c r="Q178" s="159" t="s">
        <v>779</v>
      </c>
      <c r="R178" s="159" t="s">
        <v>785</v>
      </c>
      <c r="S178" s="165">
        <v>2.4067470292564199E-2</v>
      </c>
      <c r="T178" s="166" t="s">
        <v>383</v>
      </c>
      <c r="U178" s="166"/>
      <c r="V178" s="166"/>
      <c r="W178" s="167">
        <f>IF(BetTable[Sport]="","",BetTable[Stake]+BetTable[S2]+BetTable[S3])</f>
        <v>42</v>
      </c>
      <c r="X178" s="164">
        <f>IF(BetTable[Odds]="","",(BetTable[WBA1-Commission])-BetTable[TS])</f>
        <v>28.560000000000002</v>
      </c>
      <c r="Y178" s="168">
        <f>IF(BetTable[Outcome]="","",BetTable[WBA1]+BetTable[WBA2]+BetTable[WBA3]-BetTable[TS])</f>
        <v>0</v>
      </c>
      <c r="Z178" s="164">
        <f>(((BetTable[Odds]-1)*BetTable[Stake])*(1-(BetTable[Comm %]))+BetTable[Stake])</f>
        <v>70.56</v>
      </c>
      <c r="AA178" s="164">
        <f>(((BetTable[O2]-1)*BetTable[S2])*(1-(BetTable[C% 2]))+BetTable[S2])</f>
        <v>0</v>
      </c>
      <c r="AB178" s="164">
        <f>(((BetTable[O3]-1)*BetTable[S3])*(1-(BetTable[C% 3]))+BetTable[S3])</f>
        <v>0</v>
      </c>
      <c r="AC178" s="165">
        <f>IFERROR(IF(BetTable[Sport]="","",BetTable[R1]/BetTable[TS]),"")</f>
        <v>0.68</v>
      </c>
      <c r="AD178" s="165" t="str">
        <f>IF(BetTable[O2]="","",#REF!/BetTable[TS])</f>
        <v/>
      </c>
      <c r="AE178" s="165" t="str">
        <f>IFERROR(IF(BetTable[Sport]="","",#REF!/BetTable[TS]),"")</f>
        <v/>
      </c>
      <c r="AF178" s="164">
        <f>IF(BetTable[Outcome]="Win",BetTable[WBA1-Commission],IF(BetTable[Outcome]="Win Half Stake",(BetTable[Stake]/2)+BetTable[WBA1-Commission]/2,IF(BetTable[Outcome]="Lose Half Stake",BetTable[Stake]/2,IF(BetTable[Outcome]="Lose",0,IF(BetTable[Outcome]="Void",BetTable[Stake],)))))</f>
        <v>42</v>
      </c>
      <c r="AG178" s="164">
        <f>IF(BetTable[Outcome2]="Win",BetTable[WBA2-Commission],IF(BetTable[Outcome2]="Win Half Stake",(BetTable[S2]/2)+BetTable[WBA2-Commission]/2,IF(BetTable[Outcome2]="Lose Half Stake",BetTable[S2]/2,IF(BetTable[Outcome2]="Lose",0,IF(BetTable[Outcome2]="Void",BetTable[S2],)))))</f>
        <v>0</v>
      </c>
      <c r="AH178" s="164">
        <f>IF(BetTable[Outcome3]="Win",BetTable[WBA3-Commission],IF(BetTable[Outcome3]="Win Half Stake",(BetTable[S3]/2)+BetTable[WBA3-Commission]/2,IF(BetTable[Outcome3]="Lose Half Stake",BetTable[S3]/2,IF(BetTable[Outcome3]="Lose",0,IF(BetTable[Outcome3]="Void",BetTable[S3],)))))</f>
        <v>0</v>
      </c>
      <c r="AI178" s="168">
        <f>IF(BetTable[Outcome]="",AI177,BetTable[Result]+AI177)</f>
        <v>455.24125000000021</v>
      </c>
      <c r="AJ178" s="160"/>
    </row>
    <row r="179" spans="1:36" x14ac:dyDescent="0.2">
      <c r="A179" s="159" t="s">
        <v>764</v>
      </c>
      <c r="B179" s="160" t="s">
        <v>200</v>
      </c>
      <c r="C179" s="161" t="s">
        <v>234</v>
      </c>
      <c r="D179" s="161"/>
      <c r="E179" s="161"/>
      <c r="F179" s="162"/>
      <c r="G179" s="162"/>
      <c r="H179" s="162"/>
      <c r="I179" s="160" t="s">
        <v>786</v>
      </c>
      <c r="J179" s="163">
        <v>2.0299999999999998</v>
      </c>
      <c r="K179" s="163"/>
      <c r="L179" s="163"/>
      <c r="M179" s="164">
        <v>12</v>
      </c>
      <c r="N179" s="164"/>
      <c r="O179" s="164"/>
      <c r="P179" s="159" t="s">
        <v>343</v>
      </c>
      <c r="Q179" s="159" t="s">
        <v>674</v>
      </c>
      <c r="R179" s="159" t="s">
        <v>787</v>
      </c>
      <c r="S179" s="165">
        <v>1.02624233378724E-2</v>
      </c>
      <c r="T179" s="166" t="s">
        <v>372</v>
      </c>
      <c r="U179" s="166"/>
      <c r="V179" s="166"/>
      <c r="W179" s="167">
        <f>IF(BetTable[Sport]="","",BetTable[Stake]+BetTable[S2]+BetTable[S3])</f>
        <v>12</v>
      </c>
      <c r="X179" s="164">
        <f>IF(BetTable[Odds]="","",(BetTable[WBA1-Commission])-BetTable[TS])</f>
        <v>12.36</v>
      </c>
      <c r="Y179" s="168">
        <f>IF(BetTable[Outcome]="","",BetTable[WBA1]+BetTable[WBA2]+BetTable[WBA3]-BetTable[TS])</f>
        <v>12.36</v>
      </c>
      <c r="Z179" s="164">
        <f>(((BetTable[Odds]-1)*BetTable[Stake])*(1-(BetTable[Comm %]))+BetTable[Stake])</f>
        <v>24.36</v>
      </c>
      <c r="AA179" s="164">
        <f>(((BetTable[O2]-1)*BetTable[S2])*(1-(BetTable[C% 2]))+BetTable[S2])</f>
        <v>0</v>
      </c>
      <c r="AB179" s="164">
        <f>(((BetTable[O3]-1)*BetTable[S3])*(1-(BetTable[C% 3]))+BetTable[S3])</f>
        <v>0</v>
      </c>
      <c r="AC179" s="165">
        <f>IFERROR(IF(BetTable[Sport]="","",BetTable[R1]/BetTable[TS]),"")</f>
        <v>1.03</v>
      </c>
      <c r="AD179" s="165" t="str">
        <f>IF(BetTable[O2]="","",#REF!/BetTable[TS])</f>
        <v/>
      </c>
      <c r="AE179" s="165" t="str">
        <f>IFERROR(IF(BetTable[Sport]="","",#REF!/BetTable[TS]),"")</f>
        <v/>
      </c>
      <c r="AF179" s="164">
        <f>IF(BetTable[Outcome]="Win",BetTable[WBA1-Commission],IF(BetTable[Outcome]="Win Half Stake",(BetTable[Stake]/2)+BetTable[WBA1-Commission]/2,IF(BetTable[Outcome]="Lose Half Stake",BetTable[Stake]/2,IF(BetTable[Outcome]="Lose",0,IF(BetTable[Outcome]="Void",BetTable[Stake],)))))</f>
        <v>24.36</v>
      </c>
      <c r="AG179" s="164">
        <f>IF(BetTable[Outcome2]="Win",BetTable[WBA2-Commission],IF(BetTable[Outcome2]="Win Half Stake",(BetTable[S2]/2)+BetTable[WBA2-Commission]/2,IF(BetTable[Outcome2]="Lose Half Stake",BetTable[S2]/2,IF(BetTable[Outcome2]="Lose",0,IF(BetTable[Outcome2]="Void",BetTable[S2],)))))</f>
        <v>0</v>
      </c>
      <c r="AH179" s="164">
        <f>IF(BetTable[Outcome3]="Win",BetTable[WBA3-Commission],IF(BetTable[Outcome3]="Win Half Stake",(BetTable[S3]/2)+BetTable[WBA3-Commission]/2,IF(BetTable[Outcome3]="Lose Half Stake",BetTable[S3]/2,IF(BetTable[Outcome3]="Lose",0,IF(BetTable[Outcome3]="Void",BetTable[S3],)))))</f>
        <v>0</v>
      </c>
      <c r="AI179" s="168">
        <f>IF(BetTable[Outcome]="",AI178,BetTable[Result]+AI178)</f>
        <v>467.60125000000022</v>
      </c>
      <c r="AJ179" s="160"/>
    </row>
    <row r="180" spans="1:36" x14ac:dyDescent="0.2">
      <c r="A180" s="159" t="s">
        <v>764</v>
      </c>
      <c r="B180" s="160" t="s">
        <v>9</v>
      </c>
      <c r="C180" s="161" t="s">
        <v>216</v>
      </c>
      <c r="D180" s="161"/>
      <c r="E180" s="161"/>
      <c r="F180" s="162"/>
      <c r="G180" s="162"/>
      <c r="H180" s="162"/>
      <c r="I180" s="160" t="s">
        <v>788</v>
      </c>
      <c r="J180" s="163">
        <v>1.571</v>
      </c>
      <c r="K180" s="163"/>
      <c r="L180" s="163"/>
      <c r="M180" s="164">
        <v>40</v>
      </c>
      <c r="N180" s="164"/>
      <c r="O180" s="164"/>
      <c r="P180" s="159" t="s">
        <v>435</v>
      </c>
      <c r="Q180" s="159" t="s">
        <v>773</v>
      </c>
      <c r="R180" s="159" t="s">
        <v>789</v>
      </c>
      <c r="S180" s="165">
        <v>1.9092625932785299E-2</v>
      </c>
      <c r="T180" s="166" t="s">
        <v>382</v>
      </c>
      <c r="U180" s="166"/>
      <c r="V180" s="166"/>
      <c r="W180" s="167">
        <f>IF(BetTable[Sport]="","",BetTable[Stake]+BetTable[S2]+BetTable[S3])</f>
        <v>40</v>
      </c>
      <c r="X180" s="164">
        <f>IF(BetTable[Odds]="","",(BetTable[WBA1-Commission])-BetTable[TS])</f>
        <v>22.839999999999996</v>
      </c>
      <c r="Y180" s="168">
        <f>IF(BetTable[Outcome]="","",BetTable[WBA1]+BetTable[WBA2]+BetTable[WBA3]-BetTable[TS])</f>
        <v>-40</v>
      </c>
      <c r="Z180" s="164">
        <f>(((BetTable[Odds]-1)*BetTable[Stake])*(1-(BetTable[Comm %]))+BetTable[Stake])</f>
        <v>62.839999999999996</v>
      </c>
      <c r="AA180" s="164">
        <f>(((BetTable[O2]-1)*BetTable[S2])*(1-(BetTable[C% 2]))+BetTable[S2])</f>
        <v>0</v>
      </c>
      <c r="AB180" s="164">
        <f>(((BetTable[O3]-1)*BetTable[S3])*(1-(BetTable[C% 3]))+BetTable[S3])</f>
        <v>0</v>
      </c>
      <c r="AC180" s="165">
        <f>IFERROR(IF(BetTable[Sport]="","",BetTable[R1]/BetTable[TS]),"")</f>
        <v>0.57099999999999995</v>
      </c>
      <c r="AD180" s="165" t="str">
        <f>IF(BetTable[O2]="","",#REF!/BetTable[TS])</f>
        <v/>
      </c>
      <c r="AE180" s="165" t="str">
        <f>IFERROR(IF(BetTable[Sport]="","",#REF!/BetTable[TS]),"")</f>
        <v/>
      </c>
      <c r="AF180" s="164">
        <f>IF(BetTable[Outcome]="Win",BetTable[WBA1-Commission],IF(BetTable[Outcome]="Win Half Stake",(BetTable[Stake]/2)+BetTable[WBA1-Commission]/2,IF(BetTable[Outcome]="Lose Half Stake",BetTable[Stake]/2,IF(BetTable[Outcome]="Lose",0,IF(BetTable[Outcome]="Void",BetTable[Stake],)))))</f>
        <v>0</v>
      </c>
      <c r="AG180" s="164">
        <f>IF(BetTable[Outcome2]="Win",BetTable[WBA2-Commission],IF(BetTable[Outcome2]="Win Half Stake",(BetTable[S2]/2)+BetTable[WBA2-Commission]/2,IF(BetTable[Outcome2]="Lose Half Stake",BetTable[S2]/2,IF(BetTable[Outcome2]="Lose",0,IF(BetTable[Outcome2]="Void",BetTable[S2],)))))</f>
        <v>0</v>
      </c>
      <c r="AH180" s="164">
        <f>IF(BetTable[Outcome3]="Win",BetTable[WBA3-Commission],IF(BetTable[Outcome3]="Win Half Stake",(BetTable[S3]/2)+BetTable[WBA3-Commission]/2,IF(BetTable[Outcome3]="Lose Half Stake",BetTable[S3]/2,IF(BetTable[Outcome3]="Lose",0,IF(BetTable[Outcome3]="Void",BetTable[S3],)))))</f>
        <v>0</v>
      </c>
      <c r="AI180" s="168">
        <f>IF(BetTable[Outcome]="",AI179,BetTable[Result]+AI179)</f>
        <v>427.60125000000022</v>
      </c>
      <c r="AJ180" s="160"/>
    </row>
    <row r="181" spans="1:36" x14ac:dyDescent="0.2">
      <c r="A181" s="159" t="s">
        <v>764</v>
      </c>
      <c r="B181" s="160" t="s">
        <v>9</v>
      </c>
      <c r="C181" s="161" t="s">
        <v>91</v>
      </c>
      <c r="D181" s="161"/>
      <c r="E181" s="161"/>
      <c r="F181" s="162"/>
      <c r="G181" s="162"/>
      <c r="H181" s="162"/>
      <c r="I181" s="160" t="s">
        <v>790</v>
      </c>
      <c r="J181" s="163">
        <v>1.96</v>
      </c>
      <c r="K181" s="163"/>
      <c r="L181" s="163"/>
      <c r="M181" s="164">
        <v>33</v>
      </c>
      <c r="N181" s="164"/>
      <c r="O181" s="164"/>
      <c r="P181" s="159" t="s">
        <v>791</v>
      </c>
      <c r="Q181" s="159" t="s">
        <v>569</v>
      </c>
      <c r="R181" s="159" t="s">
        <v>792</v>
      </c>
      <c r="S181" s="165">
        <v>2.6559993429877599E-2</v>
      </c>
      <c r="T181" s="166" t="s">
        <v>382</v>
      </c>
      <c r="U181" s="166"/>
      <c r="V181" s="166"/>
      <c r="W181" s="167">
        <f>IF(BetTable[Sport]="","",BetTable[Stake]+BetTable[S2]+BetTable[S3])</f>
        <v>33</v>
      </c>
      <c r="X181" s="164">
        <f>IF(BetTable[Odds]="","",(BetTable[WBA1-Commission])-BetTable[TS])</f>
        <v>31.680000000000007</v>
      </c>
      <c r="Y181" s="168">
        <f>IF(BetTable[Outcome]="","",BetTable[WBA1]+BetTable[WBA2]+BetTable[WBA3]-BetTable[TS])</f>
        <v>-33</v>
      </c>
      <c r="Z181" s="164">
        <f>(((BetTable[Odds]-1)*BetTable[Stake])*(1-(BetTable[Comm %]))+BetTable[Stake])</f>
        <v>64.680000000000007</v>
      </c>
      <c r="AA181" s="164">
        <f>(((BetTable[O2]-1)*BetTable[S2])*(1-(BetTable[C% 2]))+BetTable[S2])</f>
        <v>0</v>
      </c>
      <c r="AB181" s="164">
        <f>(((BetTable[O3]-1)*BetTable[S3])*(1-(BetTable[C% 3]))+BetTable[S3])</f>
        <v>0</v>
      </c>
      <c r="AC181" s="165">
        <f>IFERROR(IF(BetTable[Sport]="","",BetTable[R1]/BetTable[TS]),"")</f>
        <v>0.96000000000000019</v>
      </c>
      <c r="AD181" s="165" t="str">
        <f>IF(BetTable[O2]="","",#REF!/BetTable[TS])</f>
        <v/>
      </c>
      <c r="AE181" s="165" t="str">
        <f>IFERROR(IF(BetTable[Sport]="","",#REF!/BetTable[TS]),"")</f>
        <v/>
      </c>
      <c r="AF181" s="164">
        <f>IF(BetTable[Outcome]="Win",BetTable[WBA1-Commission],IF(BetTable[Outcome]="Win Half Stake",(BetTable[Stake]/2)+BetTable[WBA1-Commission]/2,IF(BetTable[Outcome]="Lose Half Stake",BetTable[Stake]/2,IF(BetTable[Outcome]="Lose",0,IF(BetTable[Outcome]="Void",BetTable[Stake],)))))</f>
        <v>0</v>
      </c>
      <c r="AG181" s="164">
        <f>IF(BetTable[Outcome2]="Win",BetTable[WBA2-Commission],IF(BetTable[Outcome2]="Win Half Stake",(BetTable[S2]/2)+BetTable[WBA2-Commission]/2,IF(BetTable[Outcome2]="Lose Half Stake",BetTable[S2]/2,IF(BetTable[Outcome2]="Lose",0,IF(BetTable[Outcome2]="Void",BetTable[S2],)))))</f>
        <v>0</v>
      </c>
      <c r="AH181" s="164">
        <f>IF(BetTable[Outcome3]="Win",BetTable[WBA3-Commission],IF(BetTable[Outcome3]="Win Half Stake",(BetTable[S3]/2)+BetTable[WBA3-Commission]/2,IF(BetTable[Outcome3]="Lose Half Stake",BetTable[S3]/2,IF(BetTable[Outcome3]="Lose",0,IF(BetTable[Outcome3]="Void",BetTable[S3],)))))</f>
        <v>0</v>
      </c>
      <c r="AI181" s="168">
        <f>IF(BetTable[Outcome]="",AI180,BetTable[Result]+AI180)</f>
        <v>394.60125000000022</v>
      </c>
      <c r="AJ181" s="160"/>
    </row>
    <row r="182" spans="1:36" x14ac:dyDescent="0.2">
      <c r="A182" s="159" t="s">
        <v>764</v>
      </c>
      <c r="B182" s="160" t="s">
        <v>200</v>
      </c>
      <c r="C182" s="161" t="s">
        <v>185</v>
      </c>
      <c r="D182" s="161"/>
      <c r="E182" s="161"/>
      <c r="F182" s="162"/>
      <c r="G182" s="162"/>
      <c r="H182" s="162"/>
      <c r="I182" s="160" t="s">
        <v>793</v>
      </c>
      <c r="J182" s="163">
        <v>2.5</v>
      </c>
      <c r="K182" s="163"/>
      <c r="L182" s="163"/>
      <c r="M182" s="164">
        <v>21</v>
      </c>
      <c r="N182" s="164"/>
      <c r="O182" s="164"/>
      <c r="P182" s="159" t="s">
        <v>428</v>
      </c>
      <c r="Q182" s="159" t="s">
        <v>686</v>
      </c>
      <c r="R182" s="159" t="s">
        <v>794</v>
      </c>
      <c r="S182" s="165">
        <v>2.5771835794083899E-2</v>
      </c>
      <c r="T182" s="166" t="s">
        <v>372</v>
      </c>
      <c r="U182" s="166"/>
      <c r="V182" s="166"/>
      <c r="W182" s="167">
        <f>IF(BetTable[Sport]="","",BetTable[Stake]+BetTable[S2]+BetTable[S3])</f>
        <v>21</v>
      </c>
      <c r="X182" s="164">
        <f>IF(BetTable[Odds]="","",(BetTable[WBA1-Commission])-BetTable[TS])</f>
        <v>31.5</v>
      </c>
      <c r="Y182" s="168">
        <f>IF(BetTable[Outcome]="","",BetTable[WBA1]+BetTable[WBA2]+BetTable[WBA3]-BetTable[TS])</f>
        <v>31.5</v>
      </c>
      <c r="Z182" s="164">
        <f>(((BetTable[Odds]-1)*BetTable[Stake])*(1-(BetTable[Comm %]))+BetTable[Stake])</f>
        <v>52.5</v>
      </c>
      <c r="AA182" s="164">
        <f>(((BetTable[O2]-1)*BetTable[S2])*(1-(BetTable[C% 2]))+BetTable[S2])</f>
        <v>0</v>
      </c>
      <c r="AB182" s="164">
        <f>(((BetTable[O3]-1)*BetTable[S3])*(1-(BetTable[C% 3]))+BetTable[S3])</f>
        <v>0</v>
      </c>
      <c r="AC182" s="165">
        <f>IFERROR(IF(BetTable[Sport]="","",BetTable[R1]/BetTable[TS]),"")</f>
        <v>1.5</v>
      </c>
      <c r="AD182" s="165" t="str">
        <f>IF(BetTable[O2]="","",#REF!/BetTable[TS])</f>
        <v/>
      </c>
      <c r="AE182" s="165" t="str">
        <f>IFERROR(IF(BetTable[Sport]="","",#REF!/BetTable[TS]),"")</f>
        <v/>
      </c>
      <c r="AF182" s="164">
        <f>IF(BetTable[Outcome]="Win",BetTable[WBA1-Commission],IF(BetTable[Outcome]="Win Half Stake",(BetTable[Stake]/2)+BetTable[WBA1-Commission]/2,IF(BetTable[Outcome]="Lose Half Stake",BetTable[Stake]/2,IF(BetTable[Outcome]="Lose",0,IF(BetTable[Outcome]="Void",BetTable[Stake],)))))</f>
        <v>52.5</v>
      </c>
      <c r="AG182" s="164">
        <f>IF(BetTable[Outcome2]="Win",BetTable[WBA2-Commission],IF(BetTable[Outcome2]="Win Half Stake",(BetTable[S2]/2)+BetTable[WBA2-Commission]/2,IF(BetTable[Outcome2]="Lose Half Stake",BetTable[S2]/2,IF(BetTable[Outcome2]="Lose",0,IF(BetTable[Outcome2]="Void",BetTable[S2],)))))</f>
        <v>0</v>
      </c>
      <c r="AH182" s="164">
        <f>IF(BetTable[Outcome3]="Win",BetTable[WBA3-Commission],IF(BetTable[Outcome3]="Win Half Stake",(BetTable[S3]/2)+BetTable[WBA3-Commission]/2,IF(BetTable[Outcome3]="Lose Half Stake",BetTable[S3]/2,IF(BetTable[Outcome3]="Lose",0,IF(BetTable[Outcome3]="Void",BetTable[S3],)))))</f>
        <v>0</v>
      </c>
      <c r="AI182" s="168">
        <f>IF(BetTable[Outcome]="",AI181,BetTable[Result]+AI181)</f>
        <v>426.10125000000022</v>
      </c>
      <c r="AJ182" s="160"/>
    </row>
    <row r="183" spans="1:36" x14ac:dyDescent="0.2">
      <c r="A183" s="159" t="s">
        <v>764</v>
      </c>
      <c r="B183" s="160" t="s">
        <v>200</v>
      </c>
      <c r="C183" s="161" t="s">
        <v>185</v>
      </c>
      <c r="D183" s="161"/>
      <c r="E183" s="161"/>
      <c r="F183" s="162"/>
      <c r="G183" s="162"/>
      <c r="H183" s="162"/>
      <c r="I183" s="160" t="s">
        <v>795</v>
      </c>
      <c r="J183" s="163">
        <v>2.4</v>
      </c>
      <c r="K183" s="163"/>
      <c r="L183" s="163"/>
      <c r="M183" s="164">
        <v>22</v>
      </c>
      <c r="N183" s="164"/>
      <c r="O183" s="164"/>
      <c r="P183" s="159" t="s">
        <v>435</v>
      </c>
      <c r="Q183" s="159" t="s">
        <v>796</v>
      </c>
      <c r="R183" s="159" t="s">
        <v>797</v>
      </c>
      <c r="S183" s="165">
        <v>3.6722942618163001E-2</v>
      </c>
      <c r="T183" s="166" t="s">
        <v>382</v>
      </c>
      <c r="U183" s="166"/>
      <c r="V183" s="166"/>
      <c r="W183" s="167">
        <f>IF(BetTable[Sport]="","",BetTable[Stake]+BetTable[S2]+BetTable[S3])</f>
        <v>22</v>
      </c>
      <c r="X183" s="164">
        <f>IF(BetTable[Odds]="","",(BetTable[WBA1-Commission])-BetTable[TS])</f>
        <v>30.799999999999997</v>
      </c>
      <c r="Y183" s="168">
        <f>IF(BetTable[Outcome]="","",BetTable[WBA1]+BetTable[WBA2]+BetTable[WBA3]-BetTable[TS])</f>
        <v>-22</v>
      </c>
      <c r="Z183" s="164">
        <f>(((BetTable[Odds]-1)*BetTable[Stake])*(1-(BetTable[Comm %]))+BetTable[Stake])</f>
        <v>52.8</v>
      </c>
      <c r="AA183" s="164">
        <f>(((BetTable[O2]-1)*BetTable[S2])*(1-(BetTable[C% 2]))+BetTable[S2])</f>
        <v>0</v>
      </c>
      <c r="AB183" s="164">
        <f>(((BetTable[O3]-1)*BetTable[S3])*(1-(BetTable[C% 3]))+BetTable[S3])</f>
        <v>0</v>
      </c>
      <c r="AC183" s="165">
        <f>IFERROR(IF(BetTable[Sport]="","",BetTable[R1]/BetTable[TS]),"")</f>
        <v>1.4</v>
      </c>
      <c r="AD183" s="165" t="str">
        <f>IF(BetTable[O2]="","",#REF!/BetTable[TS])</f>
        <v/>
      </c>
      <c r="AE183" s="165" t="str">
        <f>IFERROR(IF(BetTable[Sport]="","",#REF!/BetTable[TS]),"")</f>
        <v/>
      </c>
      <c r="AF183" s="164">
        <f>IF(BetTable[Outcome]="Win",BetTable[WBA1-Commission],IF(BetTable[Outcome]="Win Half Stake",(BetTable[Stake]/2)+BetTable[WBA1-Commission]/2,IF(BetTable[Outcome]="Lose Half Stake",BetTable[Stake]/2,IF(BetTable[Outcome]="Lose",0,IF(BetTable[Outcome]="Void",BetTable[Stake],)))))</f>
        <v>0</v>
      </c>
      <c r="AG183" s="164">
        <f>IF(BetTable[Outcome2]="Win",BetTable[WBA2-Commission],IF(BetTable[Outcome2]="Win Half Stake",(BetTable[S2]/2)+BetTable[WBA2-Commission]/2,IF(BetTable[Outcome2]="Lose Half Stake",BetTable[S2]/2,IF(BetTable[Outcome2]="Lose",0,IF(BetTable[Outcome2]="Void",BetTable[S2],)))))</f>
        <v>0</v>
      </c>
      <c r="AH183" s="164">
        <f>IF(BetTable[Outcome3]="Win",BetTable[WBA3-Commission],IF(BetTable[Outcome3]="Win Half Stake",(BetTable[S3]/2)+BetTable[WBA3-Commission]/2,IF(BetTable[Outcome3]="Lose Half Stake",BetTable[S3]/2,IF(BetTable[Outcome3]="Lose",0,IF(BetTable[Outcome3]="Void",BetTable[S3],)))))</f>
        <v>0</v>
      </c>
      <c r="AI183" s="168">
        <f>IF(BetTable[Outcome]="",AI182,BetTable[Result]+AI182)</f>
        <v>404.10125000000022</v>
      </c>
      <c r="AJ183" s="160"/>
    </row>
    <row r="184" spans="1:36" x14ac:dyDescent="0.2">
      <c r="A184" s="159" t="s">
        <v>764</v>
      </c>
      <c r="B184" s="160" t="s">
        <v>200</v>
      </c>
      <c r="C184" s="161" t="s">
        <v>185</v>
      </c>
      <c r="D184" s="161"/>
      <c r="E184" s="161"/>
      <c r="F184" s="162"/>
      <c r="G184" s="162"/>
      <c r="H184" s="162"/>
      <c r="I184" s="160" t="s">
        <v>798</v>
      </c>
      <c r="J184" s="163">
        <v>3.25</v>
      </c>
      <c r="K184" s="163"/>
      <c r="L184" s="163"/>
      <c r="M184" s="164">
        <v>8</v>
      </c>
      <c r="N184" s="164"/>
      <c r="O184" s="164"/>
      <c r="P184" s="159" t="s">
        <v>494</v>
      </c>
      <c r="Q184" s="159" t="s">
        <v>461</v>
      </c>
      <c r="R184" s="159" t="s">
        <v>799</v>
      </c>
      <c r="S184" s="165">
        <v>1.41804631051942E-2</v>
      </c>
      <c r="T184" s="166" t="s">
        <v>382</v>
      </c>
      <c r="U184" s="166"/>
      <c r="V184" s="166"/>
      <c r="W184" s="167">
        <f>IF(BetTable[Sport]="","",BetTable[Stake]+BetTable[S2]+BetTable[S3])</f>
        <v>8</v>
      </c>
      <c r="X184" s="164">
        <f>IF(BetTable[Odds]="","",(BetTable[WBA1-Commission])-BetTable[TS])</f>
        <v>18</v>
      </c>
      <c r="Y184" s="168">
        <f>IF(BetTable[Outcome]="","",BetTable[WBA1]+BetTable[WBA2]+BetTable[WBA3]-BetTable[TS])</f>
        <v>-8</v>
      </c>
      <c r="Z184" s="164">
        <f>(((BetTable[Odds]-1)*BetTable[Stake])*(1-(BetTable[Comm %]))+BetTable[Stake])</f>
        <v>26</v>
      </c>
      <c r="AA184" s="164">
        <f>(((BetTable[O2]-1)*BetTable[S2])*(1-(BetTable[C% 2]))+BetTable[S2])</f>
        <v>0</v>
      </c>
      <c r="AB184" s="164">
        <f>(((BetTable[O3]-1)*BetTable[S3])*(1-(BetTable[C% 3]))+BetTable[S3])</f>
        <v>0</v>
      </c>
      <c r="AC184" s="165">
        <f>IFERROR(IF(BetTable[Sport]="","",BetTable[R1]/BetTable[TS]),"")</f>
        <v>2.25</v>
      </c>
      <c r="AD184" s="165" t="str">
        <f>IF(BetTable[O2]="","",#REF!/BetTable[TS])</f>
        <v/>
      </c>
      <c r="AE184" s="165" t="str">
        <f>IFERROR(IF(BetTable[Sport]="","",#REF!/BetTable[TS]),"")</f>
        <v/>
      </c>
      <c r="AF184" s="164">
        <f>IF(BetTable[Outcome]="Win",BetTable[WBA1-Commission],IF(BetTable[Outcome]="Win Half Stake",(BetTable[Stake]/2)+BetTable[WBA1-Commission]/2,IF(BetTable[Outcome]="Lose Half Stake",BetTable[Stake]/2,IF(BetTable[Outcome]="Lose",0,IF(BetTable[Outcome]="Void",BetTable[Stake],)))))</f>
        <v>0</v>
      </c>
      <c r="AG184" s="164">
        <f>IF(BetTable[Outcome2]="Win",BetTable[WBA2-Commission],IF(BetTable[Outcome2]="Win Half Stake",(BetTable[S2]/2)+BetTable[WBA2-Commission]/2,IF(BetTable[Outcome2]="Lose Half Stake",BetTable[S2]/2,IF(BetTable[Outcome2]="Lose",0,IF(BetTable[Outcome2]="Void",BetTable[S2],)))))</f>
        <v>0</v>
      </c>
      <c r="AH184" s="164">
        <f>IF(BetTable[Outcome3]="Win",BetTable[WBA3-Commission],IF(BetTable[Outcome3]="Win Half Stake",(BetTable[S3]/2)+BetTable[WBA3-Commission]/2,IF(BetTable[Outcome3]="Lose Half Stake",BetTable[S3]/2,IF(BetTable[Outcome3]="Lose",0,IF(BetTable[Outcome3]="Void",BetTable[S3],)))))</f>
        <v>0</v>
      </c>
      <c r="AI184" s="168">
        <f>IF(BetTable[Outcome]="",AI183,BetTable[Result]+AI183)</f>
        <v>396.10125000000022</v>
      </c>
      <c r="AJ184" s="160"/>
    </row>
    <row r="185" spans="1:36" x14ac:dyDescent="0.2">
      <c r="A185" s="159" t="s">
        <v>764</v>
      </c>
      <c r="B185" s="160" t="s">
        <v>200</v>
      </c>
      <c r="C185" s="161" t="s">
        <v>91</v>
      </c>
      <c r="D185" s="161"/>
      <c r="E185" s="161"/>
      <c r="F185" s="162"/>
      <c r="G185" s="162"/>
      <c r="H185" s="162"/>
      <c r="I185" s="160" t="s">
        <v>730</v>
      </c>
      <c r="J185" s="163">
        <v>2.11</v>
      </c>
      <c r="K185" s="163"/>
      <c r="L185" s="163"/>
      <c r="M185" s="164">
        <v>17</v>
      </c>
      <c r="N185" s="164"/>
      <c r="O185" s="164"/>
      <c r="P185" s="159" t="s">
        <v>448</v>
      </c>
      <c r="Q185" s="159" t="s">
        <v>458</v>
      </c>
      <c r="R185" s="159" t="s">
        <v>800</v>
      </c>
      <c r="S185" s="165">
        <v>1.5926240689125501E-2</v>
      </c>
      <c r="T185" s="166" t="s">
        <v>372</v>
      </c>
      <c r="U185" s="166"/>
      <c r="V185" s="166"/>
      <c r="W185" s="167">
        <f>IF(BetTable[Sport]="","",BetTable[Stake]+BetTable[S2]+BetTable[S3])</f>
        <v>17</v>
      </c>
      <c r="X185" s="164">
        <f>IF(BetTable[Odds]="","",(BetTable[WBA1-Commission])-BetTable[TS])</f>
        <v>18.869999999999997</v>
      </c>
      <c r="Y185" s="168">
        <f>IF(BetTable[Outcome]="","",BetTable[WBA1]+BetTable[WBA2]+BetTable[WBA3]-BetTable[TS])</f>
        <v>18.869999999999997</v>
      </c>
      <c r="Z185" s="164">
        <f>(((BetTable[Odds]-1)*BetTable[Stake])*(1-(BetTable[Comm %]))+BetTable[Stake])</f>
        <v>35.869999999999997</v>
      </c>
      <c r="AA185" s="164">
        <f>(((BetTable[O2]-1)*BetTable[S2])*(1-(BetTable[C% 2]))+BetTable[S2])</f>
        <v>0</v>
      </c>
      <c r="AB185" s="164">
        <f>(((BetTable[O3]-1)*BetTable[S3])*(1-(BetTable[C% 3]))+BetTable[S3])</f>
        <v>0</v>
      </c>
      <c r="AC185" s="165">
        <f>IFERROR(IF(BetTable[Sport]="","",BetTable[R1]/BetTable[TS]),"")</f>
        <v>1.1099999999999999</v>
      </c>
      <c r="AD185" s="165" t="str">
        <f>IF(BetTable[O2]="","",#REF!/BetTable[TS])</f>
        <v/>
      </c>
      <c r="AE185" s="165" t="str">
        <f>IFERROR(IF(BetTable[Sport]="","",#REF!/BetTable[TS]),"")</f>
        <v/>
      </c>
      <c r="AF185" s="164">
        <f>IF(BetTable[Outcome]="Win",BetTable[WBA1-Commission],IF(BetTable[Outcome]="Win Half Stake",(BetTable[Stake]/2)+BetTable[WBA1-Commission]/2,IF(BetTable[Outcome]="Lose Half Stake",BetTable[Stake]/2,IF(BetTable[Outcome]="Lose",0,IF(BetTable[Outcome]="Void",BetTable[Stake],)))))</f>
        <v>35.869999999999997</v>
      </c>
      <c r="AG185" s="164">
        <f>IF(BetTable[Outcome2]="Win",BetTable[WBA2-Commission],IF(BetTable[Outcome2]="Win Half Stake",(BetTable[S2]/2)+BetTable[WBA2-Commission]/2,IF(BetTable[Outcome2]="Lose Half Stake",BetTable[S2]/2,IF(BetTable[Outcome2]="Lose",0,IF(BetTable[Outcome2]="Void",BetTable[S2],)))))</f>
        <v>0</v>
      </c>
      <c r="AH185" s="164">
        <f>IF(BetTable[Outcome3]="Win",BetTable[WBA3-Commission],IF(BetTable[Outcome3]="Win Half Stake",(BetTable[S3]/2)+BetTable[WBA3-Commission]/2,IF(BetTable[Outcome3]="Lose Half Stake",BetTable[S3]/2,IF(BetTable[Outcome3]="Lose",0,IF(BetTable[Outcome3]="Void",BetTable[S3],)))))</f>
        <v>0</v>
      </c>
      <c r="AI185" s="168">
        <f>IF(BetTable[Outcome]="",AI184,BetTable[Result]+AI184)</f>
        <v>414.97125000000023</v>
      </c>
      <c r="AJ185" s="160"/>
    </row>
    <row r="186" spans="1:36" x14ac:dyDescent="0.2">
      <c r="A186" s="159" t="s">
        <v>764</v>
      </c>
      <c r="B186" s="160" t="s">
        <v>200</v>
      </c>
      <c r="C186" s="161" t="s">
        <v>91</v>
      </c>
      <c r="D186" s="161"/>
      <c r="E186" s="161"/>
      <c r="F186" s="162"/>
      <c r="G186" s="162"/>
      <c r="H186" s="162"/>
      <c r="I186" s="160" t="s">
        <v>801</v>
      </c>
      <c r="J186" s="163">
        <v>2.33</v>
      </c>
      <c r="K186" s="163"/>
      <c r="L186" s="163"/>
      <c r="M186" s="164">
        <v>13</v>
      </c>
      <c r="N186" s="164"/>
      <c r="O186" s="164"/>
      <c r="P186" s="159" t="s">
        <v>435</v>
      </c>
      <c r="Q186" s="159" t="s">
        <v>677</v>
      </c>
      <c r="R186" s="159" t="s">
        <v>802</v>
      </c>
      <c r="S186" s="165">
        <v>1.47152903847011E-2</v>
      </c>
      <c r="T186" s="166" t="s">
        <v>372</v>
      </c>
      <c r="U186" s="166"/>
      <c r="V186" s="166"/>
      <c r="W186" s="167">
        <f>IF(BetTable[Sport]="","",BetTable[Stake]+BetTable[S2]+BetTable[S3])</f>
        <v>13</v>
      </c>
      <c r="X186" s="164">
        <f>IF(BetTable[Odds]="","",(BetTable[WBA1-Commission])-BetTable[TS])</f>
        <v>17.29</v>
      </c>
      <c r="Y186" s="168">
        <f>IF(BetTable[Outcome]="","",BetTable[WBA1]+BetTable[WBA2]+BetTable[WBA3]-BetTable[TS])</f>
        <v>17.29</v>
      </c>
      <c r="Z186" s="164">
        <f>(((BetTable[Odds]-1)*BetTable[Stake])*(1-(BetTable[Comm %]))+BetTable[Stake])</f>
        <v>30.29</v>
      </c>
      <c r="AA186" s="164">
        <f>(((BetTable[O2]-1)*BetTable[S2])*(1-(BetTable[C% 2]))+BetTable[S2])</f>
        <v>0</v>
      </c>
      <c r="AB186" s="164">
        <f>(((BetTable[O3]-1)*BetTable[S3])*(1-(BetTable[C% 3]))+BetTable[S3])</f>
        <v>0</v>
      </c>
      <c r="AC186" s="165">
        <f>IFERROR(IF(BetTable[Sport]="","",BetTable[R1]/BetTable[TS]),"")</f>
        <v>1.3299999999999998</v>
      </c>
      <c r="AD186" s="165" t="str">
        <f>IF(BetTable[O2]="","",#REF!/BetTable[TS])</f>
        <v/>
      </c>
      <c r="AE186" s="165" t="str">
        <f>IFERROR(IF(BetTable[Sport]="","",#REF!/BetTable[TS]),"")</f>
        <v/>
      </c>
      <c r="AF186" s="164">
        <f>IF(BetTable[Outcome]="Win",BetTable[WBA1-Commission],IF(BetTable[Outcome]="Win Half Stake",(BetTable[Stake]/2)+BetTable[WBA1-Commission]/2,IF(BetTable[Outcome]="Lose Half Stake",BetTable[Stake]/2,IF(BetTable[Outcome]="Lose",0,IF(BetTable[Outcome]="Void",BetTable[Stake],)))))</f>
        <v>30.29</v>
      </c>
      <c r="AG186" s="164">
        <f>IF(BetTable[Outcome2]="Win",BetTable[WBA2-Commission],IF(BetTable[Outcome2]="Win Half Stake",(BetTable[S2]/2)+BetTable[WBA2-Commission]/2,IF(BetTable[Outcome2]="Lose Half Stake",BetTable[S2]/2,IF(BetTable[Outcome2]="Lose",0,IF(BetTable[Outcome2]="Void",BetTable[S2],)))))</f>
        <v>0</v>
      </c>
      <c r="AH186" s="164">
        <f>IF(BetTable[Outcome3]="Win",BetTable[WBA3-Commission],IF(BetTable[Outcome3]="Win Half Stake",(BetTable[S3]/2)+BetTable[WBA3-Commission]/2,IF(BetTable[Outcome3]="Lose Half Stake",BetTable[S3]/2,IF(BetTable[Outcome3]="Lose",0,IF(BetTable[Outcome3]="Void",BetTable[S3],)))))</f>
        <v>0</v>
      </c>
      <c r="AI186" s="168">
        <f>IF(BetTable[Outcome]="",AI185,BetTable[Result]+AI185)</f>
        <v>432.26125000000025</v>
      </c>
      <c r="AJ186" s="160"/>
    </row>
    <row r="187" spans="1:36" x14ac:dyDescent="0.2">
      <c r="A187" s="159" t="s">
        <v>764</v>
      </c>
      <c r="B187" s="160" t="s">
        <v>200</v>
      </c>
      <c r="C187" s="161" t="s">
        <v>91</v>
      </c>
      <c r="D187" s="161"/>
      <c r="E187" s="161"/>
      <c r="F187" s="162"/>
      <c r="G187" s="162"/>
      <c r="H187" s="162"/>
      <c r="I187" s="160" t="s">
        <v>714</v>
      </c>
      <c r="J187" s="163">
        <v>1.77</v>
      </c>
      <c r="K187" s="163"/>
      <c r="L187" s="163"/>
      <c r="M187" s="164">
        <v>36</v>
      </c>
      <c r="N187" s="164"/>
      <c r="O187" s="164"/>
      <c r="P187" s="159" t="s">
        <v>508</v>
      </c>
      <c r="Q187" s="159" t="s">
        <v>461</v>
      </c>
      <c r="R187" s="159" t="s">
        <v>803</v>
      </c>
      <c r="S187" s="165">
        <v>2.2985690654072001E-2</v>
      </c>
      <c r="T187" s="166" t="s">
        <v>372</v>
      </c>
      <c r="U187" s="166"/>
      <c r="V187" s="166"/>
      <c r="W187" s="167">
        <f>IF(BetTable[Sport]="","",BetTable[Stake]+BetTable[S2]+BetTable[S3])</f>
        <v>36</v>
      </c>
      <c r="X187" s="164">
        <f>IF(BetTable[Odds]="","",(BetTable[WBA1-Commission])-BetTable[TS])</f>
        <v>27.72</v>
      </c>
      <c r="Y187" s="168">
        <f>IF(BetTable[Outcome]="","",BetTable[WBA1]+BetTable[WBA2]+BetTable[WBA3]-BetTable[TS])</f>
        <v>27.72</v>
      </c>
      <c r="Z187" s="164">
        <f>(((BetTable[Odds]-1)*BetTable[Stake])*(1-(BetTable[Comm %]))+BetTable[Stake])</f>
        <v>63.72</v>
      </c>
      <c r="AA187" s="164">
        <f>(((BetTable[O2]-1)*BetTable[S2])*(1-(BetTable[C% 2]))+BetTable[S2])</f>
        <v>0</v>
      </c>
      <c r="AB187" s="164">
        <f>(((BetTable[O3]-1)*BetTable[S3])*(1-(BetTable[C% 3]))+BetTable[S3])</f>
        <v>0</v>
      </c>
      <c r="AC187" s="165">
        <f>IFERROR(IF(BetTable[Sport]="","",BetTable[R1]/BetTable[TS]),"")</f>
        <v>0.77</v>
      </c>
      <c r="AD187" s="165" t="str">
        <f>IF(BetTable[O2]="","",#REF!/BetTable[TS])</f>
        <v/>
      </c>
      <c r="AE187" s="165" t="str">
        <f>IFERROR(IF(BetTable[Sport]="","",#REF!/BetTable[TS]),"")</f>
        <v/>
      </c>
      <c r="AF187" s="164">
        <f>IF(BetTable[Outcome]="Win",BetTable[WBA1-Commission],IF(BetTable[Outcome]="Win Half Stake",(BetTable[Stake]/2)+BetTable[WBA1-Commission]/2,IF(BetTable[Outcome]="Lose Half Stake",BetTable[Stake]/2,IF(BetTable[Outcome]="Lose",0,IF(BetTable[Outcome]="Void",BetTable[Stake],)))))</f>
        <v>63.72</v>
      </c>
      <c r="AG187" s="164">
        <f>IF(BetTable[Outcome2]="Win",BetTable[WBA2-Commission],IF(BetTable[Outcome2]="Win Half Stake",(BetTable[S2]/2)+BetTable[WBA2-Commission]/2,IF(BetTable[Outcome2]="Lose Half Stake",BetTable[S2]/2,IF(BetTable[Outcome2]="Lose",0,IF(BetTable[Outcome2]="Void",BetTable[S2],)))))</f>
        <v>0</v>
      </c>
      <c r="AH187" s="164">
        <f>IF(BetTable[Outcome3]="Win",BetTable[WBA3-Commission],IF(BetTable[Outcome3]="Win Half Stake",(BetTable[S3]/2)+BetTable[WBA3-Commission]/2,IF(BetTable[Outcome3]="Lose Half Stake",BetTable[S3]/2,IF(BetTable[Outcome3]="Lose",0,IF(BetTable[Outcome3]="Void",BetTable[S3],)))))</f>
        <v>0</v>
      </c>
      <c r="AI187" s="168">
        <f>IF(BetTable[Outcome]="",AI186,BetTable[Result]+AI186)</f>
        <v>459.98125000000027</v>
      </c>
      <c r="AJ187" s="160"/>
    </row>
    <row r="188" spans="1:36" x14ac:dyDescent="0.2">
      <c r="A188" s="159" t="s">
        <v>764</v>
      </c>
      <c r="B188" s="160" t="s">
        <v>200</v>
      </c>
      <c r="C188" s="161" t="s">
        <v>91</v>
      </c>
      <c r="D188" s="161"/>
      <c r="E188" s="161"/>
      <c r="F188" s="162"/>
      <c r="G188" s="162"/>
      <c r="H188" s="162"/>
      <c r="I188" s="160" t="s">
        <v>766</v>
      </c>
      <c r="J188" s="163">
        <v>1.91</v>
      </c>
      <c r="K188" s="163"/>
      <c r="L188" s="163"/>
      <c r="M188" s="164">
        <v>14</v>
      </c>
      <c r="N188" s="164"/>
      <c r="O188" s="164"/>
      <c r="P188" s="159" t="s">
        <v>498</v>
      </c>
      <c r="Q188" s="159" t="s">
        <v>503</v>
      </c>
      <c r="R188" s="159" t="s">
        <v>804</v>
      </c>
      <c r="S188" s="165">
        <v>1.0333617648321801E-2</v>
      </c>
      <c r="T188" s="166" t="s">
        <v>382</v>
      </c>
      <c r="U188" s="166"/>
      <c r="V188" s="166"/>
      <c r="W188" s="167">
        <f>IF(BetTable[Sport]="","",BetTable[Stake]+BetTable[S2]+BetTable[S3])</f>
        <v>14</v>
      </c>
      <c r="X188" s="164">
        <f>IF(BetTable[Odds]="","",(BetTable[WBA1-Commission])-BetTable[TS])</f>
        <v>12.739999999999998</v>
      </c>
      <c r="Y188" s="168">
        <f>IF(BetTable[Outcome]="","",BetTable[WBA1]+BetTable[WBA2]+BetTable[WBA3]-BetTable[TS])</f>
        <v>-14</v>
      </c>
      <c r="Z188" s="164">
        <f>(((BetTable[Odds]-1)*BetTable[Stake])*(1-(BetTable[Comm %]))+BetTable[Stake])</f>
        <v>26.74</v>
      </c>
      <c r="AA188" s="164">
        <f>(((BetTable[O2]-1)*BetTable[S2])*(1-(BetTable[C% 2]))+BetTable[S2])</f>
        <v>0</v>
      </c>
      <c r="AB188" s="164">
        <f>(((BetTable[O3]-1)*BetTable[S3])*(1-(BetTable[C% 3]))+BetTable[S3])</f>
        <v>0</v>
      </c>
      <c r="AC188" s="165">
        <f>IFERROR(IF(BetTable[Sport]="","",BetTable[R1]/BetTable[TS]),"")</f>
        <v>0.90999999999999992</v>
      </c>
      <c r="AD188" s="165" t="str">
        <f>IF(BetTable[O2]="","",#REF!/BetTable[TS])</f>
        <v/>
      </c>
      <c r="AE188" s="165" t="str">
        <f>IFERROR(IF(BetTable[Sport]="","",#REF!/BetTable[TS]),"")</f>
        <v/>
      </c>
      <c r="AF188" s="164">
        <f>IF(BetTable[Outcome]="Win",BetTable[WBA1-Commission],IF(BetTable[Outcome]="Win Half Stake",(BetTable[Stake]/2)+BetTable[WBA1-Commission]/2,IF(BetTable[Outcome]="Lose Half Stake",BetTable[Stake]/2,IF(BetTable[Outcome]="Lose",0,IF(BetTable[Outcome]="Void",BetTable[Stake],)))))</f>
        <v>0</v>
      </c>
      <c r="AG188" s="164">
        <f>IF(BetTable[Outcome2]="Win",BetTable[WBA2-Commission],IF(BetTable[Outcome2]="Win Half Stake",(BetTable[S2]/2)+BetTable[WBA2-Commission]/2,IF(BetTable[Outcome2]="Lose Half Stake",BetTable[S2]/2,IF(BetTable[Outcome2]="Lose",0,IF(BetTable[Outcome2]="Void",BetTable[S2],)))))</f>
        <v>0</v>
      </c>
      <c r="AH188" s="164">
        <f>IF(BetTable[Outcome3]="Win",BetTable[WBA3-Commission],IF(BetTable[Outcome3]="Win Half Stake",(BetTable[S3]/2)+BetTable[WBA3-Commission]/2,IF(BetTable[Outcome3]="Lose Half Stake",BetTable[S3]/2,IF(BetTable[Outcome3]="Lose",0,IF(BetTable[Outcome3]="Void",BetTable[S3],)))))</f>
        <v>0</v>
      </c>
      <c r="AI188" s="168">
        <f>IF(BetTable[Outcome]="",AI187,BetTable[Result]+AI187)</f>
        <v>445.98125000000027</v>
      </c>
      <c r="AJ188" s="160"/>
    </row>
    <row r="189" spans="1:36" x14ac:dyDescent="0.2">
      <c r="A189" s="159" t="s">
        <v>764</v>
      </c>
      <c r="B189" s="160" t="s">
        <v>200</v>
      </c>
      <c r="C189" s="161" t="s">
        <v>91</v>
      </c>
      <c r="D189" s="161"/>
      <c r="E189" s="161"/>
      <c r="F189" s="162"/>
      <c r="G189" s="162"/>
      <c r="H189" s="162"/>
      <c r="I189" s="160" t="s">
        <v>766</v>
      </c>
      <c r="J189" s="163">
        <v>2.13</v>
      </c>
      <c r="K189" s="163"/>
      <c r="L189" s="163"/>
      <c r="M189" s="164">
        <v>19</v>
      </c>
      <c r="N189" s="164"/>
      <c r="O189" s="164"/>
      <c r="P189" s="159" t="s">
        <v>508</v>
      </c>
      <c r="Q189" s="159" t="s">
        <v>503</v>
      </c>
      <c r="R189" s="159" t="s">
        <v>805</v>
      </c>
      <c r="S189" s="165">
        <v>1.8010868294464102E-2</v>
      </c>
      <c r="T189" s="166" t="s">
        <v>382</v>
      </c>
      <c r="U189" s="166"/>
      <c r="V189" s="166"/>
      <c r="W189" s="167">
        <f>IF(BetTable[Sport]="","",BetTable[Stake]+BetTable[S2]+BetTable[S3])</f>
        <v>19</v>
      </c>
      <c r="X189" s="164">
        <f>IF(BetTable[Odds]="","",(BetTable[WBA1-Commission])-BetTable[TS])</f>
        <v>21.47</v>
      </c>
      <c r="Y189" s="168">
        <f>IF(BetTable[Outcome]="","",BetTable[WBA1]+BetTable[WBA2]+BetTable[WBA3]-BetTable[TS])</f>
        <v>-19</v>
      </c>
      <c r="Z189" s="164">
        <f>(((BetTable[Odds]-1)*BetTable[Stake])*(1-(BetTable[Comm %]))+BetTable[Stake])</f>
        <v>40.47</v>
      </c>
      <c r="AA189" s="164">
        <f>(((BetTable[O2]-1)*BetTable[S2])*(1-(BetTable[C% 2]))+BetTable[S2])</f>
        <v>0</v>
      </c>
      <c r="AB189" s="164">
        <f>(((BetTable[O3]-1)*BetTable[S3])*(1-(BetTable[C% 3]))+BetTable[S3])</f>
        <v>0</v>
      </c>
      <c r="AC189" s="165">
        <f>IFERROR(IF(BetTable[Sport]="","",BetTable[R1]/BetTable[TS]),"")</f>
        <v>1.1299999999999999</v>
      </c>
      <c r="AD189" s="165" t="str">
        <f>IF(BetTable[O2]="","",#REF!/BetTable[TS])</f>
        <v/>
      </c>
      <c r="AE189" s="165" t="str">
        <f>IFERROR(IF(BetTable[Sport]="","",#REF!/BetTable[TS]),"")</f>
        <v/>
      </c>
      <c r="AF189" s="164">
        <f>IF(BetTable[Outcome]="Win",BetTable[WBA1-Commission],IF(BetTable[Outcome]="Win Half Stake",(BetTable[Stake]/2)+BetTable[WBA1-Commission]/2,IF(BetTable[Outcome]="Lose Half Stake",BetTable[Stake]/2,IF(BetTable[Outcome]="Lose",0,IF(BetTable[Outcome]="Void",BetTable[Stake],)))))</f>
        <v>0</v>
      </c>
      <c r="AG189" s="164">
        <f>IF(BetTable[Outcome2]="Win",BetTable[WBA2-Commission],IF(BetTable[Outcome2]="Win Half Stake",(BetTable[S2]/2)+BetTable[WBA2-Commission]/2,IF(BetTable[Outcome2]="Lose Half Stake",BetTable[S2]/2,IF(BetTable[Outcome2]="Lose",0,IF(BetTable[Outcome2]="Void",BetTable[S2],)))))</f>
        <v>0</v>
      </c>
      <c r="AH189" s="164">
        <f>IF(BetTable[Outcome3]="Win",BetTable[WBA3-Commission],IF(BetTable[Outcome3]="Win Half Stake",(BetTable[S3]/2)+BetTable[WBA3-Commission]/2,IF(BetTable[Outcome3]="Lose Half Stake",BetTable[S3]/2,IF(BetTable[Outcome3]="Lose",0,IF(BetTable[Outcome3]="Void",BetTable[S3],)))))</f>
        <v>0</v>
      </c>
      <c r="AI189" s="168">
        <f>IF(BetTable[Outcome]="",AI188,BetTable[Result]+AI188)</f>
        <v>426.98125000000027</v>
      </c>
      <c r="AJ189" s="160"/>
    </row>
    <row r="190" spans="1:36" x14ac:dyDescent="0.2">
      <c r="A190" s="159" t="s">
        <v>764</v>
      </c>
      <c r="B190" s="160" t="s">
        <v>200</v>
      </c>
      <c r="C190" s="161" t="s">
        <v>91</v>
      </c>
      <c r="D190" s="161"/>
      <c r="E190" s="161"/>
      <c r="F190" s="162"/>
      <c r="G190" s="162"/>
      <c r="H190" s="162"/>
      <c r="I190" s="160" t="s">
        <v>732</v>
      </c>
      <c r="J190" s="163">
        <v>2.13</v>
      </c>
      <c r="K190" s="163"/>
      <c r="L190" s="163"/>
      <c r="M190" s="164">
        <v>25</v>
      </c>
      <c r="N190" s="164"/>
      <c r="O190" s="164"/>
      <c r="P190" s="159" t="s">
        <v>348</v>
      </c>
      <c r="Q190" s="159" t="s">
        <v>734</v>
      </c>
      <c r="R190" s="159" t="s">
        <v>806</v>
      </c>
      <c r="S190" s="165">
        <v>2.3283145522186799E-2</v>
      </c>
      <c r="T190" s="166" t="s">
        <v>382</v>
      </c>
      <c r="U190" s="166"/>
      <c r="V190" s="166"/>
      <c r="W190" s="167">
        <f>IF(BetTable[Sport]="","",BetTable[Stake]+BetTable[S2]+BetTable[S3])</f>
        <v>25</v>
      </c>
      <c r="X190" s="164">
        <f>IF(BetTable[Odds]="","",(BetTable[WBA1-Commission])-BetTable[TS])</f>
        <v>28.25</v>
      </c>
      <c r="Y190" s="168">
        <f>IF(BetTable[Outcome]="","",BetTable[WBA1]+BetTable[WBA2]+BetTable[WBA3]-BetTable[TS])</f>
        <v>-25</v>
      </c>
      <c r="Z190" s="164">
        <f>(((BetTable[Odds]-1)*BetTable[Stake])*(1-(BetTable[Comm %]))+BetTable[Stake])</f>
        <v>53.25</v>
      </c>
      <c r="AA190" s="164">
        <f>(((BetTable[O2]-1)*BetTable[S2])*(1-(BetTable[C% 2]))+BetTable[S2])</f>
        <v>0</v>
      </c>
      <c r="AB190" s="164">
        <f>(((BetTable[O3]-1)*BetTable[S3])*(1-(BetTable[C% 3]))+BetTable[S3])</f>
        <v>0</v>
      </c>
      <c r="AC190" s="165">
        <f>IFERROR(IF(BetTable[Sport]="","",BetTable[R1]/BetTable[TS]),"")</f>
        <v>1.1299999999999999</v>
      </c>
      <c r="AD190" s="165" t="str">
        <f>IF(BetTable[O2]="","",#REF!/BetTable[TS])</f>
        <v/>
      </c>
      <c r="AE190" s="165" t="str">
        <f>IFERROR(IF(BetTable[Sport]="","",#REF!/BetTable[TS]),"")</f>
        <v/>
      </c>
      <c r="AF190" s="164">
        <f>IF(BetTable[Outcome]="Win",BetTable[WBA1-Commission],IF(BetTable[Outcome]="Win Half Stake",(BetTable[Stake]/2)+BetTable[WBA1-Commission]/2,IF(BetTable[Outcome]="Lose Half Stake",BetTable[Stake]/2,IF(BetTable[Outcome]="Lose",0,IF(BetTable[Outcome]="Void",BetTable[Stake],)))))</f>
        <v>0</v>
      </c>
      <c r="AG190" s="164">
        <f>IF(BetTable[Outcome2]="Win",BetTable[WBA2-Commission],IF(BetTable[Outcome2]="Win Half Stake",(BetTable[S2]/2)+BetTable[WBA2-Commission]/2,IF(BetTable[Outcome2]="Lose Half Stake",BetTable[S2]/2,IF(BetTable[Outcome2]="Lose",0,IF(BetTable[Outcome2]="Void",BetTable[S2],)))))</f>
        <v>0</v>
      </c>
      <c r="AH190" s="164">
        <f>IF(BetTable[Outcome3]="Win",BetTable[WBA3-Commission],IF(BetTable[Outcome3]="Win Half Stake",(BetTable[S3]/2)+BetTable[WBA3-Commission]/2,IF(BetTable[Outcome3]="Lose Half Stake",BetTable[S3]/2,IF(BetTable[Outcome3]="Lose",0,IF(BetTable[Outcome3]="Void",BetTable[S3],)))))</f>
        <v>0</v>
      </c>
      <c r="AI190" s="168">
        <f>IF(BetTable[Outcome]="",AI189,BetTable[Result]+AI189)</f>
        <v>401.98125000000027</v>
      </c>
      <c r="AJ190" s="160"/>
    </row>
    <row r="191" spans="1:36" x14ac:dyDescent="0.2">
      <c r="A191" s="159" t="s">
        <v>764</v>
      </c>
      <c r="B191" s="160" t="s">
        <v>200</v>
      </c>
      <c r="C191" s="161" t="s">
        <v>91</v>
      </c>
      <c r="D191" s="161"/>
      <c r="E191" s="161"/>
      <c r="F191" s="162"/>
      <c r="G191" s="162"/>
      <c r="H191" s="162"/>
      <c r="I191" s="160" t="s">
        <v>807</v>
      </c>
      <c r="J191" s="163">
        <v>1.69</v>
      </c>
      <c r="K191" s="163"/>
      <c r="L191" s="163"/>
      <c r="M191" s="164">
        <v>34</v>
      </c>
      <c r="N191" s="164"/>
      <c r="O191" s="164"/>
      <c r="P191" s="159" t="s">
        <v>688</v>
      </c>
      <c r="Q191" s="159" t="s">
        <v>552</v>
      </c>
      <c r="R191" s="159" t="s">
        <v>808</v>
      </c>
      <c r="S191" s="165">
        <v>1.9332179577838501E-2</v>
      </c>
      <c r="T191" s="166" t="s">
        <v>372</v>
      </c>
      <c r="U191" s="166"/>
      <c r="V191" s="166"/>
      <c r="W191" s="167">
        <f>IF(BetTable[Sport]="","",BetTable[Stake]+BetTable[S2]+BetTable[S3])</f>
        <v>34</v>
      </c>
      <c r="X191" s="164">
        <f>IF(BetTable[Odds]="","",(BetTable[WBA1-Commission])-BetTable[TS])</f>
        <v>23.459999999999994</v>
      </c>
      <c r="Y191" s="168">
        <f>IF(BetTable[Outcome]="","",BetTable[WBA1]+BetTable[WBA2]+BetTable[WBA3]-BetTable[TS])</f>
        <v>23.459999999999994</v>
      </c>
      <c r="Z191" s="164">
        <f>(((BetTable[Odds]-1)*BetTable[Stake])*(1-(BetTable[Comm %]))+BetTable[Stake])</f>
        <v>57.459999999999994</v>
      </c>
      <c r="AA191" s="164">
        <f>(((BetTable[O2]-1)*BetTable[S2])*(1-(BetTable[C% 2]))+BetTable[S2])</f>
        <v>0</v>
      </c>
      <c r="AB191" s="164">
        <f>(((BetTable[O3]-1)*BetTable[S3])*(1-(BetTable[C% 3]))+BetTable[S3])</f>
        <v>0</v>
      </c>
      <c r="AC191" s="165">
        <f>IFERROR(IF(BetTable[Sport]="","",BetTable[R1]/BetTable[TS]),"")</f>
        <v>0.68999999999999984</v>
      </c>
      <c r="AD191" s="165" t="str">
        <f>IF(BetTable[O2]="","",#REF!/BetTable[TS])</f>
        <v/>
      </c>
      <c r="AE191" s="165" t="str">
        <f>IFERROR(IF(BetTable[Sport]="","",#REF!/BetTable[TS]),"")</f>
        <v/>
      </c>
      <c r="AF191" s="164">
        <f>IF(BetTable[Outcome]="Win",BetTable[WBA1-Commission],IF(BetTable[Outcome]="Win Half Stake",(BetTable[Stake]/2)+BetTable[WBA1-Commission]/2,IF(BetTable[Outcome]="Lose Half Stake",BetTable[Stake]/2,IF(BetTable[Outcome]="Lose",0,IF(BetTable[Outcome]="Void",BetTable[Stake],)))))</f>
        <v>57.459999999999994</v>
      </c>
      <c r="AG191" s="164">
        <f>IF(BetTable[Outcome2]="Win",BetTable[WBA2-Commission],IF(BetTable[Outcome2]="Win Half Stake",(BetTable[S2]/2)+BetTable[WBA2-Commission]/2,IF(BetTable[Outcome2]="Lose Half Stake",BetTable[S2]/2,IF(BetTable[Outcome2]="Lose",0,IF(BetTable[Outcome2]="Void",BetTable[S2],)))))</f>
        <v>0</v>
      </c>
      <c r="AH191" s="164">
        <f>IF(BetTable[Outcome3]="Win",BetTable[WBA3-Commission],IF(BetTable[Outcome3]="Win Half Stake",(BetTable[S3]/2)+BetTable[WBA3-Commission]/2,IF(BetTable[Outcome3]="Lose Half Stake",BetTable[S3]/2,IF(BetTable[Outcome3]="Lose",0,IF(BetTable[Outcome3]="Void",BetTable[S3],)))))</f>
        <v>0</v>
      </c>
      <c r="AI191" s="168">
        <f>IF(BetTable[Outcome]="",AI190,BetTable[Result]+AI190)</f>
        <v>425.44125000000025</v>
      </c>
      <c r="AJ191" s="160"/>
    </row>
    <row r="192" spans="1:36" x14ac:dyDescent="0.2">
      <c r="A192" s="159" t="s">
        <v>764</v>
      </c>
      <c r="B192" s="160" t="s">
        <v>9</v>
      </c>
      <c r="C192" s="161" t="s">
        <v>91</v>
      </c>
      <c r="D192" s="161"/>
      <c r="E192" s="161"/>
      <c r="F192" s="162"/>
      <c r="G192" s="162"/>
      <c r="H192" s="162"/>
      <c r="I192" s="160" t="s">
        <v>790</v>
      </c>
      <c r="J192" s="163">
        <v>1.93</v>
      </c>
      <c r="K192" s="163"/>
      <c r="L192" s="163"/>
      <c r="M192" s="164">
        <v>33</v>
      </c>
      <c r="N192" s="164"/>
      <c r="O192" s="164"/>
      <c r="P192" s="159" t="s">
        <v>498</v>
      </c>
      <c r="Q192" s="159" t="s">
        <v>569</v>
      </c>
      <c r="R192" s="159" t="s">
        <v>809</v>
      </c>
      <c r="S192" s="165">
        <v>2.5741652983032201E-2</v>
      </c>
      <c r="T192" s="166" t="s">
        <v>372</v>
      </c>
      <c r="U192" s="166"/>
      <c r="V192" s="166"/>
      <c r="W192" s="167">
        <f>IF(BetTable[Sport]="","",BetTable[Stake]+BetTable[S2]+BetTable[S3])</f>
        <v>33</v>
      </c>
      <c r="X192" s="164">
        <f>IF(BetTable[Odds]="","",(BetTable[WBA1-Commission])-BetTable[TS])</f>
        <v>30.689999999999998</v>
      </c>
      <c r="Y192" s="168">
        <f>IF(BetTable[Outcome]="","",BetTable[WBA1]+BetTable[WBA2]+BetTable[WBA3]-BetTable[TS])</f>
        <v>30.689999999999998</v>
      </c>
      <c r="Z192" s="164">
        <f>(((BetTable[Odds]-1)*BetTable[Stake])*(1-(BetTable[Comm %]))+BetTable[Stake])</f>
        <v>63.69</v>
      </c>
      <c r="AA192" s="164">
        <f>(((BetTable[O2]-1)*BetTable[S2])*(1-(BetTable[C% 2]))+BetTable[S2])</f>
        <v>0</v>
      </c>
      <c r="AB192" s="164">
        <f>(((BetTable[O3]-1)*BetTable[S3])*(1-(BetTable[C% 3]))+BetTable[S3])</f>
        <v>0</v>
      </c>
      <c r="AC192" s="165">
        <f>IFERROR(IF(BetTable[Sport]="","",BetTable[R1]/BetTable[TS]),"")</f>
        <v>0.92999999999999994</v>
      </c>
      <c r="AD192" s="165" t="str">
        <f>IF(BetTable[O2]="","",#REF!/BetTable[TS])</f>
        <v/>
      </c>
      <c r="AE192" s="165" t="str">
        <f>IFERROR(IF(BetTable[Sport]="","",#REF!/BetTable[TS]),"")</f>
        <v/>
      </c>
      <c r="AF192" s="164">
        <f>IF(BetTable[Outcome]="Win",BetTable[WBA1-Commission],IF(BetTable[Outcome]="Win Half Stake",(BetTable[Stake]/2)+BetTable[WBA1-Commission]/2,IF(BetTable[Outcome]="Lose Half Stake",BetTable[Stake]/2,IF(BetTable[Outcome]="Lose",0,IF(BetTable[Outcome]="Void",BetTable[Stake],)))))</f>
        <v>63.69</v>
      </c>
      <c r="AG192" s="164">
        <f>IF(BetTable[Outcome2]="Win",BetTable[WBA2-Commission],IF(BetTable[Outcome2]="Win Half Stake",(BetTable[S2]/2)+BetTable[WBA2-Commission]/2,IF(BetTable[Outcome2]="Lose Half Stake",BetTable[S2]/2,IF(BetTable[Outcome2]="Lose",0,IF(BetTable[Outcome2]="Void",BetTable[S2],)))))</f>
        <v>0</v>
      </c>
      <c r="AH192" s="164">
        <f>IF(BetTable[Outcome3]="Win",BetTable[WBA3-Commission],IF(BetTable[Outcome3]="Win Half Stake",(BetTable[S3]/2)+BetTable[WBA3-Commission]/2,IF(BetTable[Outcome3]="Lose Half Stake",BetTable[S3]/2,IF(BetTable[Outcome3]="Lose",0,IF(BetTable[Outcome3]="Void",BetTable[S3],)))))</f>
        <v>0</v>
      </c>
      <c r="AI192" s="168">
        <f>IF(BetTable[Outcome]="",AI191,BetTable[Result]+AI191)</f>
        <v>456.13125000000025</v>
      </c>
      <c r="AJ192" s="160"/>
    </row>
    <row r="193" spans="1:36" x14ac:dyDescent="0.2">
      <c r="A193" s="159" t="s">
        <v>764</v>
      </c>
      <c r="B193" s="160" t="s">
        <v>200</v>
      </c>
      <c r="C193" s="161" t="s">
        <v>234</v>
      </c>
      <c r="D193" s="161"/>
      <c r="E193" s="161"/>
      <c r="F193" s="162"/>
      <c r="G193" s="162"/>
      <c r="H193" s="162"/>
      <c r="I193" s="160" t="s">
        <v>810</v>
      </c>
      <c r="J193" s="163">
        <v>1.91</v>
      </c>
      <c r="K193" s="163"/>
      <c r="L193" s="163"/>
      <c r="M193" s="164">
        <v>15</v>
      </c>
      <c r="N193" s="164"/>
      <c r="O193" s="164"/>
      <c r="P193" s="159" t="s">
        <v>637</v>
      </c>
      <c r="Q193" s="159" t="s">
        <v>703</v>
      </c>
      <c r="R193" s="159" t="s">
        <v>811</v>
      </c>
      <c r="S193" s="165">
        <v>1.13049858870354E-2</v>
      </c>
      <c r="T193" s="166" t="s">
        <v>383</v>
      </c>
      <c r="U193" s="166"/>
      <c r="V193" s="166"/>
      <c r="W193" s="167">
        <f>IF(BetTable[Sport]="","",BetTable[Stake]+BetTable[S2]+BetTable[S3])</f>
        <v>15</v>
      </c>
      <c r="X193" s="164">
        <f>IF(BetTable[Odds]="","",(BetTable[WBA1-Commission])-BetTable[TS])</f>
        <v>13.649999999999999</v>
      </c>
      <c r="Y193" s="168">
        <f>IF(BetTable[Outcome]="","",BetTable[WBA1]+BetTable[WBA2]+BetTable[WBA3]-BetTable[TS])</f>
        <v>0</v>
      </c>
      <c r="Z193" s="164">
        <f>(((BetTable[Odds]-1)*BetTable[Stake])*(1-(BetTable[Comm %]))+BetTable[Stake])</f>
        <v>28.65</v>
      </c>
      <c r="AA193" s="164">
        <f>(((BetTable[O2]-1)*BetTable[S2])*(1-(BetTable[C% 2]))+BetTable[S2])</f>
        <v>0</v>
      </c>
      <c r="AB193" s="164">
        <f>(((BetTable[O3]-1)*BetTable[S3])*(1-(BetTable[C% 3]))+BetTable[S3])</f>
        <v>0</v>
      </c>
      <c r="AC193" s="165">
        <f>IFERROR(IF(BetTable[Sport]="","",BetTable[R1]/BetTable[TS]),"")</f>
        <v>0.90999999999999992</v>
      </c>
      <c r="AD193" s="165" t="str">
        <f>IF(BetTable[O2]="","",#REF!/BetTable[TS])</f>
        <v/>
      </c>
      <c r="AE193" s="165" t="str">
        <f>IFERROR(IF(BetTable[Sport]="","",#REF!/BetTable[TS]),"")</f>
        <v/>
      </c>
      <c r="AF193" s="164">
        <f>IF(BetTable[Outcome]="Win",BetTable[WBA1-Commission],IF(BetTable[Outcome]="Win Half Stake",(BetTable[Stake]/2)+BetTable[WBA1-Commission]/2,IF(BetTable[Outcome]="Lose Half Stake",BetTable[Stake]/2,IF(BetTable[Outcome]="Lose",0,IF(BetTable[Outcome]="Void",BetTable[Stake],)))))</f>
        <v>15</v>
      </c>
      <c r="AG193" s="164">
        <f>IF(BetTable[Outcome2]="Win",BetTable[WBA2-Commission],IF(BetTable[Outcome2]="Win Half Stake",(BetTable[S2]/2)+BetTable[WBA2-Commission]/2,IF(BetTable[Outcome2]="Lose Half Stake",BetTable[S2]/2,IF(BetTable[Outcome2]="Lose",0,IF(BetTable[Outcome2]="Void",BetTable[S2],)))))</f>
        <v>0</v>
      </c>
      <c r="AH193" s="164">
        <f>IF(BetTable[Outcome3]="Win",BetTable[WBA3-Commission],IF(BetTable[Outcome3]="Win Half Stake",(BetTable[S3]/2)+BetTable[WBA3-Commission]/2,IF(BetTable[Outcome3]="Lose Half Stake",BetTable[S3]/2,IF(BetTable[Outcome3]="Lose",0,IF(BetTable[Outcome3]="Void",BetTable[S3],)))))</f>
        <v>0</v>
      </c>
      <c r="AI193" s="168">
        <f>IF(BetTable[Outcome]="",AI192,BetTable[Result]+AI192)</f>
        <v>456.13125000000025</v>
      </c>
      <c r="AJ193" s="160"/>
    </row>
    <row r="194" spans="1:36" x14ac:dyDescent="0.2">
      <c r="A194" s="159" t="s">
        <v>764</v>
      </c>
      <c r="B194" s="160" t="s">
        <v>200</v>
      </c>
      <c r="C194" s="161" t="s">
        <v>234</v>
      </c>
      <c r="D194" s="161"/>
      <c r="E194" s="161"/>
      <c r="F194" s="162"/>
      <c r="G194" s="162"/>
      <c r="H194" s="162"/>
      <c r="I194" s="160" t="s">
        <v>737</v>
      </c>
      <c r="J194" s="163">
        <v>2.2799999999999998</v>
      </c>
      <c r="K194" s="163"/>
      <c r="L194" s="163"/>
      <c r="M194" s="164">
        <v>9</v>
      </c>
      <c r="N194" s="164"/>
      <c r="O194" s="164"/>
      <c r="P194" s="159" t="s">
        <v>791</v>
      </c>
      <c r="Q194" s="159" t="s">
        <v>581</v>
      </c>
      <c r="R194" s="159" t="s">
        <v>812</v>
      </c>
      <c r="S194" s="165">
        <v>1.01157691652399E-2</v>
      </c>
      <c r="T194" s="166" t="s">
        <v>372</v>
      </c>
      <c r="U194" s="166"/>
      <c r="V194" s="166"/>
      <c r="W194" s="167">
        <f>IF(BetTable[Sport]="","",BetTable[Stake]+BetTable[S2]+BetTable[S3])</f>
        <v>9</v>
      </c>
      <c r="X194" s="164">
        <f>IF(BetTable[Odds]="","",(BetTable[WBA1-Commission])-BetTable[TS])</f>
        <v>11.519999999999996</v>
      </c>
      <c r="Y194" s="168">
        <f>IF(BetTable[Outcome]="","",BetTable[WBA1]+BetTable[WBA2]+BetTable[WBA3]-BetTable[TS])</f>
        <v>11.519999999999996</v>
      </c>
      <c r="Z194" s="164">
        <f>(((BetTable[Odds]-1)*BetTable[Stake])*(1-(BetTable[Comm %]))+BetTable[Stake])</f>
        <v>20.519999999999996</v>
      </c>
      <c r="AA194" s="164">
        <f>(((BetTable[O2]-1)*BetTable[S2])*(1-(BetTable[C% 2]))+BetTable[S2])</f>
        <v>0</v>
      </c>
      <c r="AB194" s="164">
        <f>(((BetTable[O3]-1)*BetTable[S3])*(1-(BetTable[C% 3]))+BetTable[S3])</f>
        <v>0</v>
      </c>
      <c r="AC194" s="165">
        <f>IFERROR(IF(BetTable[Sport]="","",BetTable[R1]/BetTable[TS]),"")</f>
        <v>1.2799999999999996</v>
      </c>
      <c r="AD194" s="165" t="str">
        <f>IF(BetTable[O2]="","",#REF!/BetTable[TS])</f>
        <v/>
      </c>
      <c r="AE194" s="165" t="str">
        <f>IFERROR(IF(BetTable[Sport]="","",#REF!/BetTable[TS]),"")</f>
        <v/>
      </c>
      <c r="AF194" s="164">
        <f>IF(BetTable[Outcome]="Win",BetTable[WBA1-Commission],IF(BetTable[Outcome]="Win Half Stake",(BetTable[Stake]/2)+BetTable[WBA1-Commission]/2,IF(BetTable[Outcome]="Lose Half Stake",BetTable[Stake]/2,IF(BetTable[Outcome]="Lose",0,IF(BetTable[Outcome]="Void",BetTable[Stake],)))))</f>
        <v>20.519999999999996</v>
      </c>
      <c r="AG194" s="164">
        <f>IF(BetTable[Outcome2]="Win",BetTable[WBA2-Commission],IF(BetTable[Outcome2]="Win Half Stake",(BetTable[S2]/2)+BetTable[WBA2-Commission]/2,IF(BetTable[Outcome2]="Lose Half Stake",BetTable[S2]/2,IF(BetTable[Outcome2]="Lose",0,IF(BetTable[Outcome2]="Void",BetTable[S2],)))))</f>
        <v>0</v>
      </c>
      <c r="AH194" s="164">
        <f>IF(BetTable[Outcome3]="Win",BetTable[WBA3-Commission],IF(BetTable[Outcome3]="Win Half Stake",(BetTable[S3]/2)+BetTable[WBA3-Commission]/2,IF(BetTable[Outcome3]="Lose Half Stake",BetTable[S3]/2,IF(BetTable[Outcome3]="Lose",0,IF(BetTable[Outcome3]="Void",BetTable[S3],)))))</f>
        <v>0</v>
      </c>
      <c r="AI194" s="168">
        <f>IF(BetTable[Outcome]="",AI193,BetTable[Result]+AI193)</f>
        <v>467.65125000000023</v>
      </c>
      <c r="AJ194" s="160"/>
    </row>
    <row r="195" spans="1:36" x14ac:dyDescent="0.2">
      <c r="A195" s="159" t="s">
        <v>764</v>
      </c>
      <c r="B195" s="160" t="s">
        <v>200</v>
      </c>
      <c r="C195" s="161" t="s">
        <v>91</v>
      </c>
      <c r="D195" s="161"/>
      <c r="E195" s="161"/>
      <c r="F195" s="162"/>
      <c r="G195" s="162"/>
      <c r="H195" s="162"/>
      <c r="I195" s="160" t="s">
        <v>813</v>
      </c>
      <c r="J195" s="163">
        <v>1.79</v>
      </c>
      <c r="K195" s="163"/>
      <c r="L195" s="163"/>
      <c r="M195" s="164">
        <v>31</v>
      </c>
      <c r="N195" s="164"/>
      <c r="O195" s="164"/>
      <c r="P195" s="159" t="s">
        <v>406</v>
      </c>
      <c r="Q195" s="159" t="s">
        <v>429</v>
      </c>
      <c r="R195" s="159" t="s">
        <v>814</v>
      </c>
      <c r="S195" s="165">
        <v>2.0610285562562301E-2</v>
      </c>
      <c r="T195" s="166" t="s">
        <v>510</v>
      </c>
      <c r="U195" s="166"/>
      <c r="V195" s="166"/>
      <c r="W195" s="167">
        <f>IF(BetTable[Sport]="","",BetTable[Stake]+BetTable[S2]+BetTable[S3])</f>
        <v>31</v>
      </c>
      <c r="X195" s="164">
        <f>IF(BetTable[Odds]="","",(BetTable[WBA1-Commission])-BetTable[TS])</f>
        <v>24.490000000000002</v>
      </c>
      <c r="Y195" s="168">
        <f>IF(BetTable[Outcome]="","",BetTable[WBA1]+BetTable[WBA2]+BetTable[WBA3]-BetTable[TS])</f>
        <v>12.245000000000005</v>
      </c>
      <c r="Z195" s="164">
        <f>(((BetTable[Odds]-1)*BetTable[Stake])*(1-(BetTable[Comm %]))+BetTable[Stake])</f>
        <v>55.49</v>
      </c>
      <c r="AA195" s="164">
        <f>(((BetTable[O2]-1)*BetTable[S2])*(1-(BetTable[C% 2]))+BetTable[S2])</f>
        <v>0</v>
      </c>
      <c r="AB195" s="164">
        <f>(((BetTable[O3]-1)*BetTable[S3])*(1-(BetTable[C% 3]))+BetTable[S3])</f>
        <v>0</v>
      </c>
      <c r="AC195" s="165">
        <f>IFERROR(IF(BetTable[Sport]="","",BetTable[R1]/BetTable[TS]),"")</f>
        <v>0.79</v>
      </c>
      <c r="AD195" s="165" t="str">
        <f>IF(BetTable[O2]="","",#REF!/BetTable[TS])</f>
        <v/>
      </c>
      <c r="AE195" s="165" t="str">
        <f>IFERROR(IF(BetTable[Sport]="","",#REF!/BetTable[TS]),"")</f>
        <v/>
      </c>
      <c r="AF195" s="164">
        <f>IF(BetTable[Outcome]="Win",BetTable[WBA1-Commission],IF(BetTable[Outcome]="Win Half Stake",(BetTable[Stake]/2)+BetTable[WBA1-Commission]/2,IF(BetTable[Outcome]="Lose Half Stake",BetTable[Stake]/2,IF(BetTable[Outcome]="Lose",0,IF(BetTable[Outcome]="Void",BetTable[Stake],)))))</f>
        <v>43.245000000000005</v>
      </c>
      <c r="AG195" s="164">
        <f>IF(BetTable[Outcome2]="Win",BetTable[WBA2-Commission],IF(BetTable[Outcome2]="Win Half Stake",(BetTable[S2]/2)+BetTable[WBA2-Commission]/2,IF(BetTable[Outcome2]="Lose Half Stake",BetTable[S2]/2,IF(BetTable[Outcome2]="Lose",0,IF(BetTable[Outcome2]="Void",BetTable[S2],)))))</f>
        <v>0</v>
      </c>
      <c r="AH195" s="164">
        <f>IF(BetTable[Outcome3]="Win",BetTable[WBA3-Commission],IF(BetTable[Outcome3]="Win Half Stake",(BetTable[S3]/2)+BetTable[WBA3-Commission]/2,IF(BetTable[Outcome3]="Lose Half Stake",BetTable[S3]/2,IF(BetTable[Outcome3]="Lose",0,IF(BetTable[Outcome3]="Void",BetTable[S3],)))))</f>
        <v>0</v>
      </c>
      <c r="AI195" s="168">
        <f>IF(BetTable[Outcome]="",AI194,BetTable[Result]+AI194)</f>
        <v>479.89625000000024</v>
      </c>
      <c r="AJ195" s="160"/>
    </row>
    <row r="196" spans="1:36" x14ac:dyDescent="0.2">
      <c r="A196" s="159" t="s">
        <v>764</v>
      </c>
      <c r="B196" s="160" t="s">
        <v>200</v>
      </c>
      <c r="C196" s="161" t="s">
        <v>234</v>
      </c>
      <c r="D196" s="161"/>
      <c r="E196" s="161"/>
      <c r="F196" s="162"/>
      <c r="G196" s="162"/>
      <c r="H196" s="162"/>
      <c r="I196" s="160" t="s">
        <v>815</v>
      </c>
      <c r="J196" s="163">
        <v>1.7</v>
      </c>
      <c r="K196" s="163"/>
      <c r="L196" s="163"/>
      <c r="M196" s="164">
        <v>39</v>
      </c>
      <c r="N196" s="164"/>
      <c r="O196" s="164"/>
      <c r="P196" s="159" t="s">
        <v>348</v>
      </c>
      <c r="Q196" s="159" t="s">
        <v>485</v>
      </c>
      <c r="R196" s="159" t="s">
        <v>816</v>
      </c>
      <c r="S196" s="165">
        <v>2.2665693148982601E-2</v>
      </c>
      <c r="T196" s="166" t="s">
        <v>383</v>
      </c>
      <c r="U196" s="166"/>
      <c r="V196" s="166"/>
      <c r="W196" s="167">
        <f>IF(BetTable[Sport]="","",BetTable[Stake]+BetTable[S2]+BetTable[S3])</f>
        <v>39</v>
      </c>
      <c r="X196" s="164">
        <f>IF(BetTable[Odds]="","",(BetTable[WBA1-Commission])-BetTable[TS])</f>
        <v>27.299999999999997</v>
      </c>
      <c r="Y196" s="168">
        <f>IF(BetTable[Outcome]="","",BetTable[WBA1]+BetTable[WBA2]+BetTable[WBA3]-BetTable[TS])</f>
        <v>0</v>
      </c>
      <c r="Z196" s="164">
        <f>(((BetTable[Odds]-1)*BetTable[Stake])*(1-(BetTable[Comm %]))+BetTable[Stake])</f>
        <v>66.3</v>
      </c>
      <c r="AA196" s="164">
        <f>(((BetTable[O2]-1)*BetTable[S2])*(1-(BetTable[C% 2]))+BetTable[S2])</f>
        <v>0</v>
      </c>
      <c r="AB196" s="164">
        <f>(((BetTable[O3]-1)*BetTable[S3])*(1-(BetTable[C% 3]))+BetTable[S3])</f>
        <v>0</v>
      </c>
      <c r="AC196" s="165">
        <f>IFERROR(IF(BetTable[Sport]="","",BetTable[R1]/BetTable[TS]),"")</f>
        <v>0.7</v>
      </c>
      <c r="AD196" s="165" t="str">
        <f>IF(BetTable[O2]="","",#REF!/BetTable[TS])</f>
        <v/>
      </c>
      <c r="AE196" s="165" t="str">
        <f>IFERROR(IF(BetTable[Sport]="","",#REF!/BetTable[TS]),"")</f>
        <v/>
      </c>
      <c r="AF196" s="164">
        <f>IF(BetTable[Outcome]="Win",BetTable[WBA1-Commission],IF(BetTable[Outcome]="Win Half Stake",(BetTable[Stake]/2)+BetTable[WBA1-Commission]/2,IF(BetTable[Outcome]="Lose Half Stake",BetTable[Stake]/2,IF(BetTable[Outcome]="Lose",0,IF(BetTable[Outcome]="Void",BetTable[Stake],)))))</f>
        <v>39</v>
      </c>
      <c r="AG196" s="164">
        <f>IF(BetTable[Outcome2]="Win",BetTable[WBA2-Commission],IF(BetTable[Outcome2]="Win Half Stake",(BetTable[S2]/2)+BetTable[WBA2-Commission]/2,IF(BetTable[Outcome2]="Lose Half Stake",BetTable[S2]/2,IF(BetTable[Outcome2]="Lose",0,IF(BetTable[Outcome2]="Void",BetTable[S2],)))))</f>
        <v>0</v>
      </c>
      <c r="AH196" s="164">
        <f>IF(BetTable[Outcome3]="Win",BetTable[WBA3-Commission],IF(BetTable[Outcome3]="Win Half Stake",(BetTable[S3]/2)+BetTable[WBA3-Commission]/2,IF(BetTable[Outcome3]="Lose Half Stake",BetTable[S3]/2,IF(BetTable[Outcome3]="Lose",0,IF(BetTable[Outcome3]="Void",BetTable[S3],)))))</f>
        <v>0</v>
      </c>
      <c r="AI196" s="168">
        <f>IF(BetTable[Outcome]="",AI195,BetTable[Result]+AI195)</f>
        <v>479.89625000000024</v>
      </c>
      <c r="AJ196" s="160"/>
    </row>
    <row r="197" spans="1:36" x14ac:dyDescent="0.2">
      <c r="A197" s="159" t="s">
        <v>764</v>
      </c>
      <c r="B197" s="160" t="s">
        <v>9</v>
      </c>
      <c r="C197" s="161" t="s">
        <v>234</v>
      </c>
      <c r="D197" s="161"/>
      <c r="E197" s="161"/>
      <c r="F197" s="162"/>
      <c r="G197" s="162"/>
      <c r="H197" s="162"/>
      <c r="I197" s="160" t="s">
        <v>817</v>
      </c>
      <c r="J197" s="163">
        <v>1.9</v>
      </c>
      <c r="K197" s="163"/>
      <c r="L197" s="163"/>
      <c r="M197" s="164">
        <v>24</v>
      </c>
      <c r="N197" s="164"/>
      <c r="O197" s="164"/>
      <c r="P197" s="159" t="s">
        <v>428</v>
      </c>
      <c r="Q197" s="159" t="s">
        <v>818</v>
      </c>
      <c r="R197" s="159" t="s">
        <v>819</v>
      </c>
      <c r="S197" s="165">
        <v>1.7753735127602401E-2</v>
      </c>
      <c r="T197" s="166" t="s">
        <v>372</v>
      </c>
      <c r="U197" s="166"/>
      <c r="V197" s="166"/>
      <c r="W197" s="167">
        <f>IF(BetTable[Sport]="","",BetTable[Stake]+BetTable[S2]+BetTable[S3])</f>
        <v>24</v>
      </c>
      <c r="X197" s="164">
        <f>IF(BetTable[Odds]="","",(BetTable[WBA1-Commission])-BetTable[TS])</f>
        <v>21.599999999999994</v>
      </c>
      <c r="Y197" s="168">
        <f>IF(BetTable[Outcome]="","",BetTable[WBA1]+BetTable[WBA2]+BetTable[WBA3]-BetTable[TS])</f>
        <v>21.599999999999994</v>
      </c>
      <c r="Z197" s="164">
        <f>(((BetTable[Odds]-1)*BetTable[Stake])*(1-(BetTable[Comm %]))+BetTable[Stake])</f>
        <v>45.599999999999994</v>
      </c>
      <c r="AA197" s="164">
        <f>(((BetTable[O2]-1)*BetTable[S2])*(1-(BetTable[C% 2]))+BetTable[S2])</f>
        <v>0</v>
      </c>
      <c r="AB197" s="164">
        <f>(((BetTable[O3]-1)*BetTable[S3])*(1-(BetTable[C% 3]))+BetTable[S3])</f>
        <v>0</v>
      </c>
      <c r="AC197" s="165">
        <f>IFERROR(IF(BetTable[Sport]="","",BetTable[R1]/BetTable[TS]),"")</f>
        <v>0.8999999999999998</v>
      </c>
      <c r="AD197" s="165" t="str">
        <f>IF(BetTable[O2]="","",#REF!/BetTable[TS])</f>
        <v/>
      </c>
      <c r="AE197" s="165" t="str">
        <f>IFERROR(IF(BetTable[Sport]="","",#REF!/BetTable[TS]),"")</f>
        <v/>
      </c>
      <c r="AF197" s="164">
        <f>IF(BetTable[Outcome]="Win",BetTable[WBA1-Commission],IF(BetTable[Outcome]="Win Half Stake",(BetTable[Stake]/2)+BetTable[WBA1-Commission]/2,IF(BetTable[Outcome]="Lose Half Stake",BetTable[Stake]/2,IF(BetTable[Outcome]="Lose",0,IF(BetTable[Outcome]="Void",BetTable[Stake],)))))</f>
        <v>45.599999999999994</v>
      </c>
      <c r="AG197" s="164">
        <f>IF(BetTable[Outcome2]="Win",BetTable[WBA2-Commission],IF(BetTable[Outcome2]="Win Half Stake",(BetTable[S2]/2)+BetTable[WBA2-Commission]/2,IF(BetTable[Outcome2]="Lose Half Stake",BetTable[S2]/2,IF(BetTable[Outcome2]="Lose",0,IF(BetTable[Outcome2]="Void",BetTable[S2],)))))</f>
        <v>0</v>
      </c>
      <c r="AH197" s="164">
        <f>IF(BetTable[Outcome3]="Win",BetTable[WBA3-Commission],IF(BetTable[Outcome3]="Win Half Stake",(BetTable[S3]/2)+BetTable[WBA3-Commission]/2,IF(BetTable[Outcome3]="Lose Half Stake",BetTable[S3]/2,IF(BetTable[Outcome3]="Lose",0,IF(BetTable[Outcome3]="Void",BetTable[S3],)))))</f>
        <v>0</v>
      </c>
      <c r="AI197" s="168">
        <f>IF(BetTable[Outcome]="",AI196,BetTable[Result]+AI196)</f>
        <v>501.49625000000026</v>
      </c>
      <c r="AJ197" s="160"/>
    </row>
    <row r="198" spans="1:36" x14ac:dyDescent="0.2">
      <c r="A198" s="159" t="s">
        <v>764</v>
      </c>
      <c r="B198" s="160" t="s">
        <v>9</v>
      </c>
      <c r="C198" s="161" t="s">
        <v>234</v>
      </c>
      <c r="D198" s="161"/>
      <c r="E198" s="161"/>
      <c r="F198" s="162"/>
      <c r="G198" s="162"/>
      <c r="H198" s="162"/>
      <c r="I198" s="160" t="s">
        <v>820</v>
      </c>
      <c r="J198" s="163">
        <v>2.4900000000000002</v>
      </c>
      <c r="K198" s="163"/>
      <c r="L198" s="163"/>
      <c r="M198" s="164">
        <v>16</v>
      </c>
      <c r="N198" s="164"/>
      <c r="O198" s="164"/>
      <c r="P198" s="159" t="s">
        <v>428</v>
      </c>
      <c r="Q198" s="159" t="s">
        <v>530</v>
      </c>
      <c r="R198" s="159" t="s">
        <v>821</v>
      </c>
      <c r="S198" s="165">
        <v>1.9361929159460001E-2</v>
      </c>
      <c r="T198" s="166" t="s">
        <v>382</v>
      </c>
      <c r="U198" s="166"/>
      <c r="V198" s="166"/>
      <c r="W198" s="167">
        <f>IF(BetTable[Sport]="","",BetTable[Stake]+BetTable[S2]+BetTable[S3])</f>
        <v>16</v>
      </c>
      <c r="X198" s="164">
        <f>IF(BetTable[Odds]="","",(BetTable[WBA1-Commission])-BetTable[TS])</f>
        <v>23.840000000000003</v>
      </c>
      <c r="Y198" s="168">
        <f>IF(BetTable[Outcome]="","",BetTable[WBA1]+BetTable[WBA2]+BetTable[WBA3]-BetTable[TS])</f>
        <v>-16</v>
      </c>
      <c r="Z198" s="164">
        <f>(((BetTable[Odds]-1)*BetTable[Stake])*(1-(BetTable[Comm %]))+BetTable[Stake])</f>
        <v>39.840000000000003</v>
      </c>
      <c r="AA198" s="164">
        <f>(((BetTable[O2]-1)*BetTable[S2])*(1-(BetTable[C% 2]))+BetTable[S2])</f>
        <v>0</v>
      </c>
      <c r="AB198" s="164">
        <f>(((BetTable[O3]-1)*BetTable[S3])*(1-(BetTable[C% 3]))+BetTable[S3])</f>
        <v>0</v>
      </c>
      <c r="AC198" s="165">
        <f>IFERROR(IF(BetTable[Sport]="","",BetTable[R1]/BetTable[TS]),"")</f>
        <v>1.4900000000000002</v>
      </c>
      <c r="AD198" s="165" t="str">
        <f>IF(BetTable[O2]="","",#REF!/BetTable[TS])</f>
        <v/>
      </c>
      <c r="AE198" s="165" t="str">
        <f>IFERROR(IF(BetTable[Sport]="","",#REF!/BetTable[TS]),"")</f>
        <v/>
      </c>
      <c r="AF198" s="164">
        <f>IF(BetTable[Outcome]="Win",BetTable[WBA1-Commission],IF(BetTable[Outcome]="Win Half Stake",(BetTable[Stake]/2)+BetTable[WBA1-Commission]/2,IF(BetTable[Outcome]="Lose Half Stake",BetTable[Stake]/2,IF(BetTable[Outcome]="Lose",0,IF(BetTable[Outcome]="Void",BetTable[Stake],)))))</f>
        <v>0</v>
      </c>
      <c r="AG198" s="164">
        <f>IF(BetTable[Outcome2]="Win",BetTable[WBA2-Commission],IF(BetTable[Outcome2]="Win Half Stake",(BetTable[S2]/2)+BetTable[WBA2-Commission]/2,IF(BetTable[Outcome2]="Lose Half Stake",BetTable[S2]/2,IF(BetTable[Outcome2]="Lose",0,IF(BetTable[Outcome2]="Void",BetTable[S2],)))))</f>
        <v>0</v>
      </c>
      <c r="AH198" s="164">
        <f>IF(BetTable[Outcome3]="Win",BetTable[WBA3-Commission],IF(BetTable[Outcome3]="Win Half Stake",(BetTable[S3]/2)+BetTable[WBA3-Commission]/2,IF(BetTable[Outcome3]="Lose Half Stake",BetTable[S3]/2,IF(BetTable[Outcome3]="Lose",0,IF(BetTable[Outcome3]="Void",BetTable[S3],)))))</f>
        <v>0</v>
      </c>
      <c r="AI198" s="168">
        <f>IF(BetTable[Outcome]="",AI197,BetTable[Result]+AI197)</f>
        <v>485.49625000000026</v>
      </c>
      <c r="AJ198" s="160"/>
    </row>
    <row r="199" spans="1:36" x14ac:dyDescent="0.2">
      <c r="A199" s="159" t="s">
        <v>764</v>
      </c>
      <c r="B199" s="160" t="s">
        <v>200</v>
      </c>
      <c r="C199" s="161" t="s">
        <v>91</v>
      </c>
      <c r="D199" s="161"/>
      <c r="E199" s="161"/>
      <c r="F199" s="162"/>
      <c r="G199" s="162"/>
      <c r="H199" s="162"/>
      <c r="I199" s="160" t="s">
        <v>822</v>
      </c>
      <c r="J199" s="163">
        <v>2.04</v>
      </c>
      <c r="K199" s="163"/>
      <c r="L199" s="163"/>
      <c r="M199" s="164">
        <v>31</v>
      </c>
      <c r="N199" s="164"/>
      <c r="O199" s="164"/>
      <c r="P199" s="159" t="s">
        <v>448</v>
      </c>
      <c r="Q199" s="159" t="s">
        <v>703</v>
      </c>
      <c r="R199" s="159" t="s">
        <v>823</v>
      </c>
      <c r="S199" s="165">
        <v>2.69736677546774E-2</v>
      </c>
      <c r="T199" s="166" t="s">
        <v>382</v>
      </c>
      <c r="U199" s="166"/>
      <c r="V199" s="166"/>
      <c r="W199" s="167">
        <f>IF(BetTable[Sport]="","",BetTable[Stake]+BetTable[S2]+BetTable[S3])</f>
        <v>31</v>
      </c>
      <c r="X199" s="164">
        <f>IF(BetTable[Odds]="","",(BetTable[WBA1-Commission])-BetTable[TS])</f>
        <v>32.24</v>
      </c>
      <c r="Y199" s="168">
        <f>IF(BetTable[Outcome]="","",BetTable[WBA1]+BetTable[WBA2]+BetTable[WBA3]-BetTable[TS])</f>
        <v>-31</v>
      </c>
      <c r="Z199" s="164">
        <f>(((BetTable[Odds]-1)*BetTable[Stake])*(1-(BetTable[Comm %]))+BetTable[Stake])</f>
        <v>63.24</v>
      </c>
      <c r="AA199" s="164">
        <f>(((BetTable[O2]-1)*BetTable[S2])*(1-(BetTable[C% 2]))+BetTable[S2])</f>
        <v>0</v>
      </c>
      <c r="AB199" s="164">
        <f>(((BetTable[O3]-1)*BetTable[S3])*(1-(BetTable[C% 3]))+BetTable[S3])</f>
        <v>0</v>
      </c>
      <c r="AC199" s="165">
        <f>IFERROR(IF(BetTable[Sport]="","",BetTable[R1]/BetTable[TS]),"")</f>
        <v>1.04</v>
      </c>
      <c r="AD199" s="165" t="str">
        <f>IF(BetTable[O2]="","",#REF!/BetTable[TS])</f>
        <v/>
      </c>
      <c r="AE199" s="165" t="str">
        <f>IFERROR(IF(BetTable[Sport]="","",#REF!/BetTable[TS]),"")</f>
        <v/>
      </c>
      <c r="AF199" s="164">
        <f>IF(BetTable[Outcome]="Win",BetTable[WBA1-Commission],IF(BetTable[Outcome]="Win Half Stake",(BetTable[Stake]/2)+BetTable[WBA1-Commission]/2,IF(BetTable[Outcome]="Lose Half Stake",BetTable[Stake]/2,IF(BetTable[Outcome]="Lose",0,IF(BetTable[Outcome]="Void",BetTable[Stake],)))))</f>
        <v>0</v>
      </c>
      <c r="AG199" s="164">
        <f>IF(BetTable[Outcome2]="Win",BetTable[WBA2-Commission],IF(BetTable[Outcome2]="Win Half Stake",(BetTable[S2]/2)+BetTable[WBA2-Commission]/2,IF(BetTable[Outcome2]="Lose Half Stake",BetTable[S2]/2,IF(BetTable[Outcome2]="Lose",0,IF(BetTable[Outcome2]="Void",BetTable[S2],)))))</f>
        <v>0</v>
      </c>
      <c r="AH199" s="164">
        <f>IF(BetTable[Outcome3]="Win",BetTable[WBA3-Commission],IF(BetTable[Outcome3]="Win Half Stake",(BetTable[S3]/2)+BetTable[WBA3-Commission]/2,IF(BetTable[Outcome3]="Lose Half Stake",BetTable[S3]/2,IF(BetTable[Outcome3]="Lose",0,IF(BetTable[Outcome3]="Void",BetTable[S3],)))))</f>
        <v>0</v>
      </c>
      <c r="AI199" s="168">
        <f>IF(BetTable[Outcome]="",AI198,BetTable[Result]+AI198)</f>
        <v>454.49625000000026</v>
      </c>
      <c r="AJ199" s="160"/>
    </row>
    <row r="200" spans="1:36" x14ac:dyDescent="0.2">
      <c r="A200" s="159" t="s">
        <v>764</v>
      </c>
      <c r="B200" s="160" t="s">
        <v>200</v>
      </c>
      <c r="C200" s="161" t="s">
        <v>91</v>
      </c>
      <c r="D200" s="161"/>
      <c r="E200" s="161"/>
      <c r="F200" s="162"/>
      <c r="G200" s="162"/>
      <c r="H200" s="162"/>
      <c r="I200" s="160" t="s">
        <v>822</v>
      </c>
      <c r="J200" s="163">
        <v>2.19</v>
      </c>
      <c r="K200" s="163"/>
      <c r="L200" s="163"/>
      <c r="M200" s="164">
        <v>41</v>
      </c>
      <c r="N200" s="164"/>
      <c r="O200" s="164"/>
      <c r="P200" s="159" t="s">
        <v>336</v>
      </c>
      <c r="Q200" s="159" t="s">
        <v>703</v>
      </c>
      <c r="R200" s="159" t="s">
        <v>824</v>
      </c>
      <c r="S200" s="165">
        <v>4.0252453274703399E-2</v>
      </c>
      <c r="T200" s="166" t="s">
        <v>382</v>
      </c>
      <c r="U200" s="166"/>
      <c r="V200" s="166"/>
      <c r="W200" s="167">
        <f>IF(BetTable[Sport]="","",BetTable[Stake]+BetTable[S2]+BetTable[S3])</f>
        <v>41</v>
      </c>
      <c r="X200" s="164">
        <f>IF(BetTable[Odds]="","",(BetTable[WBA1-Commission])-BetTable[TS])</f>
        <v>48.789999999999992</v>
      </c>
      <c r="Y200" s="168">
        <f>IF(BetTable[Outcome]="","",BetTable[WBA1]+BetTable[WBA2]+BetTable[WBA3]-BetTable[TS])</f>
        <v>-41</v>
      </c>
      <c r="Z200" s="164">
        <f>(((BetTable[Odds]-1)*BetTable[Stake])*(1-(BetTable[Comm %]))+BetTable[Stake])</f>
        <v>89.789999999999992</v>
      </c>
      <c r="AA200" s="164">
        <f>(((BetTable[O2]-1)*BetTable[S2])*(1-(BetTable[C% 2]))+BetTable[S2])</f>
        <v>0</v>
      </c>
      <c r="AB200" s="164">
        <f>(((BetTable[O3]-1)*BetTable[S3])*(1-(BetTable[C% 3]))+BetTable[S3])</f>
        <v>0</v>
      </c>
      <c r="AC200" s="165">
        <f>IFERROR(IF(BetTable[Sport]="","",BetTable[R1]/BetTable[TS]),"")</f>
        <v>1.1899999999999997</v>
      </c>
      <c r="AD200" s="165" t="str">
        <f>IF(BetTable[O2]="","",#REF!/BetTable[TS])</f>
        <v/>
      </c>
      <c r="AE200" s="165" t="str">
        <f>IFERROR(IF(BetTable[Sport]="","",#REF!/BetTable[TS]),"")</f>
        <v/>
      </c>
      <c r="AF200" s="164">
        <f>IF(BetTable[Outcome]="Win",BetTable[WBA1-Commission],IF(BetTable[Outcome]="Win Half Stake",(BetTable[Stake]/2)+BetTable[WBA1-Commission]/2,IF(BetTable[Outcome]="Lose Half Stake",BetTable[Stake]/2,IF(BetTable[Outcome]="Lose",0,IF(BetTable[Outcome]="Void",BetTable[Stake],)))))</f>
        <v>0</v>
      </c>
      <c r="AG200" s="164">
        <f>IF(BetTable[Outcome2]="Win",BetTable[WBA2-Commission],IF(BetTable[Outcome2]="Win Half Stake",(BetTable[S2]/2)+BetTable[WBA2-Commission]/2,IF(BetTable[Outcome2]="Lose Half Stake",BetTable[S2]/2,IF(BetTable[Outcome2]="Lose",0,IF(BetTable[Outcome2]="Void",BetTable[S2],)))))</f>
        <v>0</v>
      </c>
      <c r="AH200" s="164">
        <f>IF(BetTable[Outcome3]="Win",BetTable[WBA3-Commission],IF(BetTable[Outcome3]="Win Half Stake",(BetTable[S3]/2)+BetTable[WBA3-Commission]/2,IF(BetTable[Outcome3]="Lose Half Stake",BetTable[S3]/2,IF(BetTable[Outcome3]="Lose",0,IF(BetTable[Outcome3]="Void",BetTable[S3],)))))</f>
        <v>0</v>
      </c>
      <c r="AI200" s="168">
        <f>IF(BetTable[Outcome]="",AI199,BetTable[Result]+AI199)</f>
        <v>413.49625000000026</v>
      </c>
      <c r="AJ200" s="160"/>
    </row>
    <row r="201" spans="1:36" x14ac:dyDescent="0.2">
      <c r="A201" s="159" t="s">
        <v>764</v>
      </c>
      <c r="B201" s="160" t="s">
        <v>200</v>
      </c>
      <c r="C201" s="161" t="s">
        <v>91</v>
      </c>
      <c r="D201" s="161"/>
      <c r="E201" s="161"/>
      <c r="F201" s="162"/>
      <c r="G201" s="162"/>
      <c r="H201" s="162"/>
      <c r="I201" s="160" t="s">
        <v>825</v>
      </c>
      <c r="J201" s="163">
        <v>1.93</v>
      </c>
      <c r="K201" s="163"/>
      <c r="L201" s="163"/>
      <c r="M201" s="164">
        <v>54</v>
      </c>
      <c r="N201" s="164"/>
      <c r="O201" s="164"/>
      <c r="P201" s="159" t="s">
        <v>637</v>
      </c>
      <c r="Q201" s="159" t="s">
        <v>503</v>
      </c>
      <c r="R201" s="159" t="s">
        <v>826</v>
      </c>
      <c r="S201" s="165">
        <v>4.2236954396902997E-2</v>
      </c>
      <c r="T201" s="166" t="s">
        <v>382</v>
      </c>
      <c r="U201" s="166"/>
      <c r="V201" s="166"/>
      <c r="W201" s="167">
        <f>IF(BetTable[Sport]="","",BetTable[Stake]+BetTable[S2]+BetTable[S3])</f>
        <v>54</v>
      </c>
      <c r="X201" s="164">
        <f>IF(BetTable[Odds]="","",(BetTable[WBA1-Commission])-BetTable[TS])</f>
        <v>50.22</v>
      </c>
      <c r="Y201" s="168">
        <f>IF(BetTable[Outcome]="","",BetTable[WBA1]+BetTable[WBA2]+BetTable[WBA3]-BetTable[TS])</f>
        <v>-54</v>
      </c>
      <c r="Z201" s="164">
        <f>(((BetTable[Odds]-1)*BetTable[Stake])*(1-(BetTable[Comm %]))+BetTable[Stake])</f>
        <v>104.22</v>
      </c>
      <c r="AA201" s="164">
        <f>(((BetTable[O2]-1)*BetTable[S2])*(1-(BetTable[C% 2]))+BetTable[S2])</f>
        <v>0</v>
      </c>
      <c r="AB201" s="164">
        <f>(((BetTable[O3]-1)*BetTable[S3])*(1-(BetTable[C% 3]))+BetTable[S3])</f>
        <v>0</v>
      </c>
      <c r="AC201" s="165">
        <f>IFERROR(IF(BetTable[Sport]="","",BetTable[R1]/BetTable[TS]),"")</f>
        <v>0.92999999999999994</v>
      </c>
      <c r="AD201" s="165" t="str">
        <f>IF(BetTable[O2]="","",#REF!/BetTable[TS])</f>
        <v/>
      </c>
      <c r="AE201" s="165" t="str">
        <f>IFERROR(IF(BetTable[Sport]="","",#REF!/BetTable[TS]),"")</f>
        <v/>
      </c>
      <c r="AF201" s="164">
        <f>IF(BetTable[Outcome]="Win",BetTable[WBA1-Commission],IF(BetTable[Outcome]="Win Half Stake",(BetTable[Stake]/2)+BetTable[WBA1-Commission]/2,IF(BetTable[Outcome]="Lose Half Stake",BetTable[Stake]/2,IF(BetTable[Outcome]="Lose",0,IF(BetTable[Outcome]="Void",BetTable[Stake],)))))</f>
        <v>0</v>
      </c>
      <c r="AG201" s="164">
        <f>IF(BetTable[Outcome2]="Win",BetTable[WBA2-Commission],IF(BetTable[Outcome2]="Win Half Stake",(BetTable[S2]/2)+BetTable[WBA2-Commission]/2,IF(BetTable[Outcome2]="Lose Half Stake",BetTable[S2]/2,IF(BetTable[Outcome2]="Lose",0,IF(BetTable[Outcome2]="Void",BetTable[S2],)))))</f>
        <v>0</v>
      </c>
      <c r="AH201" s="164">
        <f>IF(BetTable[Outcome3]="Win",BetTable[WBA3-Commission],IF(BetTable[Outcome3]="Win Half Stake",(BetTable[S3]/2)+BetTable[WBA3-Commission]/2,IF(BetTable[Outcome3]="Lose Half Stake",BetTable[S3]/2,IF(BetTable[Outcome3]="Lose",0,IF(BetTable[Outcome3]="Void",BetTable[S3],)))))</f>
        <v>0</v>
      </c>
      <c r="AI201" s="168">
        <f>IF(BetTable[Outcome]="",AI200,BetTable[Result]+AI200)</f>
        <v>359.49625000000026</v>
      </c>
      <c r="AJ201" s="160"/>
    </row>
    <row r="202" spans="1:36" x14ac:dyDescent="0.2">
      <c r="A202" s="159" t="s">
        <v>764</v>
      </c>
      <c r="B202" s="160" t="s">
        <v>200</v>
      </c>
      <c r="C202" s="161" t="s">
        <v>91</v>
      </c>
      <c r="D202" s="161"/>
      <c r="E202" s="161"/>
      <c r="F202" s="162"/>
      <c r="G202" s="162"/>
      <c r="H202" s="162"/>
      <c r="I202" s="160" t="s">
        <v>827</v>
      </c>
      <c r="J202" s="163">
        <v>1.72</v>
      </c>
      <c r="K202" s="163"/>
      <c r="L202" s="163"/>
      <c r="M202" s="164">
        <v>54</v>
      </c>
      <c r="N202" s="164"/>
      <c r="O202" s="164"/>
      <c r="P202" s="159" t="s">
        <v>348</v>
      </c>
      <c r="Q202" s="159" t="s">
        <v>703</v>
      </c>
      <c r="R202" s="159" t="s">
        <v>828</v>
      </c>
      <c r="S202" s="165">
        <v>3.2381164650308498E-2</v>
      </c>
      <c r="T202" s="166" t="s">
        <v>382</v>
      </c>
      <c r="U202" s="166"/>
      <c r="V202" s="166"/>
      <c r="W202" s="167">
        <f>IF(BetTable[Sport]="","",BetTable[Stake]+BetTable[S2]+BetTable[S3])</f>
        <v>54</v>
      </c>
      <c r="X202" s="164">
        <f>IF(BetTable[Odds]="","",(BetTable[WBA1-Commission])-BetTable[TS])</f>
        <v>38.879999999999995</v>
      </c>
      <c r="Y202" s="168">
        <f>IF(BetTable[Outcome]="","",BetTable[WBA1]+BetTable[WBA2]+BetTable[WBA3]-BetTable[TS])</f>
        <v>-54</v>
      </c>
      <c r="Z202" s="164">
        <f>(((BetTable[Odds]-1)*BetTable[Stake])*(1-(BetTable[Comm %]))+BetTable[Stake])</f>
        <v>92.88</v>
      </c>
      <c r="AA202" s="164">
        <f>(((BetTable[O2]-1)*BetTable[S2])*(1-(BetTable[C% 2]))+BetTable[S2])</f>
        <v>0</v>
      </c>
      <c r="AB202" s="164">
        <f>(((BetTable[O3]-1)*BetTable[S3])*(1-(BetTable[C% 3]))+BetTable[S3])</f>
        <v>0</v>
      </c>
      <c r="AC202" s="165">
        <f>IFERROR(IF(BetTable[Sport]="","",BetTable[R1]/BetTable[TS]),"")</f>
        <v>0.71999999999999986</v>
      </c>
      <c r="AD202" s="165" t="str">
        <f>IF(BetTable[O2]="","",#REF!/BetTable[TS])</f>
        <v/>
      </c>
      <c r="AE202" s="165" t="str">
        <f>IFERROR(IF(BetTable[Sport]="","",#REF!/BetTable[TS]),"")</f>
        <v/>
      </c>
      <c r="AF202" s="164">
        <f>IF(BetTable[Outcome]="Win",BetTable[WBA1-Commission],IF(BetTable[Outcome]="Win Half Stake",(BetTable[Stake]/2)+BetTable[WBA1-Commission]/2,IF(BetTable[Outcome]="Lose Half Stake",BetTable[Stake]/2,IF(BetTable[Outcome]="Lose",0,IF(BetTable[Outcome]="Void",BetTable[Stake],)))))</f>
        <v>0</v>
      </c>
      <c r="AG202" s="164">
        <f>IF(BetTable[Outcome2]="Win",BetTable[WBA2-Commission],IF(BetTable[Outcome2]="Win Half Stake",(BetTable[S2]/2)+BetTable[WBA2-Commission]/2,IF(BetTable[Outcome2]="Lose Half Stake",BetTable[S2]/2,IF(BetTable[Outcome2]="Lose",0,IF(BetTable[Outcome2]="Void",BetTable[S2],)))))</f>
        <v>0</v>
      </c>
      <c r="AH202" s="164">
        <f>IF(BetTable[Outcome3]="Win",BetTable[WBA3-Commission],IF(BetTable[Outcome3]="Win Half Stake",(BetTable[S3]/2)+BetTable[WBA3-Commission]/2,IF(BetTable[Outcome3]="Lose Half Stake",BetTable[S3]/2,IF(BetTable[Outcome3]="Lose",0,IF(BetTable[Outcome3]="Void",BetTable[S3],)))))</f>
        <v>0</v>
      </c>
      <c r="AI202" s="168">
        <f>IF(BetTable[Outcome]="",AI201,BetTable[Result]+AI201)</f>
        <v>305.49625000000026</v>
      </c>
      <c r="AJ202" s="160"/>
    </row>
    <row r="203" spans="1:36" x14ac:dyDescent="0.2">
      <c r="A203" s="159" t="s">
        <v>764</v>
      </c>
      <c r="B203" s="160" t="s">
        <v>200</v>
      </c>
      <c r="C203" s="161" t="s">
        <v>91</v>
      </c>
      <c r="D203" s="161"/>
      <c r="E203" s="161"/>
      <c r="F203" s="162"/>
      <c r="G203" s="162"/>
      <c r="H203" s="162"/>
      <c r="I203" s="160" t="s">
        <v>825</v>
      </c>
      <c r="J203" s="163">
        <v>2.19</v>
      </c>
      <c r="K203" s="163"/>
      <c r="L203" s="163"/>
      <c r="M203" s="164">
        <v>14</v>
      </c>
      <c r="N203" s="164"/>
      <c r="O203" s="164"/>
      <c r="P203" s="159" t="s">
        <v>829</v>
      </c>
      <c r="Q203" s="159" t="s">
        <v>333</v>
      </c>
      <c r="R203" s="159" t="s">
        <v>830</v>
      </c>
      <c r="S203" s="165">
        <v>1.4063470372572299E-2</v>
      </c>
      <c r="T203" s="166" t="s">
        <v>510</v>
      </c>
      <c r="U203" s="166"/>
      <c r="V203" s="166"/>
      <c r="W203" s="167">
        <f>IF(BetTable[Sport]="","",BetTable[Stake]+BetTable[S2]+BetTable[S3])</f>
        <v>14</v>
      </c>
      <c r="X203" s="164">
        <f>IF(BetTable[Odds]="","",(BetTable[WBA1-Commission])-BetTable[TS])</f>
        <v>16.66</v>
      </c>
      <c r="Y203" s="168">
        <f>IF(BetTable[Outcome]="","",BetTable[WBA1]+BetTable[WBA2]+BetTable[WBA3]-BetTable[TS])</f>
        <v>8.3299999999999983</v>
      </c>
      <c r="Z203" s="164">
        <f>(((BetTable[Odds]-1)*BetTable[Stake])*(1-(BetTable[Comm %]))+BetTable[Stake])</f>
        <v>30.66</v>
      </c>
      <c r="AA203" s="164">
        <f>(((BetTable[O2]-1)*BetTable[S2])*(1-(BetTable[C% 2]))+BetTable[S2])</f>
        <v>0</v>
      </c>
      <c r="AB203" s="164">
        <f>(((BetTable[O3]-1)*BetTable[S3])*(1-(BetTable[C% 3]))+BetTable[S3])</f>
        <v>0</v>
      </c>
      <c r="AC203" s="165">
        <f>IFERROR(IF(BetTable[Sport]="","",BetTable[R1]/BetTable[TS]),"")</f>
        <v>1.19</v>
      </c>
      <c r="AD203" s="165" t="str">
        <f>IF(BetTable[O2]="","",#REF!/BetTable[TS])</f>
        <v/>
      </c>
      <c r="AE203" s="165" t="str">
        <f>IFERROR(IF(BetTable[Sport]="","",#REF!/BetTable[TS]),"")</f>
        <v/>
      </c>
      <c r="AF203" s="164">
        <f>IF(BetTable[Outcome]="Win",BetTable[WBA1-Commission],IF(BetTable[Outcome]="Win Half Stake",(BetTable[Stake]/2)+BetTable[WBA1-Commission]/2,IF(BetTable[Outcome]="Lose Half Stake",BetTable[Stake]/2,IF(BetTable[Outcome]="Lose",0,IF(BetTable[Outcome]="Void",BetTable[Stake],)))))</f>
        <v>22.33</v>
      </c>
      <c r="AG203" s="164">
        <f>IF(BetTable[Outcome2]="Win",BetTable[WBA2-Commission],IF(BetTable[Outcome2]="Win Half Stake",(BetTable[S2]/2)+BetTable[WBA2-Commission]/2,IF(BetTable[Outcome2]="Lose Half Stake",BetTable[S2]/2,IF(BetTable[Outcome2]="Lose",0,IF(BetTable[Outcome2]="Void",BetTable[S2],)))))</f>
        <v>0</v>
      </c>
      <c r="AH203" s="164">
        <f>IF(BetTable[Outcome3]="Win",BetTable[WBA3-Commission],IF(BetTable[Outcome3]="Win Half Stake",(BetTable[S3]/2)+BetTable[WBA3-Commission]/2,IF(BetTable[Outcome3]="Lose Half Stake",BetTable[S3]/2,IF(BetTable[Outcome3]="Lose",0,IF(BetTable[Outcome3]="Void",BetTable[S3],)))))</f>
        <v>0</v>
      </c>
      <c r="AI203" s="168">
        <f>IF(BetTable[Outcome]="",AI202,BetTable[Result]+AI202)</f>
        <v>313.82625000000024</v>
      </c>
      <c r="AJ203" s="160"/>
    </row>
    <row r="204" spans="1:36" x14ac:dyDescent="0.2">
      <c r="A204" s="159" t="s">
        <v>764</v>
      </c>
      <c r="B204" s="160" t="s">
        <v>200</v>
      </c>
      <c r="C204" s="161" t="s">
        <v>234</v>
      </c>
      <c r="D204" s="161"/>
      <c r="E204" s="161"/>
      <c r="F204" s="162"/>
      <c r="G204" s="162"/>
      <c r="H204" s="162"/>
      <c r="I204" s="160" t="s">
        <v>831</v>
      </c>
      <c r="J204" s="163">
        <v>1.86</v>
      </c>
      <c r="K204" s="163"/>
      <c r="L204" s="163"/>
      <c r="M204" s="164">
        <v>18</v>
      </c>
      <c r="N204" s="164"/>
      <c r="O204" s="164"/>
      <c r="P204" s="159" t="s">
        <v>409</v>
      </c>
      <c r="Q204" s="159" t="s">
        <v>703</v>
      </c>
      <c r="R204" s="159" t="s">
        <v>832</v>
      </c>
      <c r="S204" s="165">
        <v>1.2799235812110199E-2</v>
      </c>
      <c r="T204" s="166" t="s">
        <v>372</v>
      </c>
      <c r="U204" s="166"/>
      <c r="V204" s="166"/>
      <c r="W204" s="167">
        <f>IF(BetTable[Sport]="","",BetTable[Stake]+BetTable[S2]+BetTable[S3])</f>
        <v>18</v>
      </c>
      <c r="X204" s="164">
        <f>IF(BetTable[Odds]="","",(BetTable[WBA1-Commission])-BetTable[TS])</f>
        <v>15.480000000000004</v>
      </c>
      <c r="Y204" s="168">
        <f>IF(BetTable[Outcome]="","",BetTable[WBA1]+BetTable[WBA2]+BetTable[WBA3]-BetTable[TS])</f>
        <v>15.480000000000004</v>
      </c>
      <c r="Z204" s="164">
        <f>(((BetTable[Odds]-1)*BetTable[Stake])*(1-(BetTable[Comm %]))+BetTable[Stake])</f>
        <v>33.480000000000004</v>
      </c>
      <c r="AA204" s="164">
        <f>(((BetTable[O2]-1)*BetTable[S2])*(1-(BetTable[C% 2]))+BetTable[S2])</f>
        <v>0</v>
      </c>
      <c r="AB204" s="164">
        <f>(((BetTable[O3]-1)*BetTable[S3])*(1-(BetTable[C% 3]))+BetTable[S3])</f>
        <v>0</v>
      </c>
      <c r="AC204" s="165">
        <f>IFERROR(IF(BetTable[Sport]="","",BetTable[R1]/BetTable[TS]),"")</f>
        <v>0.86000000000000021</v>
      </c>
      <c r="AD204" s="165" t="str">
        <f>IF(BetTable[O2]="","",#REF!/BetTable[TS])</f>
        <v/>
      </c>
      <c r="AE204" s="165" t="str">
        <f>IFERROR(IF(BetTable[Sport]="","",#REF!/BetTable[TS]),"")</f>
        <v/>
      </c>
      <c r="AF204" s="164">
        <f>IF(BetTable[Outcome]="Win",BetTable[WBA1-Commission],IF(BetTable[Outcome]="Win Half Stake",(BetTable[Stake]/2)+BetTable[WBA1-Commission]/2,IF(BetTable[Outcome]="Lose Half Stake",BetTable[Stake]/2,IF(BetTable[Outcome]="Lose",0,IF(BetTable[Outcome]="Void",BetTable[Stake],)))))</f>
        <v>33.480000000000004</v>
      </c>
      <c r="AG204" s="164">
        <f>IF(BetTable[Outcome2]="Win",BetTable[WBA2-Commission],IF(BetTable[Outcome2]="Win Half Stake",(BetTable[S2]/2)+BetTable[WBA2-Commission]/2,IF(BetTable[Outcome2]="Lose Half Stake",BetTable[S2]/2,IF(BetTable[Outcome2]="Lose",0,IF(BetTable[Outcome2]="Void",BetTable[S2],)))))</f>
        <v>0</v>
      </c>
      <c r="AH204" s="164">
        <f>IF(BetTable[Outcome3]="Win",BetTable[WBA3-Commission],IF(BetTable[Outcome3]="Win Half Stake",(BetTable[S3]/2)+BetTable[WBA3-Commission]/2,IF(BetTable[Outcome3]="Lose Half Stake",BetTable[S3]/2,IF(BetTable[Outcome3]="Lose",0,IF(BetTable[Outcome3]="Void",BetTable[S3],)))))</f>
        <v>0</v>
      </c>
      <c r="AI204" s="168">
        <f>IF(BetTable[Outcome]="",AI203,BetTable[Result]+AI203)</f>
        <v>329.30625000000026</v>
      </c>
      <c r="AJ204" s="160"/>
    </row>
    <row r="205" spans="1:36" x14ac:dyDescent="0.2">
      <c r="A205" s="159" t="s">
        <v>764</v>
      </c>
      <c r="B205" s="160" t="s">
        <v>200</v>
      </c>
      <c r="C205" s="161" t="s">
        <v>234</v>
      </c>
      <c r="D205" s="161"/>
      <c r="E205" s="161"/>
      <c r="F205" s="162"/>
      <c r="G205" s="162"/>
      <c r="H205" s="162"/>
      <c r="I205" s="160" t="s">
        <v>833</v>
      </c>
      <c r="J205" s="163">
        <v>2.12</v>
      </c>
      <c r="K205" s="163"/>
      <c r="L205" s="163"/>
      <c r="M205" s="164">
        <v>9</v>
      </c>
      <c r="N205" s="164"/>
      <c r="O205" s="164"/>
      <c r="P205" s="159" t="s">
        <v>360</v>
      </c>
      <c r="Q205" s="159" t="s">
        <v>581</v>
      </c>
      <c r="R205" s="159" t="s">
        <v>834</v>
      </c>
      <c r="S205" s="165">
        <v>7.9734768127709098E-3</v>
      </c>
      <c r="T205" s="166" t="s">
        <v>372</v>
      </c>
      <c r="U205" s="166"/>
      <c r="V205" s="166"/>
      <c r="W205" s="167">
        <f>IF(BetTable[Sport]="","",BetTable[Stake]+BetTable[S2]+BetTable[S3])</f>
        <v>9</v>
      </c>
      <c r="X205" s="164">
        <f>IF(BetTable[Odds]="","",(BetTable[WBA1-Commission])-BetTable[TS])</f>
        <v>10.080000000000002</v>
      </c>
      <c r="Y205" s="168">
        <f>IF(BetTable[Outcome]="","",BetTable[WBA1]+BetTable[WBA2]+BetTable[WBA3]-BetTable[TS])</f>
        <v>10.080000000000002</v>
      </c>
      <c r="Z205" s="164">
        <f>(((BetTable[Odds]-1)*BetTable[Stake])*(1-(BetTable[Comm %]))+BetTable[Stake])</f>
        <v>19.080000000000002</v>
      </c>
      <c r="AA205" s="164">
        <f>(((BetTable[O2]-1)*BetTable[S2])*(1-(BetTable[C% 2]))+BetTable[S2])</f>
        <v>0</v>
      </c>
      <c r="AB205" s="164">
        <f>(((BetTable[O3]-1)*BetTable[S3])*(1-(BetTable[C% 3]))+BetTable[S3])</f>
        <v>0</v>
      </c>
      <c r="AC205" s="165">
        <f>IFERROR(IF(BetTable[Sport]="","",BetTable[R1]/BetTable[TS]),"")</f>
        <v>1.1200000000000001</v>
      </c>
      <c r="AD205" s="165" t="str">
        <f>IF(BetTable[O2]="","",#REF!/BetTable[TS])</f>
        <v/>
      </c>
      <c r="AE205" s="165" t="str">
        <f>IFERROR(IF(BetTable[Sport]="","",#REF!/BetTable[TS]),"")</f>
        <v/>
      </c>
      <c r="AF205" s="164">
        <f>IF(BetTable[Outcome]="Win",BetTable[WBA1-Commission],IF(BetTable[Outcome]="Win Half Stake",(BetTable[Stake]/2)+BetTable[WBA1-Commission]/2,IF(BetTable[Outcome]="Lose Half Stake",BetTable[Stake]/2,IF(BetTable[Outcome]="Lose",0,IF(BetTable[Outcome]="Void",BetTable[Stake],)))))</f>
        <v>19.080000000000002</v>
      </c>
      <c r="AG205" s="164">
        <f>IF(BetTable[Outcome2]="Win",BetTable[WBA2-Commission],IF(BetTable[Outcome2]="Win Half Stake",(BetTable[S2]/2)+BetTable[WBA2-Commission]/2,IF(BetTable[Outcome2]="Lose Half Stake",BetTable[S2]/2,IF(BetTable[Outcome2]="Lose",0,IF(BetTable[Outcome2]="Void",BetTable[S2],)))))</f>
        <v>0</v>
      </c>
      <c r="AH205" s="164">
        <f>IF(BetTable[Outcome3]="Win",BetTable[WBA3-Commission],IF(BetTable[Outcome3]="Win Half Stake",(BetTable[S3]/2)+BetTable[WBA3-Commission]/2,IF(BetTable[Outcome3]="Lose Half Stake",BetTable[S3]/2,IF(BetTable[Outcome3]="Lose",0,IF(BetTable[Outcome3]="Void",BetTable[S3],)))))</f>
        <v>0</v>
      </c>
      <c r="AI205" s="168">
        <f>IF(BetTable[Outcome]="",AI204,BetTable[Result]+AI204)</f>
        <v>339.38625000000025</v>
      </c>
      <c r="AJ205" s="160"/>
    </row>
    <row r="206" spans="1:36" x14ac:dyDescent="0.2">
      <c r="A206" s="159" t="s">
        <v>764</v>
      </c>
      <c r="B206" s="160" t="s">
        <v>200</v>
      </c>
      <c r="C206" s="161" t="s">
        <v>91</v>
      </c>
      <c r="D206" s="161"/>
      <c r="E206" s="161"/>
      <c r="F206" s="162"/>
      <c r="G206" s="162"/>
      <c r="H206" s="162"/>
      <c r="I206" s="160" t="s">
        <v>835</v>
      </c>
      <c r="J206" s="163">
        <v>2.0299999999999998</v>
      </c>
      <c r="K206" s="163"/>
      <c r="L206" s="163"/>
      <c r="M206" s="164">
        <v>33</v>
      </c>
      <c r="N206" s="164"/>
      <c r="O206" s="164"/>
      <c r="P206" s="159" t="s">
        <v>351</v>
      </c>
      <c r="Q206" s="159" t="s">
        <v>836</v>
      </c>
      <c r="R206" s="159" t="s">
        <v>837</v>
      </c>
      <c r="S206" s="165">
        <v>2.8683677715147401E-2</v>
      </c>
      <c r="T206" s="166" t="s">
        <v>372</v>
      </c>
      <c r="U206" s="166"/>
      <c r="V206" s="166"/>
      <c r="W206" s="167">
        <f>IF(BetTable[Sport]="","",BetTable[Stake]+BetTable[S2]+BetTable[S3])</f>
        <v>33</v>
      </c>
      <c r="X206" s="164">
        <f>IF(BetTable[Odds]="","",(BetTable[WBA1-Commission])-BetTable[TS])</f>
        <v>33.989999999999995</v>
      </c>
      <c r="Y206" s="168">
        <f>IF(BetTable[Outcome]="","",BetTable[WBA1]+BetTable[WBA2]+BetTable[WBA3]-BetTable[TS])</f>
        <v>33.989999999999995</v>
      </c>
      <c r="Z206" s="164">
        <f>(((BetTable[Odds]-1)*BetTable[Stake])*(1-(BetTable[Comm %]))+BetTable[Stake])</f>
        <v>66.989999999999995</v>
      </c>
      <c r="AA206" s="164">
        <f>(((BetTable[O2]-1)*BetTable[S2])*(1-(BetTable[C% 2]))+BetTable[S2])</f>
        <v>0</v>
      </c>
      <c r="AB206" s="164">
        <f>(((BetTable[O3]-1)*BetTable[S3])*(1-(BetTable[C% 3]))+BetTable[S3])</f>
        <v>0</v>
      </c>
      <c r="AC206" s="165">
        <f>IFERROR(IF(BetTable[Sport]="","",BetTable[R1]/BetTable[TS]),"")</f>
        <v>1.0299999999999998</v>
      </c>
      <c r="AD206" s="165" t="str">
        <f>IF(BetTable[O2]="","",#REF!/BetTable[TS])</f>
        <v/>
      </c>
      <c r="AE206" s="165" t="str">
        <f>IFERROR(IF(BetTable[Sport]="","",#REF!/BetTable[TS]),"")</f>
        <v/>
      </c>
      <c r="AF206" s="164">
        <f>IF(BetTable[Outcome]="Win",BetTable[WBA1-Commission],IF(BetTable[Outcome]="Win Half Stake",(BetTable[Stake]/2)+BetTable[WBA1-Commission]/2,IF(BetTable[Outcome]="Lose Half Stake",BetTable[Stake]/2,IF(BetTable[Outcome]="Lose",0,IF(BetTable[Outcome]="Void",BetTable[Stake],)))))</f>
        <v>66.989999999999995</v>
      </c>
      <c r="AG206" s="164">
        <f>IF(BetTable[Outcome2]="Win",BetTable[WBA2-Commission],IF(BetTable[Outcome2]="Win Half Stake",(BetTable[S2]/2)+BetTable[WBA2-Commission]/2,IF(BetTable[Outcome2]="Lose Half Stake",BetTable[S2]/2,IF(BetTable[Outcome2]="Lose",0,IF(BetTable[Outcome2]="Void",BetTable[S2],)))))</f>
        <v>0</v>
      </c>
      <c r="AH206" s="164">
        <f>IF(BetTable[Outcome3]="Win",BetTable[WBA3-Commission],IF(BetTable[Outcome3]="Win Half Stake",(BetTable[S3]/2)+BetTable[WBA3-Commission]/2,IF(BetTable[Outcome3]="Lose Half Stake",BetTable[S3]/2,IF(BetTable[Outcome3]="Lose",0,IF(BetTable[Outcome3]="Void",BetTable[S3],)))))</f>
        <v>0</v>
      </c>
      <c r="AI206" s="168">
        <f>IF(BetTable[Outcome]="",AI205,BetTable[Result]+AI205)</f>
        <v>373.37625000000025</v>
      </c>
      <c r="AJ206" s="160"/>
    </row>
    <row r="207" spans="1:36" x14ac:dyDescent="0.2">
      <c r="A207" s="159" t="s">
        <v>764</v>
      </c>
      <c r="B207" s="160" t="s">
        <v>200</v>
      </c>
      <c r="C207" s="161" t="s">
        <v>234</v>
      </c>
      <c r="D207" s="161"/>
      <c r="E207" s="161"/>
      <c r="F207" s="162"/>
      <c r="G207" s="162"/>
      <c r="H207" s="162"/>
      <c r="I207" s="160" t="s">
        <v>838</v>
      </c>
      <c r="J207" s="163">
        <v>1.97</v>
      </c>
      <c r="K207" s="163"/>
      <c r="L207" s="163"/>
      <c r="M207" s="164">
        <v>17</v>
      </c>
      <c r="N207" s="164"/>
      <c r="O207" s="164"/>
      <c r="P207" s="159" t="s">
        <v>357</v>
      </c>
      <c r="Q207" s="159" t="s">
        <v>839</v>
      </c>
      <c r="R207" s="159" t="s">
        <v>840</v>
      </c>
      <c r="S207" s="165">
        <v>1.3383510249098901E-2</v>
      </c>
      <c r="T207" s="166" t="s">
        <v>372</v>
      </c>
      <c r="U207" s="166"/>
      <c r="V207" s="166"/>
      <c r="W207" s="167">
        <f>IF(BetTable[Sport]="","",BetTable[Stake]+BetTable[S2]+BetTable[S3])</f>
        <v>17</v>
      </c>
      <c r="X207" s="164">
        <f>IF(BetTable[Odds]="","",(BetTable[WBA1-Commission])-BetTable[TS])</f>
        <v>16.489999999999995</v>
      </c>
      <c r="Y207" s="168">
        <f>IF(BetTable[Outcome]="","",BetTable[WBA1]+BetTable[WBA2]+BetTable[WBA3]-BetTable[TS])</f>
        <v>16.489999999999995</v>
      </c>
      <c r="Z207" s="164">
        <f>(((BetTable[Odds]-1)*BetTable[Stake])*(1-(BetTable[Comm %]))+BetTable[Stake])</f>
        <v>33.489999999999995</v>
      </c>
      <c r="AA207" s="164">
        <f>(((BetTable[O2]-1)*BetTable[S2])*(1-(BetTable[C% 2]))+BetTable[S2])</f>
        <v>0</v>
      </c>
      <c r="AB207" s="164">
        <f>(((BetTable[O3]-1)*BetTable[S3])*(1-(BetTable[C% 3]))+BetTable[S3])</f>
        <v>0</v>
      </c>
      <c r="AC207" s="165">
        <f>IFERROR(IF(BetTable[Sport]="","",BetTable[R1]/BetTable[TS]),"")</f>
        <v>0.96999999999999975</v>
      </c>
      <c r="AD207" s="165" t="str">
        <f>IF(BetTable[O2]="","",#REF!/BetTable[TS])</f>
        <v/>
      </c>
      <c r="AE207" s="165" t="str">
        <f>IFERROR(IF(BetTable[Sport]="","",#REF!/BetTable[TS]),"")</f>
        <v/>
      </c>
      <c r="AF207" s="164">
        <f>IF(BetTable[Outcome]="Win",BetTable[WBA1-Commission],IF(BetTable[Outcome]="Win Half Stake",(BetTable[Stake]/2)+BetTable[WBA1-Commission]/2,IF(BetTable[Outcome]="Lose Half Stake",BetTable[Stake]/2,IF(BetTable[Outcome]="Lose",0,IF(BetTable[Outcome]="Void",BetTable[Stake],)))))</f>
        <v>33.489999999999995</v>
      </c>
      <c r="AG207" s="164">
        <f>IF(BetTable[Outcome2]="Win",BetTable[WBA2-Commission],IF(BetTable[Outcome2]="Win Half Stake",(BetTable[S2]/2)+BetTable[WBA2-Commission]/2,IF(BetTable[Outcome2]="Lose Half Stake",BetTable[S2]/2,IF(BetTable[Outcome2]="Lose",0,IF(BetTable[Outcome2]="Void",BetTable[S2],)))))</f>
        <v>0</v>
      </c>
      <c r="AH207" s="164">
        <f>IF(BetTable[Outcome3]="Win",BetTable[WBA3-Commission],IF(BetTable[Outcome3]="Win Half Stake",(BetTable[S3]/2)+BetTable[WBA3-Commission]/2,IF(BetTable[Outcome3]="Lose Half Stake",BetTable[S3]/2,IF(BetTable[Outcome3]="Lose",0,IF(BetTable[Outcome3]="Void",BetTable[S3],)))))</f>
        <v>0</v>
      </c>
      <c r="AI207" s="168">
        <f>IF(BetTable[Outcome]="",AI206,BetTable[Result]+AI206)</f>
        <v>389.86625000000026</v>
      </c>
      <c r="AJ207" s="160"/>
    </row>
    <row r="208" spans="1:36" x14ac:dyDescent="0.2">
      <c r="A208" s="159" t="s">
        <v>764</v>
      </c>
      <c r="B208" s="160" t="s">
        <v>200</v>
      </c>
      <c r="C208" s="161" t="s">
        <v>234</v>
      </c>
      <c r="D208" s="161"/>
      <c r="E208" s="161"/>
      <c r="F208" s="162"/>
      <c r="G208" s="162"/>
      <c r="H208" s="162"/>
      <c r="I208" s="160" t="s">
        <v>841</v>
      </c>
      <c r="J208" s="163">
        <v>5</v>
      </c>
      <c r="K208" s="163"/>
      <c r="L208" s="163"/>
      <c r="M208" s="164">
        <v>7</v>
      </c>
      <c r="N208" s="164"/>
      <c r="O208" s="164"/>
      <c r="P208" s="159" t="s">
        <v>442</v>
      </c>
      <c r="Q208" s="159" t="s">
        <v>703</v>
      </c>
      <c r="R208" s="159" t="s">
        <v>842</v>
      </c>
      <c r="S208" s="165">
        <v>2.33832913077473E-2</v>
      </c>
      <c r="T208" s="166" t="s">
        <v>382</v>
      </c>
      <c r="U208" s="166"/>
      <c r="V208" s="166"/>
      <c r="W208" s="167">
        <f>IF(BetTable[Sport]="","",BetTable[Stake]+BetTable[S2]+BetTable[S3])</f>
        <v>7</v>
      </c>
      <c r="X208" s="164">
        <f>IF(BetTable[Odds]="","",(BetTable[WBA1-Commission])-BetTable[TS])</f>
        <v>28</v>
      </c>
      <c r="Y208" s="168">
        <f>IF(BetTable[Outcome]="","",BetTable[WBA1]+BetTable[WBA2]+BetTable[WBA3]-BetTable[TS])</f>
        <v>-7</v>
      </c>
      <c r="Z208" s="164">
        <f>(((BetTable[Odds]-1)*BetTable[Stake])*(1-(BetTable[Comm %]))+BetTable[Stake])</f>
        <v>35</v>
      </c>
      <c r="AA208" s="164">
        <f>(((BetTable[O2]-1)*BetTable[S2])*(1-(BetTable[C% 2]))+BetTable[S2])</f>
        <v>0</v>
      </c>
      <c r="AB208" s="164">
        <f>(((BetTable[O3]-1)*BetTable[S3])*(1-(BetTable[C% 3]))+BetTable[S3])</f>
        <v>0</v>
      </c>
      <c r="AC208" s="165">
        <f>IFERROR(IF(BetTable[Sport]="","",BetTable[R1]/BetTable[TS]),"")</f>
        <v>4</v>
      </c>
      <c r="AD208" s="165" t="str">
        <f>IF(BetTable[O2]="","",#REF!/BetTable[TS])</f>
        <v/>
      </c>
      <c r="AE208" s="165" t="str">
        <f>IFERROR(IF(BetTable[Sport]="","",#REF!/BetTable[TS]),"")</f>
        <v/>
      </c>
      <c r="AF208" s="164">
        <f>IF(BetTable[Outcome]="Win",BetTable[WBA1-Commission],IF(BetTable[Outcome]="Win Half Stake",(BetTable[Stake]/2)+BetTable[WBA1-Commission]/2,IF(BetTable[Outcome]="Lose Half Stake",BetTable[Stake]/2,IF(BetTable[Outcome]="Lose",0,IF(BetTable[Outcome]="Void",BetTable[Stake],)))))</f>
        <v>0</v>
      </c>
      <c r="AG208" s="164">
        <f>IF(BetTable[Outcome2]="Win",BetTable[WBA2-Commission],IF(BetTable[Outcome2]="Win Half Stake",(BetTable[S2]/2)+BetTable[WBA2-Commission]/2,IF(BetTable[Outcome2]="Lose Half Stake",BetTable[S2]/2,IF(BetTable[Outcome2]="Lose",0,IF(BetTable[Outcome2]="Void",BetTable[S2],)))))</f>
        <v>0</v>
      </c>
      <c r="AH208" s="164">
        <f>IF(BetTable[Outcome3]="Win",BetTable[WBA3-Commission],IF(BetTable[Outcome3]="Win Half Stake",(BetTable[S3]/2)+BetTable[WBA3-Commission]/2,IF(BetTable[Outcome3]="Lose Half Stake",BetTable[S3]/2,IF(BetTable[Outcome3]="Lose",0,IF(BetTable[Outcome3]="Void",BetTable[S3],)))))</f>
        <v>0</v>
      </c>
      <c r="AI208" s="168">
        <f>IF(BetTable[Outcome]="",AI207,BetTable[Result]+AI207)</f>
        <v>382.86625000000026</v>
      </c>
      <c r="AJ208" s="160"/>
    </row>
    <row r="209" spans="1:36" x14ac:dyDescent="0.2">
      <c r="A209" s="159" t="s">
        <v>764</v>
      </c>
      <c r="B209" s="160" t="s">
        <v>200</v>
      </c>
      <c r="C209" s="161" t="s">
        <v>91</v>
      </c>
      <c r="D209" s="161"/>
      <c r="E209" s="161"/>
      <c r="F209" s="162"/>
      <c r="G209" s="162"/>
      <c r="H209" s="162"/>
      <c r="I209" s="160" t="s">
        <v>843</v>
      </c>
      <c r="J209" s="163">
        <v>1.78</v>
      </c>
      <c r="K209" s="163"/>
      <c r="L209" s="163"/>
      <c r="M209" s="164">
        <v>23</v>
      </c>
      <c r="N209" s="164"/>
      <c r="O209" s="164"/>
      <c r="P209" s="159" t="s">
        <v>665</v>
      </c>
      <c r="Q209" s="159" t="s">
        <v>547</v>
      </c>
      <c r="R209" s="159" t="s">
        <v>844</v>
      </c>
      <c r="S209" s="165">
        <v>1.4908552123665399E-2</v>
      </c>
      <c r="T209" s="166" t="s">
        <v>383</v>
      </c>
      <c r="U209" s="166"/>
      <c r="V209" s="166"/>
      <c r="W209" s="167">
        <f>IF(BetTable[Sport]="","",BetTable[Stake]+BetTable[S2]+BetTable[S3])</f>
        <v>23</v>
      </c>
      <c r="X209" s="164">
        <f>IF(BetTable[Odds]="","",(BetTable[WBA1-Commission])-BetTable[TS])</f>
        <v>17.939999999999998</v>
      </c>
      <c r="Y209" s="168">
        <f>IF(BetTable[Outcome]="","",BetTable[WBA1]+BetTable[WBA2]+BetTable[WBA3]-BetTable[TS])</f>
        <v>0</v>
      </c>
      <c r="Z209" s="164">
        <f>(((BetTable[Odds]-1)*BetTable[Stake])*(1-(BetTable[Comm %]))+BetTable[Stake])</f>
        <v>40.94</v>
      </c>
      <c r="AA209" s="164">
        <f>(((BetTable[O2]-1)*BetTable[S2])*(1-(BetTable[C% 2]))+BetTable[S2])</f>
        <v>0</v>
      </c>
      <c r="AB209" s="164">
        <f>(((BetTable[O3]-1)*BetTable[S3])*(1-(BetTable[C% 3]))+BetTable[S3])</f>
        <v>0</v>
      </c>
      <c r="AC209" s="165">
        <f>IFERROR(IF(BetTable[Sport]="","",BetTable[R1]/BetTable[TS]),"")</f>
        <v>0.77999999999999992</v>
      </c>
      <c r="AD209" s="165" t="str">
        <f>IF(BetTable[O2]="","",#REF!/BetTable[TS])</f>
        <v/>
      </c>
      <c r="AE209" s="165" t="str">
        <f>IFERROR(IF(BetTable[Sport]="","",#REF!/BetTable[TS]),"")</f>
        <v/>
      </c>
      <c r="AF209" s="164">
        <f>IF(BetTable[Outcome]="Win",BetTable[WBA1-Commission],IF(BetTable[Outcome]="Win Half Stake",(BetTable[Stake]/2)+BetTable[WBA1-Commission]/2,IF(BetTable[Outcome]="Lose Half Stake",BetTable[Stake]/2,IF(BetTable[Outcome]="Lose",0,IF(BetTable[Outcome]="Void",BetTable[Stake],)))))</f>
        <v>23</v>
      </c>
      <c r="AG209" s="164">
        <f>IF(BetTable[Outcome2]="Win",BetTable[WBA2-Commission],IF(BetTable[Outcome2]="Win Half Stake",(BetTable[S2]/2)+BetTable[WBA2-Commission]/2,IF(BetTable[Outcome2]="Lose Half Stake",BetTable[S2]/2,IF(BetTable[Outcome2]="Lose",0,IF(BetTable[Outcome2]="Void",BetTable[S2],)))))</f>
        <v>0</v>
      </c>
      <c r="AH209" s="164">
        <f>IF(BetTable[Outcome3]="Win",BetTable[WBA3-Commission],IF(BetTable[Outcome3]="Win Half Stake",(BetTable[S3]/2)+BetTable[WBA3-Commission]/2,IF(BetTable[Outcome3]="Lose Half Stake",BetTable[S3]/2,IF(BetTable[Outcome3]="Lose",0,IF(BetTable[Outcome3]="Void",BetTable[S3],)))))</f>
        <v>0</v>
      </c>
      <c r="AI209" s="168">
        <f>IF(BetTable[Outcome]="",AI208,BetTable[Result]+AI208)</f>
        <v>382.86625000000026</v>
      </c>
      <c r="AJ209" s="160"/>
    </row>
    <row r="210" spans="1:36" x14ac:dyDescent="0.2">
      <c r="A210" s="159" t="s">
        <v>764</v>
      </c>
      <c r="B210" s="160" t="s">
        <v>7</v>
      </c>
      <c r="C210" s="161" t="s">
        <v>216</v>
      </c>
      <c r="D210" s="161"/>
      <c r="E210" s="161"/>
      <c r="F210" s="162"/>
      <c r="G210" s="162"/>
      <c r="H210" s="162"/>
      <c r="I210" s="160" t="s">
        <v>845</v>
      </c>
      <c r="J210" s="163">
        <v>1.909</v>
      </c>
      <c r="K210" s="163"/>
      <c r="L210" s="163"/>
      <c r="M210" s="164">
        <v>37</v>
      </c>
      <c r="N210" s="164"/>
      <c r="O210" s="164"/>
      <c r="P210" s="159" t="s">
        <v>846</v>
      </c>
      <c r="Q210" s="159" t="s">
        <v>443</v>
      </c>
      <c r="R210" s="159" t="s">
        <v>847</v>
      </c>
      <c r="S210" s="165">
        <v>2.7760871954265999E-2</v>
      </c>
      <c r="T210" s="166" t="s">
        <v>382</v>
      </c>
      <c r="U210" s="166"/>
      <c r="V210" s="166"/>
      <c r="W210" s="167">
        <f>IF(BetTable[Sport]="","",BetTable[Stake]+BetTable[S2]+BetTable[S3])</f>
        <v>37</v>
      </c>
      <c r="X210" s="164">
        <f>IF(BetTable[Odds]="","",(BetTable[WBA1-Commission])-BetTable[TS])</f>
        <v>33.63300000000001</v>
      </c>
      <c r="Y210" s="168">
        <f>IF(BetTable[Outcome]="","",BetTable[WBA1]+BetTable[WBA2]+BetTable[WBA3]-BetTable[TS])</f>
        <v>-37</v>
      </c>
      <c r="Z210" s="164">
        <f>(((BetTable[Odds]-1)*BetTable[Stake])*(1-(BetTable[Comm %]))+BetTable[Stake])</f>
        <v>70.63300000000001</v>
      </c>
      <c r="AA210" s="164">
        <f>(((BetTable[O2]-1)*BetTable[S2])*(1-(BetTable[C% 2]))+BetTable[S2])</f>
        <v>0</v>
      </c>
      <c r="AB210" s="164">
        <f>(((BetTable[O3]-1)*BetTable[S3])*(1-(BetTable[C% 3]))+BetTable[S3])</f>
        <v>0</v>
      </c>
      <c r="AC210" s="165">
        <f>IFERROR(IF(BetTable[Sport]="","",BetTable[R1]/BetTable[TS]),"")</f>
        <v>0.90900000000000025</v>
      </c>
      <c r="AD210" s="165" t="str">
        <f>IF(BetTable[O2]="","",#REF!/BetTable[TS])</f>
        <v/>
      </c>
      <c r="AE210" s="165" t="str">
        <f>IFERROR(IF(BetTable[Sport]="","",#REF!/BetTable[TS]),"")</f>
        <v/>
      </c>
      <c r="AF210" s="164">
        <f>IF(BetTable[Outcome]="Win",BetTable[WBA1-Commission],IF(BetTable[Outcome]="Win Half Stake",(BetTable[Stake]/2)+BetTable[WBA1-Commission]/2,IF(BetTable[Outcome]="Lose Half Stake",BetTable[Stake]/2,IF(BetTable[Outcome]="Lose",0,IF(BetTable[Outcome]="Void",BetTable[Stake],)))))</f>
        <v>0</v>
      </c>
      <c r="AG210" s="164">
        <f>IF(BetTable[Outcome2]="Win",BetTable[WBA2-Commission],IF(BetTable[Outcome2]="Win Half Stake",(BetTable[S2]/2)+BetTable[WBA2-Commission]/2,IF(BetTable[Outcome2]="Lose Half Stake",BetTable[S2]/2,IF(BetTable[Outcome2]="Lose",0,IF(BetTable[Outcome2]="Void",BetTable[S2],)))))</f>
        <v>0</v>
      </c>
      <c r="AH210" s="164">
        <f>IF(BetTable[Outcome3]="Win",BetTable[WBA3-Commission],IF(BetTable[Outcome3]="Win Half Stake",(BetTable[S3]/2)+BetTable[WBA3-Commission]/2,IF(BetTable[Outcome3]="Lose Half Stake",BetTable[S3]/2,IF(BetTable[Outcome3]="Lose",0,IF(BetTable[Outcome3]="Void",BetTable[S3],)))))</f>
        <v>0</v>
      </c>
      <c r="AI210" s="168">
        <f>IF(BetTable[Outcome]="",AI209,BetTable[Result]+AI209)</f>
        <v>345.86625000000026</v>
      </c>
      <c r="AJ210" s="160"/>
    </row>
    <row r="211" spans="1:36" x14ac:dyDescent="0.2">
      <c r="A211" s="159" t="s">
        <v>764</v>
      </c>
      <c r="B211" s="160" t="s">
        <v>200</v>
      </c>
      <c r="C211" s="161" t="s">
        <v>234</v>
      </c>
      <c r="D211" s="161"/>
      <c r="E211" s="161"/>
      <c r="F211" s="162"/>
      <c r="G211" s="162"/>
      <c r="H211" s="162"/>
      <c r="I211" s="160" t="s">
        <v>825</v>
      </c>
      <c r="J211" s="163">
        <v>2.13</v>
      </c>
      <c r="K211" s="163"/>
      <c r="L211" s="163"/>
      <c r="M211" s="164">
        <v>26</v>
      </c>
      <c r="N211" s="164"/>
      <c r="O211" s="164"/>
      <c r="P211" s="159" t="s">
        <v>848</v>
      </c>
      <c r="Q211" s="159" t="s">
        <v>503</v>
      </c>
      <c r="R211" s="159" t="s">
        <v>849</v>
      </c>
      <c r="S211" s="165">
        <v>2.44603491689349E-2</v>
      </c>
      <c r="T211" s="166" t="s">
        <v>510</v>
      </c>
      <c r="U211" s="166"/>
      <c r="V211" s="166"/>
      <c r="W211" s="167">
        <f>IF(BetTable[Sport]="","",BetTable[Stake]+BetTable[S2]+BetTable[S3])</f>
        <v>26</v>
      </c>
      <c r="X211" s="164">
        <f>IF(BetTable[Odds]="","",(BetTable[WBA1-Commission])-BetTable[TS])</f>
        <v>29.379999999999995</v>
      </c>
      <c r="Y211" s="168">
        <f>IF(BetTable[Outcome]="","",BetTable[WBA1]+BetTable[WBA2]+BetTable[WBA3]-BetTable[TS])</f>
        <v>14.689999999999998</v>
      </c>
      <c r="Z211" s="164">
        <f>(((BetTable[Odds]-1)*BetTable[Stake])*(1-(BetTable[Comm %]))+BetTable[Stake])</f>
        <v>55.379999999999995</v>
      </c>
      <c r="AA211" s="164">
        <f>(((BetTable[O2]-1)*BetTable[S2])*(1-(BetTable[C% 2]))+BetTable[S2])</f>
        <v>0</v>
      </c>
      <c r="AB211" s="164">
        <f>(((BetTable[O3]-1)*BetTable[S3])*(1-(BetTable[C% 3]))+BetTable[S3])</f>
        <v>0</v>
      </c>
      <c r="AC211" s="165">
        <f>IFERROR(IF(BetTable[Sport]="","",BetTable[R1]/BetTable[TS]),"")</f>
        <v>1.1299999999999999</v>
      </c>
      <c r="AD211" s="165" t="str">
        <f>IF(BetTable[O2]="","",#REF!/BetTable[TS])</f>
        <v/>
      </c>
      <c r="AE211" s="165" t="str">
        <f>IFERROR(IF(BetTable[Sport]="","",#REF!/BetTable[TS]),"")</f>
        <v/>
      </c>
      <c r="AF211" s="164">
        <f>IF(BetTable[Outcome]="Win",BetTable[WBA1-Commission],IF(BetTable[Outcome]="Win Half Stake",(BetTable[Stake]/2)+BetTable[WBA1-Commission]/2,IF(BetTable[Outcome]="Lose Half Stake",BetTable[Stake]/2,IF(BetTable[Outcome]="Lose",0,IF(BetTable[Outcome]="Void",BetTable[Stake],)))))</f>
        <v>40.69</v>
      </c>
      <c r="AG211" s="164">
        <f>IF(BetTable[Outcome2]="Win",BetTable[WBA2-Commission],IF(BetTable[Outcome2]="Win Half Stake",(BetTable[S2]/2)+BetTable[WBA2-Commission]/2,IF(BetTable[Outcome2]="Lose Half Stake",BetTable[S2]/2,IF(BetTable[Outcome2]="Lose",0,IF(BetTable[Outcome2]="Void",BetTable[S2],)))))</f>
        <v>0</v>
      </c>
      <c r="AH211" s="164">
        <f>IF(BetTable[Outcome3]="Win",BetTable[WBA3-Commission],IF(BetTable[Outcome3]="Win Half Stake",(BetTable[S3]/2)+BetTable[WBA3-Commission]/2,IF(BetTable[Outcome3]="Lose Half Stake",BetTable[S3]/2,IF(BetTable[Outcome3]="Lose",0,IF(BetTable[Outcome3]="Void",BetTable[S3],)))))</f>
        <v>0</v>
      </c>
      <c r="AI211" s="168">
        <f>IF(BetTable[Outcome]="",AI210,BetTable[Result]+AI210)</f>
        <v>360.55625000000026</v>
      </c>
      <c r="AJ211" s="160"/>
    </row>
    <row r="212" spans="1:36" x14ac:dyDescent="0.2">
      <c r="A212" s="159" t="s">
        <v>764</v>
      </c>
      <c r="B212" s="160" t="s">
        <v>200</v>
      </c>
      <c r="C212" s="161" t="s">
        <v>234</v>
      </c>
      <c r="D212" s="161"/>
      <c r="E212" s="161"/>
      <c r="F212" s="162"/>
      <c r="G212" s="162"/>
      <c r="H212" s="162"/>
      <c r="I212" s="160" t="s">
        <v>850</v>
      </c>
      <c r="J212" s="163">
        <v>1.72</v>
      </c>
      <c r="K212" s="163"/>
      <c r="L212" s="163"/>
      <c r="M212" s="164">
        <v>17</v>
      </c>
      <c r="N212" s="164"/>
      <c r="O212" s="164"/>
      <c r="P212" s="159" t="s">
        <v>348</v>
      </c>
      <c r="Q212" s="159" t="s">
        <v>491</v>
      </c>
      <c r="R212" s="159" t="s">
        <v>851</v>
      </c>
      <c r="S212" s="165">
        <v>1.04511357413202E-2</v>
      </c>
      <c r="T212" s="166" t="s">
        <v>372</v>
      </c>
      <c r="U212" s="166"/>
      <c r="V212" s="166"/>
      <c r="W212" s="167">
        <f>IF(BetTable[Sport]="","",BetTable[Stake]+BetTable[S2]+BetTable[S3])</f>
        <v>17</v>
      </c>
      <c r="X212" s="164">
        <f>IF(BetTable[Odds]="","",(BetTable[WBA1-Commission])-BetTable[TS])</f>
        <v>12.240000000000002</v>
      </c>
      <c r="Y212" s="168">
        <f>IF(BetTable[Outcome]="","",BetTable[WBA1]+BetTable[WBA2]+BetTable[WBA3]-BetTable[TS])</f>
        <v>12.240000000000002</v>
      </c>
      <c r="Z212" s="164">
        <f>(((BetTable[Odds]-1)*BetTable[Stake])*(1-(BetTable[Comm %]))+BetTable[Stake])</f>
        <v>29.240000000000002</v>
      </c>
      <c r="AA212" s="164">
        <f>(((BetTable[O2]-1)*BetTable[S2])*(1-(BetTable[C% 2]))+BetTable[S2])</f>
        <v>0</v>
      </c>
      <c r="AB212" s="164">
        <f>(((BetTable[O3]-1)*BetTable[S3])*(1-(BetTable[C% 3]))+BetTable[S3])</f>
        <v>0</v>
      </c>
      <c r="AC212" s="165">
        <f>IFERROR(IF(BetTable[Sport]="","",BetTable[R1]/BetTable[TS]),"")</f>
        <v>0.72000000000000008</v>
      </c>
      <c r="AD212" s="165" t="str">
        <f>IF(BetTable[O2]="","",#REF!/BetTable[TS])</f>
        <v/>
      </c>
      <c r="AE212" s="165" t="str">
        <f>IFERROR(IF(BetTable[Sport]="","",#REF!/BetTable[TS]),"")</f>
        <v/>
      </c>
      <c r="AF212" s="164">
        <f>IF(BetTable[Outcome]="Win",BetTable[WBA1-Commission],IF(BetTable[Outcome]="Win Half Stake",(BetTable[Stake]/2)+BetTable[WBA1-Commission]/2,IF(BetTable[Outcome]="Lose Half Stake",BetTable[Stake]/2,IF(BetTable[Outcome]="Lose",0,IF(BetTable[Outcome]="Void",BetTable[Stake],)))))</f>
        <v>29.240000000000002</v>
      </c>
      <c r="AG212" s="164">
        <f>IF(BetTable[Outcome2]="Win",BetTable[WBA2-Commission],IF(BetTable[Outcome2]="Win Half Stake",(BetTable[S2]/2)+BetTable[WBA2-Commission]/2,IF(BetTable[Outcome2]="Lose Half Stake",BetTable[S2]/2,IF(BetTable[Outcome2]="Lose",0,IF(BetTable[Outcome2]="Void",BetTable[S2],)))))</f>
        <v>0</v>
      </c>
      <c r="AH212" s="164">
        <f>IF(BetTable[Outcome3]="Win",BetTable[WBA3-Commission],IF(BetTable[Outcome3]="Win Half Stake",(BetTable[S3]/2)+BetTable[WBA3-Commission]/2,IF(BetTable[Outcome3]="Lose Half Stake",BetTable[S3]/2,IF(BetTable[Outcome3]="Lose",0,IF(BetTable[Outcome3]="Void",BetTable[S3],)))))</f>
        <v>0</v>
      </c>
      <c r="AI212" s="168">
        <f>IF(BetTable[Outcome]="",AI211,BetTable[Result]+AI211)</f>
        <v>372.79625000000027</v>
      </c>
      <c r="AJ212" s="160"/>
    </row>
    <row r="213" spans="1:36" x14ac:dyDescent="0.2">
      <c r="A213" s="159" t="s">
        <v>764</v>
      </c>
      <c r="B213" s="160" t="s">
        <v>200</v>
      </c>
      <c r="C213" s="161" t="s">
        <v>216</v>
      </c>
      <c r="D213" s="161"/>
      <c r="E213" s="161"/>
      <c r="F213" s="162"/>
      <c r="G213" s="162"/>
      <c r="H213" s="162"/>
      <c r="I213" s="160" t="s">
        <v>766</v>
      </c>
      <c r="J213" s="163">
        <v>1.671</v>
      </c>
      <c r="K213" s="163"/>
      <c r="L213" s="163"/>
      <c r="M213" s="164">
        <v>46</v>
      </c>
      <c r="N213" s="164"/>
      <c r="O213" s="164"/>
      <c r="P213" s="159" t="s">
        <v>852</v>
      </c>
      <c r="Q213" s="159" t="s">
        <v>503</v>
      </c>
      <c r="R213" s="159" t="s">
        <v>853</v>
      </c>
      <c r="S213" s="165">
        <v>2.55702191314107E-2</v>
      </c>
      <c r="T213" s="166" t="s">
        <v>549</v>
      </c>
      <c r="U213" s="166"/>
      <c r="V213" s="166"/>
      <c r="W213" s="167">
        <f>IF(BetTable[Sport]="","",BetTable[Stake]+BetTable[S2]+BetTable[S3])</f>
        <v>46</v>
      </c>
      <c r="X213" s="164">
        <f>IF(BetTable[Odds]="","",(BetTable[WBA1-Commission])-BetTable[TS])</f>
        <v>30.866</v>
      </c>
      <c r="Y213" s="168">
        <f>IF(BetTable[Outcome]="","",BetTable[WBA1]+BetTable[WBA2]+BetTable[WBA3]-BetTable[TS])</f>
        <v>-23</v>
      </c>
      <c r="Z213" s="164">
        <f>(((BetTable[Odds]-1)*BetTable[Stake])*(1-(BetTable[Comm %]))+BetTable[Stake])</f>
        <v>76.866</v>
      </c>
      <c r="AA213" s="164">
        <f>(((BetTable[O2]-1)*BetTable[S2])*(1-(BetTable[C% 2]))+BetTable[S2])</f>
        <v>0</v>
      </c>
      <c r="AB213" s="164">
        <f>(((BetTable[O3]-1)*BetTable[S3])*(1-(BetTable[C% 3]))+BetTable[S3])</f>
        <v>0</v>
      </c>
      <c r="AC213" s="165">
        <f>IFERROR(IF(BetTable[Sport]="","",BetTable[R1]/BetTable[TS]),"")</f>
        <v>0.67100000000000004</v>
      </c>
      <c r="AD213" s="165" t="str">
        <f>IF(BetTable[O2]="","",#REF!/BetTable[TS])</f>
        <v/>
      </c>
      <c r="AE213" s="165" t="str">
        <f>IFERROR(IF(BetTable[Sport]="","",#REF!/BetTable[TS]),"")</f>
        <v/>
      </c>
      <c r="AF213" s="164">
        <f>IF(BetTable[Outcome]="Win",BetTable[WBA1-Commission],IF(BetTable[Outcome]="Win Half Stake",(BetTable[Stake]/2)+BetTable[WBA1-Commission]/2,IF(BetTable[Outcome]="Lose Half Stake",BetTable[Stake]/2,IF(BetTable[Outcome]="Lose",0,IF(BetTable[Outcome]="Void",BetTable[Stake],)))))</f>
        <v>23</v>
      </c>
      <c r="AG213" s="164">
        <f>IF(BetTable[Outcome2]="Win",BetTable[WBA2-Commission],IF(BetTable[Outcome2]="Win Half Stake",(BetTable[S2]/2)+BetTable[WBA2-Commission]/2,IF(BetTable[Outcome2]="Lose Half Stake",BetTable[S2]/2,IF(BetTable[Outcome2]="Lose",0,IF(BetTable[Outcome2]="Void",BetTable[S2],)))))</f>
        <v>0</v>
      </c>
      <c r="AH213" s="164">
        <f>IF(BetTable[Outcome3]="Win",BetTable[WBA3-Commission],IF(BetTable[Outcome3]="Win Half Stake",(BetTable[S3]/2)+BetTable[WBA3-Commission]/2,IF(BetTable[Outcome3]="Lose Half Stake",BetTable[S3]/2,IF(BetTable[Outcome3]="Lose",0,IF(BetTable[Outcome3]="Void",BetTable[S3],)))))</f>
        <v>0</v>
      </c>
      <c r="AI213" s="168">
        <f>IF(BetTable[Outcome]="",AI212,BetTable[Result]+AI212)</f>
        <v>349.79625000000027</v>
      </c>
      <c r="AJ213" s="160"/>
    </row>
    <row r="214" spans="1:36" x14ac:dyDescent="0.2">
      <c r="A214" s="159" t="s">
        <v>764</v>
      </c>
      <c r="B214" s="160" t="s">
        <v>200</v>
      </c>
      <c r="C214" s="161" t="s">
        <v>91</v>
      </c>
      <c r="D214" s="161"/>
      <c r="E214" s="161"/>
      <c r="F214" s="162"/>
      <c r="G214" s="162"/>
      <c r="H214" s="162"/>
      <c r="I214" s="160" t="s">
        <v>854</v>
      </c>
      <c r="J214" s="163">
        <v>1.79</v>
      </c>
      <c r="K214" s="163"/>
      <c r="L214" s="163"/>
      <c r="M214" s="164">
        <v>22</v>
      </c>
      <c r="N214" s="164"/>
      <c r="O214" s="164"/>
      <c r="P214" s="159" t="s">
        <v>385</v>
      </c>
      <c r="Q214" s="159" t="s">
        <v>506</v>
      </c>
      <c r="R214" s="159" t="s">
        <v>855</v>
      </c>
      <c r="S214" s="165">
        <v>1.4395310656965201E-2</v>
      </c>
      <c r="T214" s="166" t="s">
        <v>383</v>
      </c>
      <c r="U214" s="166"/>
      <c r="V214" s="166"/>
      <c r="W214" s="167">
        <f>IF(BetTable[Sport]="","",BetTable[Stake]+BetTable[S2]+BetTable[S3])</f>
        <v>22</v>
      </c>
      <c r="X214" s="164">
        <f>IF(BetTable[Odds]="","",(BetTable[WBA1-Commission])-BetTable[TS])</f>
        <v>17.380000000000003</v>
      </c>
      <c r="Y214" s="168">
        <f>IF(BetTable[Outcome]="","",BetTable[WBA1]+BetTable[WBA2]+BetTable[WBA3]-BetTable[TS])</f>
        <v>0</v>
      </c>
      <c r="Z214" s="164">
        <f>(((BetTable[Odds]-1)*BetTable[Stake])*(1-(BetTable[Comm %]))+BetTable[Stake])</f>
        <v>39.380000000000003</v>
      </c>
      <c r="AA214" s="164">
        <f>(((BetTable[O2]-1)*BetTable[S2])*(1-(BetTable[C% 2]))+BetTable[S2])</f>
        <v>0</v>
      </c>
      <c r="AB214" s="164">
        <f>(((BetTable[O3]-1)*BetTable[S3])*(1-(BetTable[C% 3]))+BetTable[S3])</f>
        <v>0</v>
      </c>
      <c r="AC214" s="165">
        <f>IFERROR(IF(BetTable[Sport]="","",BetTable[R1]/BetTable[TS]),"")</f>
        <v>0.79000000000000015</v>
      </c>
      <c r="AD214" s="165" t="str">
        <f>IF(BetTable[O2]="","",#REF!/BetTable[TS])</f>
        <v/>
      </c>
      <c r="AE214" s="165" t="str">
        <f>IFERROR(IF(BetTable[Sport]="","",#REF!/BetTable[TS]),"")</f>
        <v/>
      </c>
      <c r="AF214" s="164">
        <f>IF(BetTable[Outcome]="Win",BetTable[WBA1-Commission],IF(BetTable[Outcome]="Win Half Stake",(BetTable[Stake]/2)+BetTable[WBA1-Commission]/2,IF(BetTable[Outcome]="Lose Half Stake",BetTable[Stake]/2,IF(BetTable[Outcome]="Lose",0,IF(BetTable[Outcome]="Void",BetTable[Stake],)))))</f>
        <v>22</v>
      </c>
      <c r="AG214" s="164">
        <f>IF(BetTable[Outcome2]="Win",BetTable[WBA2-Commission],IF(BetTable[Outcome2]="Win Half Stake",(BetTable[S2]/2)+BetTable[WBA2-Commission]/2,IF(BetTable[Outcome2]="Lose Half Stake",BetTable[S2]/2,IF(BetTable[Outcome2]="Lose",0,IF(BetTable[Outcome2]="Void",BetTable[S2],)))))</f>
        <v>0</v>
      </c>
      <c r="AH214" s="164">
        <f>IF(BetTable[Outcome3]="Win",BetTable[WBA3-Commission],IF(BetTable[Outcome3]="Win Half Stake",(BetTable[S3]/2)+BetTable[WBA3-Commission]/2,IF(BetTable[Outcome3]="Lose Half Stake",BetTable[S3]/2,IF(BetTable[Outcome3]="Lose",0,IF(BetTable[Outcome3]="Void",BetTable[S3],)))))</f>
        <v>0</v>
      </c>
      <c r="AI214" s="168">
        <f>IF(BetTable[Outcome]="",AI213,BetTable[Result]+AI213)</f>
        <v>349.79625000000027</v>
      </c>
      <c r="AJ214" s="160"/>
    </row>
    <row r="215" spans="1:36" x14ac:dyDescent="0.2">
      <c r="A215" s="159" t="s">
        <v>764</v>
      </c>
      <c r="B215" s="160" t="s">
        <v>200</v>
      </c>
      <c r="C215" s="161" t="s">
        <v>234</v>
      </c>
      <c r="D215" s="161"/>
      <c r="E215" s="161"/>
      <c r="F215" s="162"/>
      <c r="G215" s="162"/>
      <c r="H215" s="162"/>
      <c r="I215" s="160" t="s">
        <v>744</v>
      </c>
      <c r="J215" s="163">
        <v>1.99</v>
      </c>
      <c r="K215" s="163"/>
      <c r="L215" s="163"/>
      <c r="M215" s="164">
        <v>14</v>
      </c>
      <c r="N215" s="164"/>
      <c r="O215" s="164"/>
      <c r="P215" s="159" t="s">
        <v>360</v>
      </c>
      <c r="Q215" s="159" t="s">
        <v>461</v>
      </c>
      <c r="R215" s="159" t="s">
        <v>856</v>
      </c>
      <c r="S215" s="165">
        <v>1.13375377127777E-2</v>
      </c>
      <c r="T215" s="166" t="s">
        <v>382</v>
      </c>
      <c r="U215" s="166"/>
      <c r="V215" s="166"/>
      <c r="W215" s="167">
        <f>IF(BetTable[Sport]="","",BetTable[Stake]+BetTable[S2]+BetTable[S3])</f>
        <v>14</v>
      </c>
      <c r="X215" s="164">
        <f>IF(BetTable[Odds]="","",(BetTable[WBA1-Commission])-BetTable[TS])</f>
        <v>13.86</v>
      </c>
      <c r="Y215" s="168">
        <f>IF(BetTable[Outcome]="","",BetTable[WBA1]+BetTable[WBA2]+BetTable[WBA3]-BetTable[TS])</f>
        <v>-14</v>
      </c>
      <c r="Z215" s="164">
        <f>(((BetTable[Odds]-1)*BetTable[Stake])*(1-(BetTable[Comm %]))+BetTable[Stake])</f>
        <v>27.86</v>
      </c>
      <c r="AA215" s="164">
        <f>(((BetTable[O2]-1)*BetTable[S2])*(1-(BetTable[C% 2]))+BetTable[S2])</f>
        <v>0</v>
      </c>
      <c r="AB215" s="164">
        <f>(((BetTable[O3]-1)*BetTable[S3])*(1-(BetTable[C% 3]))+BetTable[S3])</f>
        <v>0</v>
      </c>
      <c r="AC215" s="165">
        <f>IFERROR(IF(BetTable[Sport]="","",BetTable[R1]/BetTable[TS]),"")</f>
        <v>0.99</v>
      </c>
      <c r="AD215" s="165" t="str">
        <f>IF(BetTable[O2]="","",#REF!/BetTable[TS])</f>
        <v/>
      </c>
      <c r="AE215" s="165" t="str">
        <f>IFERROR(IF(BetTable[Sport]="","",#REF!/BetTable[TS]),"")</f>
        <v/>
      </c>
      <c r="AF215" s="164">
        <f>IF(BetTable[Outcome]="Win",BetTable[WBA1-Commission],IF(BetTable[Outcome]="Win Half Stake",(BetTable[Stake]/2)+BetTable[WBA1-Commission]/2,IF(BetTable[Outcome]="Lose Half Stake",BetTable[Stake]/2,IF(BetTable[Outcome]="Lose",0,IF(BetTable[Outcome]="Void",BetTable[Stake],)))))</f>
        <v>0</v>
      </c>
      <c r="AG215" s="164">
        <f>IF(BetTable[Outcome2]="Win",BetTable[WBA2-Commission],IF(BetTable[Outcome2]="Win Half Stake",(BetTable[S2]/2)+BetTable[WBA2-Commission]/2,IF(BetTable[Outcome2]="Lose Half Stake",BetTable[S2]/2,IF(BetTable[Outcome2]="Lose",0,IF(BetTable[Outcome2]="Void",BetTable[S2],)))))</f>
        <v>0</v>
      </c>
      <c r="AH215" s="164">
        <f>IF(BetTable[Outcome3]="Win",BetTable[WBA3-Commission],IF(BetTable[Outcome3]="Win Half Stake",(BetTable[S3]/2)+BetTable[WBA3-Commission]/2,IF(BetTable[Outcome3]="Lose Half Stake",BetTable[S3]/2,IF(BetTable[Outcome3]="Lose",0,IF(BetTable[Outcome3]="Void",BetTable[S3],)))))</f>
        <v>0</v>
      </c>
      <c r="AI215" s="168">
        <f>IF(BetTable[Outcome]="",AI214,BetTable[Result]+AI214)</f>
        <v>335.79625000000027</v>
      </c>
      <c r="AJ215" s="160"/>
    </row>
    <row r="216" spans="1:36" x14ac:dyDescent="0.2">
      <c r="A216" s="159" t="s">
        <v>764</v>
      </c>
      <c r="B216" s="160" t="s">
        <v>200</v>
      </c>
      <c r="C216" s="161" t="s">
        <v>216</v>
      </c>
      <c r="D216" s="161"/>
      <c r="E216" s="161"/>
      <c r="F216" s="162"/>
      <c r="G216" s="162"/>
      <c r="H216" s="162"/>
      <c r="I216" s="160" t="s">
        <v>857</v>
      </c>
      <c r="J216" s="163">
        <v>1.667</v>
      </c>
      <c r="K216" s="163"/>
      <c r="L216" s="163"/>
      <c r="M216" s="164">
        <v>20</v>
      </c>
      <c r="N216" s="164"/>
      <c r="O216" s="164"/>
      <c r="P216" s="159" t="s">
        <v>351</v>
      </c>
      <c r="Q216" s="159" t="s">
        <v>461</v>
      </c>
      <c r="R216" s="159" t="s">
        <v>858</v>
      </c>
      <c r="S216" s="165">
        <v>1.5012384178622501E-2</v>
      </c>
      <c r="T216" s="166" t="s">
        <v>372</v>
      </c>
      <c r="U216" s="166"/>
      <c r="V216" s="166"/>
      <c r="W216" s="167">
        <f>IF(BetTable[Sport]="","",BetTable[Stake]+BetTable[S2]+BetTable[S3])</f>
        <v>20</v>
      </c>
      <c r="X216" s="164">
        <f>IF(BetTable[Odds]="","",(BetTable[WBA1-Commission])-BetTable[TS])</f>
        <v>13.340000000000003</v>
      </c>
      <c r="Y216" s="168">
        <f>IF(BetTable[Outcome]="","",BetTable[WBA1]+BetTable[WBA2]+BetTable[WBA3]-BetTable[TS])</f>
        <v>13.340000000000003</v>
      </c>
      <c r="Z216" s="164">
        <f>(((BetTable[Odds]-1)*BetTable[Stake])*(1-(BetTable[Comm %]))+BetTable[Stake])</f>
        <v>33.340000000000003</v>
      </c>
      <c r="AA216" s="164">
        <f>(((BetTable[O2]-1)*BetTable[S2])*(1-(BetTable[C% 2]))+BetTable[S2])</f>
        <v>0</v>
      </c>
      <c r="AB216" s="164">
        <f>(((BetTable[O3]-1)*BetTable[S3])*(1-(BetTable[C% 3]))+BetTable[S3])</f>
        <v>0</v>
      </c>
      <c r="AC216" s="165">
        <f>IFERROR(IF(BetTable[Sport]="","",BetTable[R1]/BetTable[TS]),"")</f>
        <v>0.66700000000000015</v>
      </c>
      <c r="AD216" s="165" t="str">
        <f>IF(BetTable[O2]="","",#REF!/BetTable[TS])</f>
        <v/>
      </c>
      <c r="AE216" s="165" t="str">
        <f>IFERROR(IF(BetTable[Sport]="","",#REF!/BetTable[TS]),"")</f>
        <v/>
      </c>
      <c r="AF216" s="164">
        <f>IF(BetTable[Outcome]="Win",BetTable[WBA1-Commission],IF(BetTable[Outcome]="Win Half Stake",(BetTable[Stake]/2)+BetTable[WBA1-Commission]/2,IF(BetTable[Outcome]="Lose Half Stake",BetTable[Stake]/2,IF(BetTable[Outcome]="Lose",0,IF(BetTable[Outcome]="Void",BetTable[Stake],)))))</f>
        <v>33.340000000000003</v>
      </c>
      <c r="AG216" s="164">
        <f>IF(BetTable[Outcome2]="Win",BetTable[WBA2-Commission],IF(BetTable[Outcome2]="Win Half Stake",(BetTable[S2]/2)+BetTable[WBA2-Commission]/2,IF(BetTable[Outcome2]="Lose Half Stake",BetTable[S2]/2,IF(BetTable[Outcome2]="Lose",0,IF(BetTable[Outcome2]="Void",BetTable[S2],)))))</f>
        <v>0</v>
      </c>
      <c r="AH216" s="164">
        <f>IF(BetTable[Outcome3]="Win",BetTable[WBA3-Commission],IF(BetTable[Outcome3]="Win Half Stake",(BetTable[S3]/2)+BetTable[WBA3-Commission]/2,IF(BetTable[Outcome3]="Lose Half Stake",BetTable[S3]/2,IF(BetTable[Outcome3]="Lose",0,IF(BetTable[Outcome3]="Void",BetTable[S3],)))))</f>
        <v>0</v>
      </c>
      <c r="AI216" s="168">
        <f>IF(BetTable[Outcome]="",AI215,BetTable[Result]+AI215)</f>
        <v>349.13625000000025</v>
      </c>
      <c r="AJ216" s="160"/>
    </row>
    <row r="217" spans="1:36" x14ac:dyDescent="0.2">
      <c r="A217" s="159" t="s">
        <v>764</v>
      </c>
      <c r="B217" s="160" t="s">
        <v>200</v>
      </c>
      <c r="C217" s="161" t="s">
        <v>234</v>
      </c>
      <c r="D217" s="161"/>
      <c r="E217" s="161"/>
      <c r="F217" s="162"/>
      <c r="G217" s="162"/>
      <c r="H217" s="162"/>
      <c r="I217" s="160" t="s">
        <v>859</v>
      </c>
      <c r="J217" s="163">
        <v>3.45</v>
      </c>
      <c r="K217" s="163"/>
      <c r="L217" s="163"/>
      <c r="M217" s="164">
        <v>7</v>
      </c>
      <c r="N217" s="164"/>
      <c r="O217" s="164"/>
      <c r="P217" s="159" t="s">
        <v>607</v>
      </c>
      <c r="Q217" s="159" t="s">
        <v>686</v>
      </c>
      <c r="R217" s="159" t="s">
        <v>860</v>
      </c>
      <c r="S217" s="165">
        <v>1.52972303766907E-2</v>
      </c>
      <c r="T217" s="166" t="s">
        <v>382</v>
      </c>
      <c r="U217" s="166"/>
      <c r="V217" s="166"/>
      <c r="W217" s="167">
        <f>IF(BetTable[Sport]="","",BetTable[Stake]+BetTable[S2]+BetTable[S3])</f>
        <v>7</v>
      </c>
      <c r="X217" s="164">
        <f>IF(BetTable[Odds]="","",(BetTable[WBA1-Commission])-BetTable[TS])</f>
        <v>17.150000000000002</v>
      </c>
      <c r="Y217" s="168">
        <f>IF(BetTable[Outcome]="","",BetTable[WBA1]+BetTable[WBA2]+BetTable[WBA3]-BetTable[TS])</f>
        <v>-7</v>
      </c>
      <c r="Z217" s="164">
        <f>(((BetTable[Odds]-1)*BetTable[Stake])*(1-(BetTable[Comm %]))+BetTable[Stake])</f>
        <v>24.150000000000002</v>
      </c>
      <c r="AA217" s="164">
        <f>(((BetTable[O2]-1)*BetTable[S2])*(1-(BetTable[C% 2]))+BetTable[S2])</f>
        <v>0</v>
      </c>
      <c r="AB217" s="164">
        <f>(((BetTable[O3]-1)*BetTable[S3])*(1-(BetTable[C% 3]))+BetTable[S3])</f>
        <v>0</v>
      </c>
      <c r="AC217" s="165">
        <f>IFERROR(IF(BetTable[Sport]="","",BetTable[R1]/BetTable[TS]),"")</f>
        <v>2.4500000000000002</v>
      </c>
      <c r="AD217" s="165" t="str">
        <f>IF(BetTable[O2]="","",#REF!/BetTable[TS])</f>
        <v/>
      </c>
      <c r="AE217" s="165" t="str">
        <f>IFERROR(IF(BetTable[Sport]="","",#REF!/BetTable[TS]),"")</f>
        <v/>
      </c>
      <c r="AF217" s="164">
        <f>IF(BetTable[Outcome]="Win",BetTable[WBA1-Commission],IF(BetTable[Outcome]="Win Half Stake",(BetTable[Stake]/2)+BetTable[WBA1-Commission]/2,IF(BetTable[Outcome]="Lose Half Stake",BetTable[Stake]/2,IF(BetTable[Outcome]="Lose",0,IF(BetTable[Outcome]="Void",BetTable[Stake],)))))</f>
        <v>0</v>
      </c>
      <c r="AG217" s="164">
        <f>IF(BetTable[Outcome2]="Win",BetTable[WBA2-Commission],IF(BetTable[Outcome2]="Win Half Stake",(BetTable[S2]/2)+BetTable[WBA2-Commission]/2,IF(BetTable[Outcome2]="Lose Half Stake",BetTable[S2]/2,IF(BetTable[Outcome2]="Lose",0,IF(BetTable[Outcome2]="Void",BetTable[S2],)))))</f>
        <v>0</v>
      </c>
      <c r="AH217" s="164">
        <f>IF(BetTable[Outcome3]="Win",BetTable[WBA3-Commission],IF(BetTable[Outcome3]="Win Half Stake",(BetTable[S3]/2)+BetTable[WBA3-Commission]/2,IF(BetTable[Outcome3]="Lose Half Stake",BetTable[S3]/2,IF(BetTable[Outcome3]="Lose",0,IF(BetTable[Outcome3]="Void",BetTable[S3],)))))</f>
        <v>0</v>
      </c>
      <c r="AI217" s="168">
        <f>IF(BetTable[Outcome]="",AI216,BetTable[Result]+AI216)</f>
        <v>342.13625000000025</v>
      </c>
      <c r="AJ217" s="160"/>
    </row>
    <row r="218" spans="1:36" x14ac:dyDescent="0.2">
      <c r="A218" s="159" t="s">
        <v>764</v>
      </c>
      <c r="B218" s="160" t="s">
        <v>200</v>
      </c>
      <c r="C218" s="161" t="s">
        <v>91</v>
      </c>
      <c r="D218" s="161"/>
      <c r="E218" s="161"/>
      <c r="F218" s="162"/>
      <c r="G218" s="162"/>
      <c r="H218" s="162"/>
      <c r="I218" s="160" t="s">
        <v>861</v>
      </c>
      <c r="J218" s="163">
        <v>1.77</v>
      </c>
      <c r="K218" s="163"/>
      <c r="L218" s="163"/>
      <c r="M218" s="164">
        <v>47</v>
      </c>
      <c r="N218" s="164"/>
      <c r="O218" s="164"/>
      <c r="P218" s="159" t="s">
        <v>348</v>
      </c>
      <c r="Q218" s="159" t="s">
        <v>703</v>
      </c>
      <c r="R218" s="159" t="s">
        <v>862</v>
      </c>
      <c r="S218" s="165">
        <v>3.01162197900674E-2</v>
      </c>
      <c r="T218" s="166" t="s">
        <v>372</v>
      </c>
      <c r="U218" s="166"/>
      <c r="V218" s="166"/>
      <c r="W218" s="167">
        <f>IF(BetTable[Sport]="","",BetTable[Stake]+BetTable[S2]+BetTable[S3])</f>
        <v>47</v>
      </c>
      <c r="X218" s="164">
        <f>IF(BetTable[Odds]="","",(BetTable[WBA1-Commission])-BetTable[TS])</f>
        <v>36.19</v>
      </c>
      <c r="Y218" s="168">
        <f>IF(BetTable[Outcome]="","",BetTable[WBA1]+BetTable[WBA2]+BetTable[WBA3]-BetTable[TS])</f>
        <v>36.19</v>
      </c>
      <c r="Z218" s="164">
        <f>(((BetTable[Odds]-1)*BetTable[Stake])*(1-(BetTable[Comm %]))+BetTable[Stake])</f>
        <v>83.19</v>
      </c>
      <c r="AA218" s="164">
        <f>(((BetTable[O2]-1)*BetTable[S2])*(1-(BetTable[C% 2]))+BetTable[S2])</f>
        <v>0</v>
      </c>
      <c r="AB218" s="164">
        <f>(((BetTable[O3]-1)*BetTable[S3])*(1-(BetTable[C% 3]))+BetTable[S3])</f>
        <v>0</v>
      </c>
      <c r="AC218" s="165">
        <f>IFERROR(IF(BetTable[Sport]="","",BetTable[R1]/BetTable[TS]),"")</f>
        <v>0.76999999999999991</v>
      </c>
      <c r="AD218" s="165" t="str">
        <f>IF(BetTable[O2]="","",#REF!/BetTable[TS])</f>
        <v/>
      </c>
      <c r="AE218" s="165" t="str">
        <f>IFERROR(IF(BetTable[Sport]="","",#REF!/BetTable[TS]),"")</f>
        <v/>
      </c>
      <c r="AF218" s="164">
        <f>IF(BetTable[Outcome]="Win",BetTable[WBA1-Commission],IF(BetTable[Outcome]="Win Half Stake",(BetTable[Stake]/2)+BetTable[WBA1-Commission]/2,IF(BetTable[Outcome]="Lose Half Stake",BetTable[Stake]/2,IF(BetTable[Outcome]="Lose",0,IF(BetTable[Outcome]="Void",BetTable[Stake],)))))</f>
        <v>83.19</v>
      </c>
      <c r="AG218" s="164">
        <f>IF(BetTable[Outcome2]="Win",BetTable[WBA2-Commission],IF(BetTable[Outcome2]="Win Half Stake",(BetTable[S2]/2)+BetTable[WBA2-Commission]/2,IF(BetTable[Outcome2]="Lose Half Stake",BetTable[S2]/2,IF(BetTable[Outcome2]="Lose",0,IF(BetTable[Outcome2]="Void",BetTable[S2],)))))</f>
        <v>0</v>
      </c>
      <c r="AH218" s="164">
        <f>IF(BetTable[Outcome3]="Win",BetTable[WBA3-Commission],IF(BetTable[Outcome3]="Win Half Stake",(BetTable[S3]/2)+BetTable[WBA3-Commission]/2,IF(BetTable[Outcome3]="Lose Half Stake",BetTable[S3]/2,IF(BetTable[Outcome3]="Lose",0,IF(BetTable[Outcome3]="Void",BetTable[S3],)))))</f>
        <v>0</v>
      </c>
      <c r="AI218" s="168">
        <f>IF(BetTable[Outcome]="",AI217,BetTable[Result]+AI217)</f>
        <v>378.32625000000024</v>
      </c>
      <c r="AJ218" s="160"/>
    </row>
    <row r="219" spans="1:36" x14ac:dyDescent="0.2">
      <c r="A219" s="159" t="s">
        <v>764</v>
      </c>
      <c r="B219" s="160" t="s">
        <v>200</v>
      </c>
      <c r="C219" s="161" t="s">
        <v>91</v>
      </c>
      <c r="D219" s="161"/>
      <c r="E219" s="161"/>
      <c r="F219" s="162"/>
      <c r="G219" s="162"/>
      <c r="H219" s="162"/>
      <c r="I219" s="160" t="s">
        <v>798</v>
      </c>
      <c r="J219" s="163">
        <v>1.69</v>
      </c>
      <c r="K219" s="163"/>
      <c r="L219" s="163"/>
      <c r="M219" s="164">
        <v>29</v>
      </c>
      <c r="N219" s="164"/>
      <c r="O219" s="164"/>
      <c r="P219" s="159" t="s">
        <v>498</v>
      </c>
      <c r="Q219" s="159" t="s">
        <v>461</v>
      </c>
      <c r="R219" s="159" t="s">
        <v>863</v>
      </c>
      <c r="S219" s="165">
        <v>1.6622895362049299E-2</v>
      </c>
      <c r="T219" s="166" t="s">
        <v>372</v>
      </c>
      <c r="U219" s="166"/>
      <c r="V219" s="166"/>
      <c r="W219" s="167">
        <f>IF(BetTable[Sport]="","",BetTable[Stake]+BetTable[S2]+BetTable[S3])</f>
        <v>29</v>
      </c>
      <c r="X219" s="164">
        <f>IF(BetTable[Odds]="","",(BetTable[WBA1-Commission])-BetTable[TS])</f>
        <v>20.009999999999998</v>
      </c>
      <c r="Y219" s="168">
        <f>IF(BetTable[Outcome]="","",BetTable[WBA1]+BetTable[WBA2]+BetTable[WBA3]-BetTable[TS])</f>
        <v>20.009999999999998</v>
      </c>
      <c r="Z219" s="164">
        <f>(((BetTable[Odds]-1)*BetTable[Stake])*(1-(BetTable[Comm %]))+BetTable[Stake])</f>
        <v>49.01</v>
      </c>
      <c r="AA219" s="164">
        <f>(((BetTable[O2]-1)*BetTable[S2])*(1-(BetTable[C% 2]))+BetTable[S2])</f>
        <v>0</v>
      </c>
      <c r="AB219" s="164">
        <f>(((BetTable[O3]-1)*BetTable[S3])*(1-(BetTable[C% 3]))+BetTable[S3])</f>
        <v>0</v>
      </c>
      <c r="AC219" s="165">
        <f>IFERROR(IF(BetTable[Sport]="","",BetTable[R1]/BetTable[TS]),"")</f>
        <v>0.69</v>
      </c>
      <c r="AD219" s="165" t="str">
        <f>IF(BetTable[O2]="","",#REF!/BetTable[TS])</f>
        <v/>
      </c>
      <c r="AE219" s="165" t="str">
        <f>IFERROR(IF(BetTable[Sport]="","",#REF!/BetTable[TS]),"")</f>
        <v/>
      </c>
      <c r="AF219" s="164">
        <f>IF(BetTable[Outcome]="Win",BetTable[WBA1-Commission],IF(BetTable[Outcome]="Win Half Stake",(BetTable[Stake]/2)+BetTable[WBA1-Commission]/2,IF(BetTable[Outcome]="Lose Half Stake",BetTable[Stake]/2,IF(BetTable[Outcome]="Lose",0,IF(BetTable[Outcome]="Void",BetTable[Stake],)))))</f>
        <v>49.01</v>
      </c>
      <c r="AG219" s="164">
        <f>IF(BetTable[Outcome2]="Win",BetTable[WBA2-Commission],IF(BetTable[Outcome2]="Win Half Stake",(BetTable[S2]/2)+BetTable[WBA2-Commission]/2,IF(BetTable[Outcome2]="Lose Half Stake",BetTable[S2]/2,IF(BetTable[Outcome2]="Lose",0,IF(BetTable[Outcome2]="Void",BetTable[S2],)))))</f>
        <v>0</v>
      </c>
      <c r="AH219" s="164">
        <f>IF(BetTable[Outcome3]="Win",BetTable[WBA3-Commission],IF(BetTable[Outcome3]="Win Half Stake",(BetTable[S3]/2)+BetTable[WBA3-Commission]/2,IF(BetTable[Outcome3]="Lose Half Stake",BetTable[S3]/2,IF(BetTable[Outcome3]="Lose",0,IF(BetTable[Outcome3]="Void",BetTable[S3],)))))</f>
        <v>0</v>
      </c>
      <c r="AI219" s="168">
        <f>IF(BetTable[Outcome]="",AI218,BetTable[Result]+AI218)</f>
        <v>398.33625000000023</v>
      </c>
      <c r="AJ219" s="160"/>
    </row>
    <row r="220" spans="1:36" x14ac:dyDescent="0.2">
      <c r="A220" s="159" t="s">
        <v>764</v>
      </c>
      <c r="B220" s="160" t="s">
        <v>200</v>
      </c>
      <c r="C220" s="161" t="s">
        <v>91</v>
      </c>
      <c r="D220" s="161"/>
      <c r="E220" s="161"/>
      <c r="F220" s="162"/>
      <c r="G220" s="162"/>
      <c r="H220" s="162"/>
      <c r="I220" s="160" t="s">
        <v>827</v>
      </c>
      <c r="J220" s="163">
        <v>2.12</v>
      </c>
      <c r="K220" s="163"/>
      <c r="L220" s="163"/>
      <c r="M220" s="164">
        <v>17</v>
      </c>
      <c r="N220" s="164"/>
      <c r="O220" s="164"/>
      <c r="P220" s="159" t="s">
        <v>864</v>
      </c>
      <c r="Q220" s="159" t="s">
        <v>703</v>
      </c>
      <c r="R220" s="159" t="s">
        <v>865</v>
      </c>
      <c r="S220" s="165">
        <v>1.584218337868E-2</v>
      </c>
      <c r="T220" s="166" t="s">
        <v>372</v>
      </c>
      <c r="U220" s="166"/>
      <c r="V220" s="166"/>
      <c r="W220" s="167">
        <f>IF(BetTable[Sport]="","",BetTable[Stake]+BetTable[S2]+BetTable[S3])</f>
        <v>17</v>
      </c>
      <c r="X220" s="164">
        <f>IF(BetTable[Odds]="","",(BetTable[WBA1-Commission])-BetTable[TS])</f>
        <v>19.040000000000006</v>
      </c>
      <c r="Y220" s="168">
        <f>IF(BetTable[Outcome]="","",BetTable[WBA1]+BetTable[WBA2]+BetTable[WBA3]-BetTable[TS])</f>
        <v>19.040000000000006</v>
      </c>
      <c r="Z220" s="164">
        <f>(((BetTable[Odds]-1)*BetTable[Stake])*(1-(BetTable[Comm %]))+BetTable[Stake])</f>
        <v>36.040000000000006</v>
      </c>
      <c r="AA220" s="164">
        <f>(((BetTable[O2]-1)*BetTable[S2])*(1-(BetTable[C% 2]))+BetTable[S2])</f>
        <v>0</v>
      </c>
      <c r="AB220" s="164">
        <f>(((BetTable[O3]-1)*BetTable[S3])*(1-(BetTable[C% 3]))+BetTable[S3])</f>
        <v>0</v>
      </c>
      <c r="AC220" s="165">
        <f>IFERROR(IF(BetTable[Sport]="","",BetTable[R1]/BetTable[TS]),"")</f>
        <v>1.1200000000000003</v>
      </c>
      <c r="AD220" s="165" t="str">
        <f>IF(BetTable[O2]="","",#REF!/BetTable[TS])</f>
        <v/>
      </c>
      <c r="AE220" s="165" t="str">
        <f>IFERROR(IF(BetTable[Sport]="","",#REF!/BetTable[TS]),"")</f>
        <v/>
      </c>
      <c r="AF220" s="164">
        <f>IF(BetTable[Outcome]="Win",BetTable[WBA1-Commission],IF(BetTable[Outcome]="Win Half Stake",(BetTable[Stake]/2)+BetTable[WBA1-Commission]/2,IF(BetTable[Outcome]="Lose Half Stake",BetTable[Stake]/2,IF(BetTable[Outcome]="Lose",0,IF(BetTable[Outcome]="Void",BetTable[Stake],)))))</f>
        <v>36.040000000000006</v>
      </c>
      <c r="AG220" s="164">
        <f>IF(BetTable[Outcome2]="Win",BetTable[WBA2-Commission],IF(BetTable[Outcome2]="Win Half Stake",(BetTable[S2]/2)+BetTable[WBA2-Commission]/2,IF(BetTable[Outcome2]="Lose Half Stake",BetTable[S2]/2,IF(BetTable[Outcome2]="Lose",0,IF(BetTable[Outcome2]="Void",BetTable[S2],)))))</f>
        <v>0</v>
      </c>
      <c r="AH220" s="164">
        <f>IF(BetTable[Outcome3]="Win",BetTable[WBA3-Commission],IF(BetTable[Outcome3]="Win Half Stake",(BetTable[S3]/2)+BetTable[WBA3-Commission]/2,IF(BetTable[Outcome3]="Lose Half Stake",BetTable[S3]/2,IF(BetTable[Outcome3]="Lose",0,IF(BetTable[Outcome3]="Void",BetTable[S3],)))))</f>
        <v>0</v>
      </c>
      <c r="AI220" s="168">
        <f>IF(BetTable[Outcome]="",AI219,BetTable[Result]+AI219)</f>
        <v>417.37625000000025</v>
      </c>
      <c r="AJ220" s="160"/>
    </row>
    <row r="221" spans="1:36" x14ac:dyDescent="0.2">
      <c r="A221" s="159" t="s">
        <v>764</v>
      </c>
      <c r="B221" s="160" t="s">
        <v>200</v>
      </c>
      <c r="C221" s="161" t="s">
        <v>91</v>
      </c>
      <c r="D221" s="161"/>
      <c r="E221" s="161"/>
      <c r="F221" s="162"/>
      <c r="G221" s="162"/>
      <c r="H221" s="162"/>
      <c r="I221" s="160" t="s">
        <v>822</v>
      </c>
      <c r="J221" s="163">
        <v>2.35</v>
      </c>
      <c r="K221" s="163"/>
      <c r="L221" s="163"/>
      <c r="M221" s="164">
        <v>23</v>
      </c>
      <c r="N221" s="164"/>
      <c r="O221" s="164"/>
      <c r="P221" s="159" t="s">
        <v>665</v>
      </c>
      <c r="Q221" s="159" t="s">
        <v>703</v>
      </c>
      <c r="R221" s="159" t="s">
        <v>866</v>
      </c>
      <c r="S221" s="165">
        <v>2.61054515164603E-2</v>
      </c>
      <c r="T221" s="166" t="s">
        <v>372</v>
      </c>
      <c r="U221" s="166"/>
      <c r="V221" s="166"/>
      <c r="W221" s="167">
        <f>IF(BetTable[Sport]="","",BetTable[Stake]+BetTable[S2]+BetTable[S3])</f>
        <v>23</v>
      </c>
      <c r="X221" s="164">
        <f>IF(BetTable[Odds]="","",(BetTable[WBA1-Commission])-BetTable[TS])</f>
        <v>31.049999999999997</v>
      </c>
      <c r="Y221" s="168">
        <f>IF(BetTable[Outcome]="","",BetTable[WBA1]+BetTable[WBA2]+BetTable[WBA3]-BetTable[TS])</f>
        <v>31.049999999999997</v>
      </c>
      <c r="Z221" s="164">
        <f>(((BetTable[Odds]-1)*BetTable[Stake])*(1-(BetTable[Comm %]))+BetTable[Stake])</f>
        <v>54.05</v>
      </c>
      <c r="AA221" s="164">
        <f>(((BetTable[O2]-1)*BetTable[S2])*(1-(BetTable[C% 2]))+BetTable[S2])</f>
        <v>0</v>
      </c>
      <c r="AB221" s="164">
        <f>(((BetTable[O3]-1)*BetTable[S3])*(1-(BetTable[C% 3]))+BetTable[S3])</f>
        <v>0</v>
      </c>
      <c r="AC221" s="165">
        <f>IFERROR(IF(BetTable[Sport]="","",BetTable[R1]/BetTable[TS]),"")</f>
        <v>1.3499999999999999</v>
      </c>
      <c r="AD221" s="165" t="str">
        <f>IF(BetTable[O2]="","",#REF!/BetTable[TS])</f>
        <v/>
      </c>
      <c r="AE221" s="165" t="str">
        <f>IFERROR(IF(BetTable[Sport]="","",#REF!/BetTable[TS]),"")</f>
        <v/>
      </c>
      <c r="AF221" s="164">
        <f>IF(BetTable[Outcome]="Win",BetTable[WBA1-Commission],IF(BetTable[Outcome]="Win Half Stake",(BetTable[Stake]/2)+BetTable[WBA1-Commission]/2,IF(BetTable[Outcome]="Lose Half Stake",BetTable[Stake]/2,IF(BetTable[Outcome]="Lose",0,IF(BetTable[Outcome]="Void",BetTable[Stake],)))))</f>
        <v>54.05</v>
      </c>
      <c r="AG221" s="164">
        <f>IF(BetTable[Outcome2]="Win",BetTable[WBA2-Commission],IF(BetTable[Outcome2]="Win Half Stake",(BetTable[S2]/2)+BetTable[WBA2-Commission]/2,IF(BetTable[Outcome2]="Lose Half Stake",BetTable[S2]/2,IF(BetTable[Outcome2]="Lose",0,IF(BetTable[Outcome2]="Void",BetTable[S2],)))))</f>
        <v>0</v>
      </c>
      <c r="AH221" s="164">
        <f>IF(BetTable[Outcome3]="Win",BetTable[WBA3-Commission],IF(BetTable[Outcome3]="Win Half Stake",(BetTable[S3]/2)+BetTable[WBA3-Commission]/2,IF(BetTable[Outcome3]="Lose Half Stake",BetTable[S3]/2,IF(BetTable[Outcome3]="Lose",0,IF(BetTable[Outcome3]="Void",BetTable[S3],)))))</f>
        <v>0</v>
      </c>
      <c r="AI221" s="168">
        <f>IF(BetTable[Outcome]="",AI220,BetTable[Result]+AI220)</f>
        <v>448.42625000000027</v>
      </c>
      <c r="AJ221" s="160"/>
    </row>
    <row r="222" spans="1:36" x14ac:dyDescent="0.2">
      <c r="A222" s="159" t="s">
        <v>764</v>
      </c>
      <c r="B222" s="160" t="s">
        <v>200</v>
      </c>
      <c r="C222" s="161" t="s">
        <v>234</v>
      </c>
      <c r="D222" s="161"/>
      <c r="E222" s="161"/>
      <c r="F222" s="162"/>
      <c r="G222" s="162"/>
      <c r="H222" s="162"/>
      <c r="I222" s="160" t="s">
        <v>798</v>
      </c>
      <c r="J222" s="163">
        <v>1.76</v>
      </c>
      <c r="K222" s="163"/>
      <c r="L222" s="163"/>
      <c r="M222" s="164">
        <v>15</v>
      </c>
      <c r="N222" s="164"/>
      <c r="O222" s="164"/>
      <c r="P222" s="159" t="s">
        <v>351</v>
      </c>
      <c r="Q222" s="159" t="s">
        <v>461</v>
      </c>
      <c r="R222" s="159" t="s">
        <v>867</v>
      </c>
      <c r="S222" s="165">
        <v>9.4197469839781296E-3</v>
      </c>
      <c r="T222" s="166" t="s">
        <v>382</v>
      </c>
      <c r="U222" s="166"/>
      <c r="V222" s="166"/>
      <c r="W222" s="167">
        <f>IF(BetTable[Sport]="","",BetTable[Stake]+BetTable[S2]+BetTable[S3])</f>
        <v>15</v>
      </c>
      <c r="X222" s="164">
        <f>IF(BetTable[Odds]="","",(BetTable[WBA1-Commission])-BetTable[TS])</f>
        <v>11.399999999999999</v>
      </c>
      <c r="Y222" s="168">
        <f>IF(BetTable[Outcome]="","",BetTable[WBA1]+BetTable[WBA2]+BetTable[WBA3]-BetTable[TS])</f>
        <v>-15</v>
      </c>
      <c r="Z222" s="164">
        <f>(((BetTable[Odds]-1)*BetTable[Stake])*(1-(BetTable[Comm %]))+BetTable[Stake])</f>
        <v>26.4</v>
      </c>
      <c r="AA222" s="164">
        <f>(((BetTable[O2]-1)*BetTable[S2])*(1-(BetTable[C% 2]))+BetTable[S2])</f>
        <v>0</v>
      </c>
      <c r="AB222" s="164">
        <f>(((BetTable[O3]-1)*BetTable[S3])*(1-(BetTable[C% 3]))+BetTable[S3])</f>
        <v>0</v>
      </c>
      <c r="AC222" s="165">
        <f>IFERROR(IF(BetTable[Sport]="","",BetTable[R1]/BetTable[TS]),"")</f>
        <v>0.7599999999999999</v>
      </c>
      <c r="AD222" s="165" t="str">
        <f>IF(BetTable[O2]="","",#REF!/BetTable[TS])</f>
        <v/>
      </c>
      <c r="AE222" s="165" t="str">
        <f>IFERROR(IF(BetTable[Sport]="","",#REF!/BetTable[TS]),"")</f>
        <v/>
      </c>
      <c r="AF222" s="164">
        <f>IF(BetTable[Outcome]="Win",BetTable[WBA1-Commission],IF(BetTable[Outcome]="Win Half Stake",(BetTable[Stake]/2)+BetTable[WBA1-Commission]/2,IF(BetTable[Outcome]="Lose Half Stake",BetTable[Stake]/2,IF(BetTable[Outcome]="Lose",0,IF(BetTable[Outcome]="Void",BetTable[Stake],)))))</f>
        <v>0</v>
      </c>
      <c r="AG222" s="164">
        <f>IF(BetTable[Outcome2]="Win",BetTable[WBA2-Commission],IF(BetTable[Outcome2]="Win Half Stake",(BetTable[S2]/2)+BetTable[WBA2-Commission]/2,IF(BetTable[Outcome2]="Lose Half Stake",BetTable[S2]/2,IF(BetTable[Outcome2]="Lose",0,IF(BetTable[Outcome2]="Void",BetTable[S2],)))))</f>
        <v>0</v>
      </c>
      <c r="AH222" s="164">
        <f>IF(BetTable[Outcome3]="Win",BetTable[WBA3-Commission],IF(BetTable[Outcome3]="Win Half Stake",(BetTable[S3]/2)+BetTable[WBA3-Commission]/2,IF(BetTable[Outcome3]="Lose Half Stake",BetTable[S3]/2,IF(BetTable[Outcome3]="Lose",0,IF(BetTable[Outcome3]="Void",BetTable[S3],)))))</f>
        <v>0</v>
      </c>
      <c r="AI222" s="168">
        <f>IF(BetTable[Outcome]="",AI221,BetTable[Result]+AI221)</f>
        <v>433.42625000000027</v>
      </c>
      <c r="AJ222" s="160"/>
    </row>
    <row r="223" spans="1:36" x14ac:dyDescent="0.2">
      <c r="A223" s="159" t="s">
        <v>764</v>
      </c>
      <c r="B223" s="160" t="s">
        <v>200</v>
      </c>
      <c r="C223" s="161" t="s">
        <v>91</v>
      </c>
      <c r="D223" s="161"/>
      <c r="E223" s="161"/>
      <c r="F223" s="162"/>
      <c r="G223" s="162"/>
      <c r="H223" s="162"/>
      <c r="I223" s="160" t="s">
        <v>831</v>
      </c>
      <c r="J223" s="163">
        <v>2.0099999999999998</v>
      </c>
      <c r="K223" s="163"/>
      <c r="L223" s="163"/>
      <c r="M223" s="164">
        <v>46</v>
      </c>
      <c r="N223" s="164"/>
      <c r="O223" s="164"/>
      <c r="P223" s="159" t="s">
        <v>868</v>
      </c>
      <c r="Q223" s="159" t="s">
        <v>703</v>
      </c>
      <c r="R223" s="159" t="s">
        <v>869</v>
      </c>
      <c r="S223" s="165">
        <v>3.87422040312978E-2</v>
      </c>
      <c r="T223" s="166" t="s">
        <v>510</v>
      </c>
      <c r="U223" s="166"/>
      <c r="V223" s="166"/>
      <c r="W223" s="167">
        <f>IF(BetTable[Sport]="","",BetTable[Stake]+BetTable[S2]+BetTable[S3])</f>
        <v>46</v>
      </c>
      <c r="X223" s="164">
        <f>IF(BetTable[Odds]="","",(BetTable[WBA1-Commission])-BetTable[TS])</f>
        <v>46.459999999999994</v>
      </c>
      <c r="Y223" s="168">
        <f>IF(BetTable[Outcome]="","",BetTable[WBA1]+BetTable[WBA2]+BetTable[WBA3]-BetTable[TS])</f>
        <v>23.22999999999999</v>
      </c>
      <c r="Z223" s="164">
        <f>(((BetTable[Odds]-1)*BetTable[Stake])*(1-(BetTable[Comm %]))+BetTable[Stake])</f>
        <v>92.46</v>
      </c>
      <c r="AA223" s="164">
        <f>(((BetTable[O2]-1)*BetTable[S2])*(1-(BetTable[C% 2]))+BetTable[S2])</f>
        <v>0</v>
      </c>
      <c r="AB223" s="164">
        <f>(((BetTable[O3]-1)*BetTable[S3])*(1-(BetTable[C% 3]))+BetTable[S3])</f>
        <v>0</v>
      </c>
      <c r="AC223" s="165">
        <f>IFERROR(IF(BetTable[Sport]="","",BetTable[R1]/BetTable[TS]),"")</f>
        <v>1.0099999999999998</v>
      </c>
      <c r="AD223" s="165" t="str">
        <f>IF(BetTable[O2]="","",#REF!/BetTable[TS])</f>
        <v/>
      </c>
      <c r="AE223" s="165" t="str">
        <f>IFERROR(IF(BetTable[Sport]="","",#REF!/BetTable[TS]),"")</f>
        <v/>
      </c>
      <c r="AF223" s="164">
        <f>IF(BetTable[Outcome]="Win",BetTable[WBA1-Commission],IF(BetTable[Outcome]="Win Half Stake",(BetTable[Stake]/2)+BetTable[WBA1-Commission]/2,IF(BetTable[Outcome]="Lose Half Stake",BetTable[Stake]/2,IF(BetTable[Outcome]="Lose",0,IF(BetTable[Outcome]="Void",BetTable[Stake],)))))</f>
        <v>69.22999999999999</v>
      </c>
      <c r="AG223" s="164">
        <f>IF(BetTable[Outcome2]="Win",BetTable[WBA2-Commission],IF(BetTable[Outcome2]="Win Half Stake",(BetTable[S2]/2)+BetTable[WBA2-Commission]/2,IF(BetTable[Outcome2]="Lose Half Stake",BetTable[S2]/2,IF(BetTable[Outcome2]="Lose",0,IF(BetTable[Outcome2]="Void",BetTable[S2],)))))</f>
        <v>0</v>
      </c>
      <c r="AH223" s="164">
        <f>IF(BetTable[Outcome3]="Win",BetTable[WBA3-Commission],IF(BetTable[Outcome3]="Win Half Stake",(BetTable[S3]/2)+BetTable[WBA3-Commission]/2,IF(BetTable[Outcome3]="Lose Half Stake",BetTable[S3]/2,IF(BetTable[Outcome3]="Lose",0,IF(BetTable[Outcome3]="Void",BetTable[S3],)))))</f>
        <v>0</v>
      </c>
      <c r="AI223" s="168">
        <f>IF(BetTable[Outcome]="",AI222,BetTable[Result]+AI222)</f>
        <v>456.65625000000023</v>
      </c>
      <c r="AJ223" s="160"/>
    </row>
    <row r="224" spans="1:36" x14ac:dyDescent="0.2">
      <c r="A224" s="159" t="s">
        <v>764</v>
      </c>
      <c r="B224" s="160" t="s">
        <v>9</v>
      </c>
      <c r="C224" s="161" t="s">
        <v>91</v>
      </c>
      <c r="D224" s="161"/>
      <c r="E224" s="161"/>
      <c r="F224" s="162"/>
      <c r="G224" s="162"/>
      <c r="H224" s="162"/>
      <c r="I224" s="160" t="s">
        <v>870</v>
      </c>
      <c r="J224" s="163">
        <v>2.21</v>
      </c>
      <c r="K224" s="163"/>
      <c r="L224" s="163"/>
      <c r="M224" s="164">
        <v>14</v>
      </c>
      <c r="N224" s="164"/>
      <c r="O224" s="164"/>
      <c r="P224" s="159" t="s">
        <v>428</v>
      </c>
      <c r="Q224" s="159" t="s">
        <v>333</v>
      </c>
      <c r="R224" s="159" t="s">
        <v>871</v>
      </c>
      <c r="S224" s="165">
        <v>1.4529440364897801E-2</v>
      </c>
      <c r="T224" s="166" t="s">
        <v>382</v>
      </c>
      <c r="U224" s="166"/>
      <c r="V224" s="166"/>
      <c r="W224" s="167">
        <f>IF(BetTable[Sport]="","",BetTable[Stake]+BetTable[S2]+BetTable[S3])</f>
        <v>14</v>
      </c>
      <c r="X224" s="164">
        <f>IF(BetTable[Odds]="","",(BetTable[WBA1-Commission])-BetTable[TS])</f>
        <v>16.939999999999998</v>
      </c>
      <c r="Y224" s="168">
        <f>IF(BetTable[Outcome]="","",BetTable[WBA1]+BetTable[WBA2]+BetTable[WBA3]-BetTable[TS])</f>
        <v>-14</v>
      </c>
      <c r="Z224" s="164">
        <f>(((BetTable[Odds]-1)*BetTable[Stake])*(1-(BetTable[Comm %]))+BetTable[Stake])</f>
        <v>30.939999999999998</v>
      </c>
      <c r="AA224" s="164">
        <f>(((BetTable[O2]-1)*BetTable[S2])*(1-(BetTable[C% 2]))+BetTable[S2])</f>
        <v>0</v>
      </c>
      <c r="AB224" s="164">
        <f>(((BetTable[O3]-1)*BetTable[S3])*(1-(BetTable[C% 3]))+BetTable[S3])</f>
        <v>0</v>
      </c>
      <c r="AC224" s="165">
        <f>IFERROR(IF(BetTable[Sport]="","",BetTable[R1]/BetTable[TS]),"")</f>
        <v>1.2099999999999997</v>
      </c>
      <c r="AD224" s="165" t="str">
        <f>IF(BetTable[O2]="","",#REF!/BetTable[TS])</f>
        <v/>
      </c>
      <c r="AE224" s="165" t="str">
        <f>IFERROR(IF(BetTable[Sport]="","",#REF!/BetTable[TS]),"")</f>
        <v/>
      </c>
      <c r="AF224" s="164">
        <f>IF(BetTable[Outcome]="Win",BetTable[WBA1-Commission],IF(BetTable[Outcome]="Win Half Stake",(BetTable[Stake]/2)+BetTable[WBA1-Commission]/2,IF(BetTable[Outcome]="Lose Half Stake",BetTable[Stake]/2,IF(BetTable[Outcome]="Lose",0,IF(BetTable[Outcome]="Void",BetTable[Stake],)))))</f>
        <v>0</v>
      </c>
      <c r="AG224" s="164">
        <f>IF(BetTable[Outcome2]="Win",BetTable[WBA2-Commission],IF(BetTable[Outcome2]="Win Half Stake",(BetTable[S2]/2)+BetTable[WBA2-Commission]/2,IF(BetTable[Outcome2]="Lose Half Stake",BetTable[S2]/2,IF(BetTable[Outcome2]="Lose",0,IF(BetTable[Outcome2]="Void",BetTable[S2],)))))</f>
        <v>0</v>
      </c>
      <c r="AH224" s="164">
        <f>IF(BetTable[Outcome3]="Win",BetTable[WBA3-Commission],IF(BetTable[Outcome3]="Win Half Stake",(BetTable[S3]/2)+BetTable[WBA3-Commission]/2,IF(BetTable[Outcome3]="Lose Half Stake",BetTable[S3]/2,IF(BetTable[Outcome3]="Lose",0,IF(BetTable[Outcome3]="Void",BetTable[S3],)))))</f>
        <v>0</v>
      </c>
      <c r="AI224" s="168">
        <f>IF(BetTable[Outcome]="",AI223,BetTable[Result]+AI223)</f>
        <v>442.65625000000023</v>
      </c>
      <c r="AJ224" s="160"/>
    </row>
    <row r="225" spans="1:36" x14ac:dyDescent="0.2">
      <c r="A225" s="159" t="s">
        <v>764</v>
      </c>
      <c r="B225" s="160" t="s">
        <v>200</v>
      </c>
      <c r="C225" s="161" t="s">
        <v>872</v>
      </c>
      <c r="D225" s="161"/>
      <c r="E225" s="161"/>
      <c r="F225" s="162"/>
      <c r="G225" s="162"/>
      <c r="H225" s="162"/>
      <c r="I225" s="160" t="s">
        <v>843</v>
      </c>
      <c r="J225" s="163">
        <v>1.5</v>
      </c>
      <c r="K225" s="163"/>
      <c r="L225" s="163"/>
      <c r="M225" s="164">
        <v>37</v>
      </c>
      <c r="N225" s="164"/>
      <c r="O225" s="164"/>
      <c r="P225" s="159" t="s">
        <v>435</v>
      </c>
      <c r="Q225" s="159" t="s">
        <v>547</v>
      </c>
      <c r="R225" s="159" t="s">
        <v>873</v>
      </c>
      <c r="S225" s="165">
        <v>1.5281553177093799E-2</v>
      </c>
      <c r="T225" s="166" t="s">
        <v>372</v>
      </c>
      <c r="U225" s="166"/>
      <c r="V225" s="166"/>
      <c r="W225" s="167">
        <f>IF(BetTable[Sport]="","",BetTable[Stake]+BetTable[S2]+BetTable[S3])</f>
        <v>37</v>
      </c>
      <c r="X225" s="164">
        <f>IF(BetTable[Odds]="","",(BetTable[WBA1-Commission])-BetTable[TS])</f>
        <v>18.5</v>
      </c>
      <c r="Y225" s="168">
        <f>IF(BetTable[Outcome]="","",BetTable[WBA1]+BetTable[WBA2]+BetTable[WBA3]-BetTable[TS])</f>
        <v>18.5</v>
      </c>
      <c r="Z225" s="164">
        <f>(((BetTable[Odds]-1)*BetTable[Stake])*(1-(BetTable[Comm %]))+BetTable[Stake])</f>
        <v>55.5</v>
      </c>
      <c r="AA225" s="164">
        <f>(((BetTable[O2]-1)*BetTable[S2])*(1-(BetTable[C% 2]))+BetTable[S2])</f>
        <v>0</v>
      </c>
      <c r="AB225" s="164">
        <f>(((BetTable[O3]-1)*BetTable[S3])*(1-(BetTable[C% 3]))+BetTable[S3])</f>
        <v>0</v>
      </c>
      <c r="AC225" s="165">
        <f>IFERROR(IF(BetTable[Sport]="","",BetTable[R1]/BetTable[TS]),"")</f>
        <v>0.5</v>
      </c>
      <c r="AD225" s="165" t="str">
        <f>IF(BetTable[O2]="","",#REF!/BetTable[TS])</f>
        <v/>
      </c>
      <c r="AE225" s="165" t="str">
        <f>IFERROR(IF(BetTable[Sport]="","",#REF!/BetTable[TS]),"")</f>
        <v/>
      </c>
      <c r="AF225" s="164">
        <f>IF(BetTable[Outcome]="Win",BetTable[WBA1-Commission],IF(BetTable[Outcome]="Win Half Stake",(BetTable[Stake]/2)+BetTable[WBA1-Commission]/2,IF(BetTable[Outcome]="Lose Half Stake",BetTable[Stake]/2,IF(BetTable[Outcome]="Lose",0,IF(BetTable[Outcome]="Void",BetTable[Stake],)))))</f>
        <v>55.5</v>
      </c>
      <c r="AG225" s="164">
        <f>IF(BetTable[Outcome2]="Win",BetTable[WBA2-Commission],IF(BetTable[Outcome2]="Win Half Stake",(BetTable[S2]/2)+BetTable[WBA2-Commission]/2,IF(BetTable[Outcome2]="Lose Half Stake",BetTable[S2]/2,IF(BetTable[Outcome2]="Lose",0,IF(BetTable[Outcome2]="Void",BetTable[S2],)))))</f>
        <v>0</v>
      </c>
      <c r="AH225" s="164">
        <f>IF(BetTable[Outcome3]="Win",BetTable[WBA3-Commission],IF(BetTable[Outcome3]="Win Half Stake",(BetTable[S3]/2)+BetTable[WBA3-Commission]/2,IF(BetTable[Outcome3]="Lose Half Stake",BetTable[S3]/2,IF(BetTable[Outcome3]="Lose",0,IF(BetTable[Outcome3]="Void",BetTable[S3],)))))</f>
        <v>0</v>
      </c>
      <c r="AI225" s="168">
        <f>IF(BetTable[Outcome]="",AI224,BetTable[Result]+AI224)</f>
        <v>461.15625000000023</v>
      </c>
      <c r="AJ225" s="160"/>
    </row>
    <row r="226" spans="1:36" x14ac:dyDescent="0.2">
      <c r="A226" s="159" t="s">
        <v>764</v>
      </c>
      <c r="B226" s="160" t="s">
        <v>9</v>
      </c>
      <c r="C226" s="161" t="s">
        <v>91</v>
      </c>
      <c r="D226" s="161"/>
      <c r="E226" s="161"/>
      <c r="F226" s="162"/>
      <c r="G226" s="162"/>
      <c r="H226" s="162"/>
      <c r="I226" s="160" t="s">
        <v>817</v>
      </c>
      <c r="J226" s="163">
        <v>2</v>
      </c>
      <c r="K226" s="163"/>
      <c r="L226" s="163"/>
      <c r="M226" s="164">
        <v>29</v>
      </c>
      <c r="N226" s="164"/>
      <c r="O226" s="164"/>
      <c r="P226" s="159" t="s">
        <v>435</v>
      </c>
      <c r="Q226" s="159" t="s">
        <v>818</v>
      </c>
      <c r="R226" s="159" t="s">
        <v>874</v>
      </c>
      <c r="S226" s="165">
        <v>2.3809773242749101E-2</v>
      </c>
      <c r="T226" s="166" t="s">
        <v>382</v>
      </c>
      <c r="U226" s="166"/>
      <c r="V226" s="166"/>
      <c r="W226" s="167">
        <f>IF(BetTable[Sport]="","",BetTable[Stake]+BetTable[S2]+BetTable[S3])</f>
        <v>29</v>
      </c>
      <c r="X226" s="164">
        <f>IF(BetTable[Odds]="","",(BetTable[WBA1-Commission])-BetTable[TS])</f>
        <v>29</v>
      </c>
      <c r="Y226" s="168">
        <f>IF(BetTable[Outcome]="","",BetTable[WBA1]+BetTable[WBA2]+BetTable[WBA3]-BetTable[TS])</f>
        <v>-29</v>
      </c>
      <c r="Z226" s="164">
        <f>(((BetTable[Odds]-1)*BetTable[Stake])*(1-(BetTable[Comm %]))+BetTable[Stake])</f>
        <v>58</v>
      </c>
      <c r="AA226" s="164">
        <f>(((BetTable[O2]-1)*BetTable[S2])*(1-(BetTable[C% 2]))+BetTable[S2])</f>
        <v>0</v>
      </c>
      <c r="AB226" s="164">
        <f>(((BetTable[O3]-1)*BetTable[S3])*(1-(BetTable[C% 3]))+BetTable[S3])</f>
        <v>0</v>
      </c>
      <c r="AC226" s="165">
        <f>IFERROR(IF(BetTable[Sport]="","",BetTable[R1]/BetTable[TS]),"")</f>
        <v>1</v>
      </c>
      <c r="AD226" s="165" t="str">
        <f>IF(BetTable[O2]="","",#REF!/BetTable[TS])</f>
        <v/>
      </c>
      <c r="AE226" s="165" t="str">
        <f>IFERROR(IF(BetTable[Sport]="","",#REF!/BetTable[TS]),"")</f>
        <v/>
      </c>
      <c r="AF226" s="164">
        <f>IF(BetTable[Outcome]="Win",BetTable[WBA1-Commission],IF(BetTable[Outcome]="Win Half Stake",(BetTable[Stake]/2)+BetTable[WBA1-Commission]/2,IF(BetTable[Outcome]="Lose Half Stake",BetTable[Stake]/2,IF(BetTable[Outcome]="Lose",0,IF(BetTable[Outcome]="Void",BetTable[Stake],)))))</f>
        <v>0</v>
      </c>
      <c r="AG226" s="164">
        <f>IF(BetTable[Outcome2]="Win",BetTable[WBA2-Commission],IF(BetTable[Outcome2]="Win Half Stake",(BetTable[S2]/2)+BetTable[WBA2-Commission]/2,IF(BetTable[Outcome2]="Lose Half Stake",BetTable[S2]/2,IF(BetTable[Outcome2]="Lose",0,IF(BetTable[Outcome2]="Void",BetTable[S2],)))))</f>
        <v>0</v>
      </c>
      <c r="AH226" s="164">
        <f>IF(BetTable[Outcome3]="Win",BetTable[WBA3-Commission],IF(BetTable[Outcome3]="Win Half Stake",(BetTable[S3]/2)+BetTable[WBA3-Commission]/2,IF(BetTable[Outcome3]="Lose Half Stake",BetTable[S3]/2,IF(BetTable[Outcome3]="Lose",0,IF(BetTable[Outcome3]="Void",BetTable[S3],)))))</f>
        <v>0</v>
      </c>
      <c r="AI226" s="168">
        <f>IF(BetTable[Outcome]="",AI225,BetTable[Result]+AI225)</f>
        <v>432.15625000000023</v>
      </c>
      <c r="AJ226" s="160"/>
    </row>
    <row r="227" spans="1:36" x14ac:dyDescent="0.2">
      <c r="A227" s="159" t="s">
        <v>764</v>
      </c>
      <c r="B227" s="160" t="s">
        <v>200</v>
      </c>
      <c r="C227" s="161" t="s">
        <v>91</v>
      </c>
      <c r="D227" s="161"/>
      <c r="E227" s="161"/>
      <c r="F227" s="162"/>
      <c r="G227" s="162"/>
      <c r="H227" s="162"/>
      <c r="I227" s="160" t="s">
        <v>875</v>
      </c>
      <c r="J227" s="163">
        <v>2.25</v>
      </c>
      <c r="K227" s="163"/>
      <c r="L227" s="163"/>
      <c r="M227" s="164">
        <v>15</v>
      </c>
      <c r="N227" s="164"/>
      <c r="O227" s="164"/>
      <c r="P227" s="159" t="s">
        <v>354</v>
      </c>
      <c r="Q227" s="159" t="s">
        <v>611</v>
      </c>
      <c r="R227" s="159" t="s">
        <v>876</v>
      </c>
      <c r="S227" s="165">
        <v>1.5182442992954501E-2</v>
      </c>
      <c r="T227" s="166" t="s">
        <v>382</v>
      </c>
      <c r="U227" s="166"/>
      <c r="V227" s="166"/>
      <c r="W227" s="167">
        <f>IF(BetTable[Sport]="","",BetTable[Stake]+BetTable[S2]+BetTable[S3])</f>
        <v>15</v>
      </c>
      <c r="X227" s="164">
        <f>IF(BetTable[Odds]="","",(BetTable[WBA1-Commission])-BetTable[TS])</f>
        <v>18.75</v>
      </c>
      <c r="Y227" s="168">
        <f>IF(BetTable[Outcome]="","",BetTable[WBA1]+BetTable[WBA2]+BetTable[WBA3]-BetTable[TS])</f>
        <v>-15</v>
      </c>
      <c r="Z227" s="164">
        <f>(((BetTable[Odds]-1)*BetTable[Stake])*(1-(BetTable[Comm %]))+BetTable[Stake])</f>
        <v>33.75</v>
      </c>
      <c r="AA227" s="164">
        <f>(((BetTable[O2]-1)*BetTable[S2])*(1-(BetTable[C% 2]))+BetTable[S2])</f>
        <v>0</v>
      </c>
      <c r="AB227" s="164">
        <f>(((BetTable[O3]-1)*BetTable[S3])*(1-(BetTable[C% 3]))+BetTable[S3])</f>
        <v>0</v>
      </c>
      <c r="AC227" s="165">
        <f>IFERROR(IF(BetTable[Sport]="","",BetTable[R1]/BetTable[TS]),"")</f>
        <v>1.25</v>
      </c>
      <c r="AD227" s="165" t="str">
        <f>IF(BetTable[O2]="","",#REF!/BetTable[TS])</f>
        <v/>
      </c>
      <c r="AE227" s="165" t="str">
        <f>IFERROR(IF(BetTable[Sport]="","",#REF!/BetTable[TS]),"")</f>
        <v/>
      </c>
      <c r="AF227" s="164">
        <f>IF(BetTable[Outcome]="Win",BetTable[WBA1-Commission],IF(BetTable[Outcome]="Win Half Stake",(BetTable[Stake]/2)+BetTable[WBA1-Commission]/2,IF(BetTable[Outcome]="Lose Half Stake",BetTable[Stake]/2,IF(BetTable[Outcome]="Lose",0,IF(BetTable[Outcome]="Void",BetTable[Stake],)))))</f>
        <v>0</v>
      </c>
      <c r="AG227" s="164">
        <f>IF(BetTable[Outcome2]="Win",BetTable[WBA2-Commission],IF(BetTable[Outcome2]="Win Half Stake",(BetTable[S2]/2)+BetTable[WBA2-Commission]/2,IF(BetTable[Outcome2]="Lose Half Stake",BetTable[S2]/2,IF(BetTable[Outcome2]="Lose",0,IF(BetTable[Outcome2]="Void",BetTable[S2],)))))</f>
        <v>0</v>
      </c>
      <c r="AH227" s="164">
        <f>IF(BetTable[Outcome3]="Win",BetTable[WBA3-Commission],IF(BetTable[Outcome3]="Win Half Stake",(BetTable[S3]/2)+BetTable[WBA3-Commission]/2,IF(BetTable[Outcome3]="Lose Half Stake",BetTable[S3]/2,IF(BetTable[Outcome3]="Lose",0,IF(BetTable[Outcome3]="Void",BetTable[S3],)))))</f>
        <v>0</v>
      </c>
      <c r="AI227" s="168">
        <f>IF(BetTable[Outcome]="",AI226,BetTable[Result]+AI226)</f>
        <v>417.15625000000023</v>
      </c>
      <c r="AJ227" s="160"/>
    </row>
    <row r="228" spans="1:36" x14ac:dyDescent="0.2">
      <c r="A228" s="159" t="s">
        <v>764</v>
      </c>
      <c r="B228" s="160" t="s">
        <v>200</v>
      </c>
      <c r="C228" s="161" t="s">
        <v>234</v>
      </c>
      <c r="D228" s="161"/>
      <c r="E228" s="161"/>
      <c r="F228" s="162"/>
      <c r="G228" s="162"/>
      <c r="H228" s="162"/>
      <c r="I228" s="160" t="s">
        <v>877</v>
      </c>
      <c r="J228" s="163">
        <v>1.91</v>
      </c>
      <c r="K228" s="163"/>
      <c r="L228" s="163"/>
      <c r="M228" s="164">
        <v>14</v>
      </c>
      <c r="N228" s="164"/>
      <c r="O228" s="164"/>
      <c r="P228" s="159" t="s">
        <v>348</v>
      </c>
      <c r="Q228" s="159" t="s">
        <v>839</v>
      </c>
      <c r="R228" s="159" t="s">
        <v>878</v>
      </c>
      <c r="S228" s="165">
        <v>1.0333617648321801E-2</v>
      </c>
      <c r="T228" s="166" t="s">
        <v>382</v>
      </c>
      <c r="U228" s="166"/>
      <c r="V228" s="166"/>
      <c r="W228" s="167">
        <f>IF(BetTable[Sport]="","",BetTable[Stake]+BetTable[S2]+BetTable[S3])</f>
        <v>14</v>
      </c>
      <c r="X228" s="164">
        <f>IF(BetTable[Odds]="","",(BetTable[WBA1-Commission])-BetTable[TS])</f>
        <v>12.739999999999998</v>
      </c>
      <c r="Y228" s="168">
        <f>IF(BetTable[Outcome]="","",BetTable[WBA1]+BetTable[WBA2]+BetTable[WBA3]-BetTable[TS])</f>
        <v>-14</v>
      </c>
      <c r="Z228" s="164">
        <f>(((BetTable[Odds]-1)*BetTable[Stake])*(1-(BetTable[Comm %]))+BetTable[Stake])</f>
        <v>26.74</v>
      </c>
      <c r="AA228" s="164">
        <f>(((BetTable[O2]-1)*BetTable[S2])*(1-(BetTable[C% 2]))+BetTable[S2])</f>
        <v>0</v>
      </c>
      <c r="AB228" s="164">
        <f>(((BetTable[O3]-1)*BetTable[S3])*(1-(BetTable[C% 3]))+BetTable[S3])</f>
        <v>0</v>
      </c>
      <c r="AC228" s="165">
        <f>IFERROR(IF(BetTable[Sport]="","",BetTable[R1]/BetTable[TS]),"")</f>
        <v>0.90999999999999992</v>
      </c>
      <c r="AD228" s="165" t="str">
        <f>IF(BetTable[O2]="","",#REF!/BetTable[TS])</f>
        <v/>
      </c>
      <c r="AE228" s="165" t="str">
        <f>IFERROR(IF(BetTable[Sport]="","",#REF!/BetTable[TS]),"")</f>
        <v/>
      </c>
      <c r="AF228" s="164">
        <f>IF(BetTable[Outcome]="Win",BetTable[WBA1-Commission],IF(BetTable[Outcome]="Win Half Stake",(BetTable[Stake]/2)+BetTable[WBA1-Commission]/2,IF(BetTable[Outcome]="Lose Half Stake",BetTable[Stake]/2,IF(BetTable[Outcome]="Lose",0,IF(BetTable[Outcome]="Void",BetTable[Stake],)))))</f>
        <v>0</v>
      </c>
      <c r="AG228" s="164">
        <f>IF(BetTable[Outcome2]="Win",BetTable[WBA2-Commission],IF(BetTable[Outcome2]="Win Half Stake",(BetTable[S2]/2)+BetTable[WBA2-Commission]/2,IF(BetTable[Outcome2]="Lose Half Stake",BetTable[S2]/2,IF(BetTable[Outcome2]="Lose",0,IF(BetTable[Outcome2]="Void",BetTable[S2],)))))</f>
        <v>0</v>
      </c>
      <c r="AH228" s="164">
        <f>IF(BetTable[Outcome3]="Win",BetTable[WBA3-Commission],IF(BetTable[Outcome3]="Win Half Stake",(BetTable[S3]/2)+BetTable[WBA3-Commission]/2,IF(BetTable[Outcome3]="Lose Half Stake",BetTable[S3]/2,IF(BetTable[Outcome3]="Lose",0,IF(BetTable[Outcome3]="Void",BetTable[S3],)))))</f>
        <v>0</v>
      </c>
      <c r="AI228" s="168">
        <f>IF(BetTable[Outcome]="",AI227,BetTable[Result]+AI227)</f>
        <v>403.15625000000023</v>
      </c>
      <c r="AJ228" s="160"/>
    </row>
    <row r="229" spans="1:36" x14ac:dyDescent="0.2">
      <c r="A229" s="159" t="s">
        <v>764</v>
      </c>
      <c r="B229" s="160" t="s">
        <v>200</v>
      </c>
      <c r="C229" s="161" t="s">
        <v>234</v>
      </c>
      <c r="D229" s="161"/>
      <c r="E229" s="161"/>
      <c r="F229" s="162"/>
      <c r="G229" s="162"/>
      <c r="H229" s="162"/>
      <c r="I229" s="160" t="s">
        <v>879</v>
      </c>
      <c r="J229" s="163">
        <v>1.87</v>
      </c>
      <c r="K229" s="163"/>
      <c r="L229" s="163"/>
      <c r="M229" s="164">
        <v>14</v>
      </c>
      <c r="N229" s="164"/>
      <c r="O229" s="164"/>
      <c r="P229" s="159" t="s">
        <v>864</v>
      </c>
      <c r="Q229" s="159" t="s">
        <v>443</v>
      </c>
      <c r="R229" s="159" t="s">
        <v>880</v>
      </c>
      <c r="S229" s="165">
        <v>1.00133625214724E-2</v>
      </c>
      <c r="T229" s="166" t="s">
        <v>372</v>
      </c>
      <c r="U229" s="166"/>
      <c r="V229" s="166"/>
      <c r="W229" s="167">
        <f>IF(BetTable[Sport]="","",BetTable[Stake]+BetTable[S2]+BetTable[S3])</f>
        <v>14</v>
      </c>
      <c r="X229" s="164">
        <f>IF(BetTable[Odds]="","",(BetTable[WBA1-Commission])-BetTable[TS])</f>
        <v>12.18</v>
      </c>
      <c r="Y229" s="168">
        <f>IF(BetTable[Outcome]="","",BetTable[WBA1]+BetTable[WBA2]+BetTable[WBA3]-BetTable[TS])</f>
        <v>12.18</v>
      </c>
      <c r="Z229" s="164">
        <f>(((BetTable[Odds]-1)*BetTable[Stake])*(1-(BetTable[Comm %]))+BetTable[Stake])</f>
        <v>26.18</v>
      </c>
      <c r="AA229" s="164">
        <f>(((BetTable[O2]-1)*BetTable[S2])*(1-(BetTable[C% 2]))+BetTable[S2])</f>
        <v>0</v>
      </c>
      <c r="AB229" s="164">
        <f>(((BetTable[O3]-1)*BetTable[S3])*(1-(BetTable[C% 3]))+BetTable[S3])</f>
        <v>0</v>
      </c>
      <c r="AC229" s="165">
        <f>IFERROR(IF(BetTable[Sport]="","",BetTable[R1]/BetTable[TS]),"")</f>
        <v>0.87</v>
      </c>
      <c r="AD229" s="165" t="str">
        <f>IF(BetTable[O2]="","",#REF!/BetTable[TS])</f>
        <v/>
      </c>
      <c r="AE229" s="165" t="str">
        <f>IFERROR(IF(BetTable[Sport]="","",#REF!/BetTable[TS]),"")</f>
        <v/>
      </c>
      <c r="AF229" s="164">
        <f>IF(BetTable[Outcome]="Win",BetTable[WBA1-Commission],IF(BetTable[Outcome]="Win Half Stake",(BetTable[Stake]/2)+BetTable[WBA1-Commission]/2,IF(BetTable[Outcome]="Lose Half Stake",BetTable[Stake]/2,IF(BetTable[Outcome]="Lose",0,IF(BetTable[Outcome]="Void",BetTable[Stake],)))))</f>
        <v>26.18</v>
      </c>
      <c r="AG229" s="164">
        <f>IF(BetTable[Outcome2]="Win",BetTable[WBA2-Commission],IF(BetTable[Outcome2]="Win Half Stake",(BetTable[S2]/2)+BetTable[WBA2-Commission]/2,IF(BetTable[Outcome2]="Lose Half Stake",BetTable[S2]/2,IF(BetTable[Outcome2]="Lose",0,IF(BetTable[Outcome2]="Void",BetTable[S2],)))))</f>
        <v>0</v>
      </c>
      <c r="AH229" s="164">
        <f>IF(BetTable[Outcome3]="Win",BetTable[WBA3-Commission],IF(BetTable[Outcome3]="Win Half Stake",(BetTable[S3]/2)+BetTable[WBA3-Commission]/2,IF(BetTable[Outcome3]="Lose Half Stake",BetTable[S3]/2,IF(BetTable[Outcome3]="Lose",0,IF(BetTable[Outcome3]="Void",BetTable[S3],)))))</f>
        <v>0</v>
      </c>
      <c r="AI229" s="168">
        <f>IF(BetTable[Outcome]="",AI228,BetTable[Result]+AI228)</f>
        <v>415.33625000000023</v>
      </c>
      <c r="AJ229" s="160"/>
    </row>
    <row r="230" spans="1:36" x14ac:dyDescent="0.2">
      <c r="A230" s="159" t="s">
        <v>764</v>
      </c>
      <c r="B230" s="160" t="s">
        <v>200</v>
      </c>
      <c r="C230" s="161" t="s">
        <v>185</v>
      </c>
      <c r="D230" s="161"/>
      <c r="E230" s="161"/>
      <c r="F230" s="162"/>
      <c r="G230" s="162"/>
      <c r="H230" s="162"/>
      <c r="I230" s="160" t="s">
        <v>881</v>
      </c>
      <c r="J230" s="163">
        <v>1.3640000000000001</v>
      </c>
      <c r="K230" s="163"/>
      <c r="L230" s="163"/>
      <c r="M230" s="164">
        <v>55</v>
      </c>
      <c r="N230" s="164"/>
      <c r="O230" s="164"/>
      <c r="P230" s="159" t="s">
        <v>428</v>
      </c>
      <c r="Q230" s="159" t="s">
        <v>882</v>
      </c>
      <c r="R230" s="159" t="s">
        <v>883</v>
      </c>
      <c r="S230" s="165">
        <v>1.67958866910097E-2</v>
      </c>
      <c r="T230" s="166" t="s">
        <v>382</v>
      </c>
      <c r="U230" s="166"/>
      <c r="V230" s="166"/>
      <c r="W230" s="167">
        <f>IF(BetTable[Sport]="","",BetTable[Stake]+BetTable[S2]+BetTable[S3])</f>
        <v>55</v>
      </c>
      <c r="X230" s="164">
        <f>IF(BetTable[Odds]="","",(BetTable[WBA1-Commission])-BetTable[TS])</f>
        <v>20.02000000000001</v>
      </c>
      <c r="Y230" s="168">
        <f>IF(BetTable[Outcome]="","",BetTable[WBA1]+BetTable[WBA2]+BetTable[WBA3]-BetTable[TS])</f>
        <v>-55</v>
      </c>
      <c r="Z230" s="164">
        <f>(((BetTable[Odds]-1)*BetTable[Stake])*(1-(BetTable[Comm %]))+BetTable[Stake])</f>
        <v>75.02000000000001</v>
      </c>
      <c r="AA230" s="164">
        <f>(((BetTable[O2]-1)*BetTable[S2])*(1-(BetTable[C% 2]))+BetTable[S2])</f>
        <v>0</v>
      </c>
      <c r="AB230" s="164">
        <f>(((BetTable[O3]-1)*BetTable[S3])*(1-(BetTable[C% 3]))+BetTable[S3])</f>
        <v>0</v>
      </c>
      <c r="AC230" s="165">
        <f>IFERROR(IF(BetTable[Sport]="","",BetTable[R1]/BetTable[TS]),"")</f>
        <v>0.36400000000000021</v>
      </c>
      <c r="AD230" s="165" t="str">
        <f>IF(BetTable[O2]="","",#REF!/BetTable[TS])</f>
        <v/>
      </c>
      <c r="AE230" s="165" t="str">
        <f>IFERROR(IF(BetTable[Sport]="","",#REF!/BetTable[TS]),"")</f>
        <v/>
      </c>
      <c r="AF230" s="164">
        <f>IF(BetTable[Outcome]="Win",BetTable[WBA1-Commission],IF(BetTable[Outcome]="Win Half Stake",(BetTable[Stake]/2)+BetTable[WBA1-Commission]/2,IF(BetTable[Outcome]="Lose Half Stake",BetTable[Stake]/2,IF(BetTable[Outcome]="Lose",0,IF(BetTable[Outcome]="Void",BetTable[Stake],)))))</f>
        <v>0</v>
      </c>
      <c r="AG230" s="164">
        <f>IF(BetTable[Outcome2]="Win",BetTable[WBA2-Commission],IF(BetTable[Outcome2]="Win Half Stake",(BetTable[S2]/2)+BetTable[WBA2-Commission]/2,IF(BetTable[Outcome2]="Lose Half Stake",BetTable[S2]/2,IF(BetTable[Outcome2]="Lose",0,IF(BetTable[Outcome2]="Void",BetTable[S2],)))))</f>
        <v>0</v>
      </c>
      <c r="AH230" s="164">
        <f>IF(BetTable[Outcome3]="Win",BetTable[WBA3-Commission],IF(BetTable[Outcome3]="Win Half Stake",(BetTable[S3]/2)+BetTable[WBA3-Commission]/2,IF(BetTable[Outcome3]="Lose Half Stake",BetTable[S3]/2,IF(BetTable[Outcome3]="Lose",0,IF(BetTable[Outcome3]="Void",BetTable[S3],)))))</f>
        <v>0</v>
      </c>
      <c r="AI230" s="168">
        <f>IF(BetTable[Outcome]="",AI229,BetTable[Result]+AI229)</f>
        <v>360.33625000000023</v>
      </c>
      <c r="AJ230" s="160"/>
    </row>
    <row r="231" spans="1:36" x14ac:dyDescent="0.2">
      <c r="A231" s="159" t="s">
        <v>764</v>
      </c>
      <c r="B231" s="160" t="s">
        <v>200</v>
      </c>
      <c r="C231" s="161" t="s">
        <v>185</v>
      </c>
      <c r="D231" s="161"/>
      <c r="E231" s="161"/>
      <c r="F231" s="162"/>
      <c r="G231" s="162"/>
      <c r="H231" s="162"/>
      <c r="I231" s="160" t="s">
        <v>728</v>
      </c>
      <c r="J231" s="163">
        <v>3.75</v>
      </c>
      <c r="K231" s="163"/>
      <c r="L231" s="163"/>
      <c r="M231" s="164">
        <v>6</v>
      </c>
      <c r="N231" s="164"/>
      <c r="O231" s="164"/>
      <c r="P231" s="159" t="s">
        <v>428</v>
      </c>
      <c r="Q231" s="159" t="s">
        <v>503</v>
      </c>
      <c r="R231" s="159" t="s">
        <v>884</v>
      </c>
      <c r="S231" s="165">
        <v>1.48333503715888E-2</v>
      </c>
      <c r="T231" s="166" t="s">
        <v>382</v>
      </c>
      <c r="U231" s="166"/>
      <c r="V231" s="166"/>
      <c r="W231" s="167">
        <f>IF(BetTable[Sport]="","",BetTable[Stake]+BetTable[S2]+BetTable[S3])</f>
        <v>6</v>
      </c>
      <c r="X231" s="164">
        <f>IF(BetTable[Odds]="","",(BetTable[WBA1-Commission])-BetTable[TS])</f>
        <v>16.5</v>
      </c>
      <c r="Y231" s="168">
        <f>IF(BetTable[Outcome]="","",BetTable[WBA1]+BetTable[WBA2]+BetTable[WBA3]-BetTable[TS])</f>
        <v>-6</v>
      </c>
      <c r="Z231" s="164">
        <f>(((BetTable[Odds]-1)*BetTable[Stake])*(1-(BetTable[Comm %]))+BetTable[Stake])</f>
        <v>22.5</v>
      </c>
      <c r="AA231" s="164">
        <f>(((BetTable[O2]-1)*BetTable[S2])*(1-(BetTable[C% 2]))+BetTable[S2])</f>
        <v>0</v>
      </c>
      <c r="AB231" s="164">
        <f>(((BetTable[O3]-1)*BetTable[S3])*(1-(BetTable[C% 3]))+BetTable[S3])</f>
        <v>0</v>
      </c>
      <c r="AC231" s="165">
        <f>IFERROR(IF(BetTable[Sport]="","",BetTable[R1]/BetTable[TS]),"")</f>
        <v>2.75</v>
      </c>
      <c r="AD231" s="165" t="str">
        <f>IF(BetTable[O2]="","",#REF!/BetTable[TS])</f>
        <v/>
      </c>
      <c r="AE231" s="165" t="str">
        <f>IFERROR(IF(BetTable[Sport]="","",#REF!/BetTable[TS]),"")</f>
        <v/>
      </c>
      <c r="AF231" s="164">
        <f>IF(BetTable[Outcome]="Win",BetTable[WBA1-Commission],IF(BetTable[Outcome]="Win Half Stake",(BetTable[Stake]/2)+BetTable[WBA1-Commission]/2,IF(BetTable[Outcome]="Lose Half Stake",BetTable[Stake]/2,IF(BetTable[Outcome]="Lose",0,IF(BetTable[Outcome]="Void",BetTable[Stake],)))))</f>
        <v>0</v>
      </c>
      <c r="AG231" s="164">
        <f>IF(BetTable[Outcome2]="Win",BetTable[WBA2-Commission],IF(BetTable[Outcome2]="Win Half Stake",(BetTable[S2]/2)+BetTable[WBA2-Commission]/2,IF(BetTable[Outcome2]="Lose Half Stake",BetTable[S2]/2,IF(BetTable[Outcome2]="Lose",0,IF(BetTable[Outcome2]="Void",BetTable[S2],)))))</f>
        <v>0</v>
      </c>
      <c r="AH231" s="164">
        <f>IF(BetTable[Outcome3]="Win",BetTable[WBA3-Commission],IF(BetTable[Outcome3]="Win Half Stake",(BetTable[S3]/2)+BetTable[WBA3-Commission]/2,IF(BetTable[Outcome3]="Lose Half Stake",BetTable[S3]/2,IF(BetTable[Outcome3]="Lose",0,IF(BetTable[Outcome3]="Void",BetTable[S3],)))))</f>
        <v>0</v>
      </c>
      <c r="AI231" s="168">
        <f>IF(BetTable[Outcome]="",AI230,BetTable[Result]+AI230)</f>
        <v>354.33625000000023</v>
      </c>
      <c r="AJ231" s="160"/>
    </row>
    <row r="232" spans="1:36" x14ac:dyDescent="0.2">
      <c r="A232" s="159" t="s">
        <v>764</v>
      </c>
      <c r="B232" s="160" t="s">
        <v>200</v>
      </c>
      <c r="C232" s="161" t="s">
        <v>234</v>
      </c>
      <c r="D232" s="161"/>
      <c r="E232" s="161"/>
      <c r="F232" s="162"/>
      <c r="G232" s="162"/>
      <c r="H232" s="162"/>
      <c r="I232" s="160" t="s">
        <v>831</v>
      </c>
      <c r="J232" s="163">
        <v>2.09</v>
      </c>
      <c r="K232" s="163"/>
      <c r="L232" s="163"/>
      <c r="M232" s="164">
        <v>11</v>
      </c>
      <c r="N232" s="164"/>
      <c r="O232" s="164"/>
      <c r="P232" s="159" t="s">
        <v>457</v>
      </c>
      <c r="Q232" s="159" t="s">
        <v>703</v>
      </c>
      <c r="R232" s="159" t="s">
        <v>885</v>
      </c>
      <c r="S232" s="165">
        <v>9.9148226739241598E-3</v>
      </c>
      <c r="T232" s="166" t="s">
        <v>549</v>
      </c>
      <c r="U232" s="166"/>
      <c r="V232" s="166"/>
      <c r="W232" s="167">
        <f>IF(BetTable[Sport]="","",BetTable[Stake]+BetTable[S2]+BetTable[S3])</f>
        <v>11</v>
      </c>
      <c r="X232" s="164">
        <f>IF(BetTable[Odds]="","",(BetTable[WBA1-Commission])-BetTable[TS])</f>
        <v>11.989999999999998</v>
      </c>
      <c r="Y232" s="168">
        <f>IF(BetTable[Outcome]="","",BetTable[WBA1]+BetTable[WBA2]+BetTable[WBA3]-BetTable[TS])</f>
        <v>-5.5</v>
      </c>
      <c r="Z232" s="164">
        <f>(((BetTable[Odds]-1)*BetTable[Stake])*(1-(BetTable[Comm %]))+BetTable[Stake])</f>
        <v>22.99</v>
      </c>
      <c r="AA232" s="164">
        <f>(((BetTable[O2]-1)*BetTable[S2])*(1-(BetTable[C% 2]))+BetTable[S2])</f>
        <v>0</v>
      </c>
      <c r="AB232" s="164">
        <f>(((BetTable[O3]-1)*BetTable[S3])*(1-(BetTable[C% 3]))+BetTable[S3])</f>
        <v>0</v>
      </c>
      <c r="AC232" s="165">
        <f>IFERROR(IF(BetTable[Sport]="","",BetTable[R1]/BetTable[TS]),"")</f>
        <v>1.0899999999999999</v>
      </c>
      <c r="AD232" s="165" t="str">
        <f>IF(BetTable[O2]="","",#REF!/BetTable[TS])</f>
        <v/>
      </c>
      <c r="AE232" s="165" t="str">
        <f>IFERROR(IF(BetTable[Sport]="","",#REF!/BetTable[TS]),"")</f>
        <v/>
      </c>
      <c r="AF232" s="164">
        <f>IF(BetTable[Outcome]="Win",BetTable[WBA1-Commission],IF(BetTable[Outcome]="Win Half Stake",(BetTable[Stake]/2)+BetTable[WBA1-Commission]/2,IF(BetTable[Outcome]="Lose Half Stake",BetTable[Stake]/2,IF(BetTable[Outcome]="Lose",0,IF(BetTable[Outcome]="Void",BetTable[Stake],)))))</f>
        <v>5.5</v>
      </c>
      <c r="AG232" s="164">
        <f>IF(BetTable[Outcome2]="Win",BetTable[WBA2-Commission],IF(BetTable[Outcome2]="Win Half Stake",(BetTable[S2]/2)+BetTable[WBA2-Commission]/2,IF(BetTable[Outcome2]="Lose Half Stake",BetTable[S2]/2,IF(BetTable[Outcome2]="Lose",0,IF(BetTable[Outcome2]="Void",BetTable[S2],)))))</f>
        <v>0</v>
      </c>
      <c r="AH232" s="164">
        <f>IF(BetTable[Outcome3]="Win",BetTable[WBA3-Commission],IF(BetTable[Outcome3]="Win Half Stake",(BetTable[S3]/2)+BetTable[WBA3-Commission]/2,IF(BetTable[Outcome3]="Lose Half Stake",BetTable[S3]/2,IF(BetTable[Outcome3]="Lose",0,IF(BetTable[Outcome3]="Void",BetTable[S3],)))))</f>
        <v>0</v>
      </c>
      <c r="AI232" s="168">
        <f>IF(BetTable[Outcome]="",AI231,BetTable[Result]+AI231)</f>
        <v>348.83625000000023</v>
      </c>
      <c r="AJ232" s="160"/>
    </row>
    <row r="233" spans="1:36" x14ac:dyDescent="0.2">
      <c r="A233" s="159" t="s">
        <v>764</v>
      </c>
      <c r="B233" s="160" t="s">
        <v>200</v>
      </c>
      <c r="C233" s="161" t="s">
        <v>234</v>
      </c>
      <c r="D233" s="161"/>
      <c r="E233" s="161"/>
      <c r="F233" s="162"/>
      <c r="G233" s="162"/>
      <c r="H233" s="162"/>
      <c r="I233" s="160" t="s">
        <v>886</v>
      </c>
      <c r="J233" s="163">
        <v>2.16</v>
      </c>
      <c r="K233" s="163"/>
      <c r="L233" s="163"/>
      <c r="M233" s="164">
        <v>13</v>
      </c>
      <c r="N233" s="164"/>
      <c r="O233" s="164"/>
      <c r="P233" s="159" t="s">
        <v>348</v>
      </c>
      <c r="Q233" s="159" t="s">
        <v>703</v>
      </c>
      <c r="R233" s="159" t="s">
        <v>887</v>
      </c>
      <c r="S233" s="165">
        <v>1.26471502675459E-2</v>
      </c>
      <c r="T233" s="166" t="s">
        <v>383</v>
      </c>
      <c r="U233" s="166"/>
      <c r="V233" s="166"/>
      <c r="W233" s="167">
        <f>IF(BetTable[Sport]="","",BetTable[Stake]+BetTable[S2]+BetTable[S3])</f>
        <v>13</v>
      </c>
      <c r="X233" s="164">
        <f>IF(BetTable[Odds]="","",(BetTable[WBA1-Commission])-BetTable[TS])</f>
        <v>15.080000000000002</v>
      </c>
      <c r="Y233" s="168">
        <f>IF(BetTable[Outcome]="","",BetTable[WBA1]+BetTable[WBA2]+BetTable[WBA3]-BetTable[TS])</f>
        <v>0</v>
      </c>
      <c r="Z233" s="164">
        <f>(((BetTable[Odds]-1)*BetTable[Stake])*(1-(BetTable[Comm %]))+BetTable[Stake])</f>
        <v>28.080000000000002</v>
      </c>
      <c r="AA233" s="164">
        <f>(((BetTable[O2]-1)*BetTable[S2])*(1-(BetTable[C% 2]))+BetTable[S2])</f>
        <v>0</v>
      </c>
      <c r="AB233" s="164">
        <f>(((BetTable[O3]-1)*BetTable[S3])*(1-(BetTable[C% 3]))+BetTable[S3])</f>
        <v>0</v>
      </c>
      <c r="AC233" s="165">
        <f>IFERROR(IF(BetTable[Sport]="","",BetTable[R1]/BetTable[TS]),"")</f>
        <v>1.1600000000000001</v>
      </c>
      <c r="AD233" s="165" t="str">
        <f>IF(BetTable[O2]="","",#REF!/BetTable[TS])</f>
        <v/>
      </c>
      <c r="AE233" s="165" t="str">
        <f>IFERROR(IF(BetTable[Sport]="","",#REF!/BetTable[TS]),"")</f>
        <v/>
      </c>
      <c r="AF233" s="164">
        <f>IF(BetTable[Outcome]="Win",BetTable[WBA1-Commission],IF(BetTable[Outcome]="Win Half Stake",(BetTable[Stake]/2)+BetTable[WBA1-Commission]/2,IF(BetTable[Outcome]="Lose Half Stake",BetTable[Stake]/2,IF(BetTable[Outcome]="Lose",0,IF(BetTable[Outcome]="Void",BetTable[Stake],)))))</f>
        <v>13</v>
      </c>
      <c r="AG233" s="164">
        <f>IF(BetTable[Outcome2]="Win",BetTable[WBA2-Commission],IF(BetTable[Outcome2]="Win Half Stake",(BetTable[S2]/2)+BetTable[WBA2-Commission]/2,IF(BetTable[Outcome2]="Lose Half Stake",BetTable[S2]/2,IF(BetTable[Outcome2]="Lose",0,IF(BetTable[Outcome2]="Void",BetTable[S2],)))))</f>
        <v>0</v>
      </c>
      <c r="AH233" s="164">
        <f>IF(BetTable[Outcome3]="Win",BetTable[WBA3-Commission],IF(BetTable[Outcome3]="Win Half Stake",(BetTable[S3]/2)+BetTable[WBA3-Commission]/2,IF(BetTable[Outcome3]="Lose Half Stake",BetTable[S3]/2,IF(BetTable[Outcome3]="Lose",0,IF(BetTable[Outcome3]="Void",BetTable[S3],)))))</f>
        <v>0</v>
      </c>
      <c r="AI233" s="168">
        <f>IF(BetTable[Outcome]="",AI232,BetTable[Result]+AI232)</f>
        <v>348.83625000000023</v>
      </c>
      <c r="AJ233" s="160"/>
    </row>
    <row r="234" spans="1:36" x14ac:dyDescent="0.2">
      <c r="A234" s="159" t="s">
        <v>764</v>
      </c>
      <c r="B234" s="160" t="s">
        <v>200</v>
      </c>
      <c r="C234" s="161" t="s">
        <v>234</v>
      </c>
      <c r="D234" s="161"/>
      <c r="E234" s="161"/>
      <c r="F234" s="162"/>
      <c r="G234" s="162"/>
      <c r="H234" s="162"/>
      <c r="I234" s="160" t="s">
        <v>888</v>
      </c>
      <c r="J234" s="163">
        <v>1.87</v>
      </c>
      <c r="K234" s="163"/>
      <c r="L234" s="163"/>
      <c r="M234" s="164">
        <v>16</v>
      </c>
      <c r="N234" s="164"/>
      <c r="O234" s="164"/>
      <c r="P234" s="159" t="s">
        <v>343</v>
      </c>
      <c r="Q234" s="159" t="s">
        <v>889</v>
      </c>
      <c r="R234" s="159" t="s">
        <v>890</v>
      </c>
      <c r="S234" s="165">
        <v>1.15520119989325E-2</v>
      </c>
      <c r="T234" s="166" t="s">
        <v>510</v>
      </c>
      <c r="U234" s="166"/>
      <c r="V234" s="166"/>
      <c r="W234" s="167">
        <f>IF(BetTable[Sport]="","",BetTable[Stake]+BetTable[S2]+BetTable[S3])</f>
        <v>16</v>
      </c>
      <c r="X234" s="164">
        <f>IF(BetTable[Odds]="","",(BetTable[WBA1-Commission])-BetTable[TS])</f>
        <v>13.920000000000002</v>
      </c>
      <c r="Y234" s="168">
        <f>IF(BetTable[Outcome]="","",BetTable[WBA1]+BetTable[WBA2]+BetTable[WBA3]-BetTable[TS])</f>
        <v>6.9600000000000009</v>
      </c>
      <c r="Z234" s="164">
        <f>(((BetTable[Odds]-1)*BetTable[Stake])*(1-(BetTable[Comm %]))+BetTable[Stake])</f>
        <v>29.92</v>
      </c>
      <c r="AA234" s="164">
        <f>(((BetTable[O2]-1)*BetTable[S2])*(1-(BetTable[C% 2]))+BetTable[S2])</f>
        <v>0</v>
      </c>
      <c r="AB234" s="164">
        <f>(((BetTable[O3]-1)*BetTable[S3])*(1-(BetTable[C% 3]))+BetTable[S3])</f>
        <v>0</v>
      </c>
      <c r="AC234" s="165">
        <f>IFERROR(IF(BetTable[Sport]="","",BetTable[R1]/BetTable[TS]),"")</f>
        <v>0.87000000000000011</v>
      </c>
      <c r="AD234" s="165" t="str">
        <f>IF(BetTable[O2]="","",#REF!/BetTable[TS])</f>
        <v/>
      </c>
      <c r="AE234" s="165" t="str">
        <f>IFERROR(IF(BetTable[Sport]="","",#REF!/BetTable[TS]),"")</f>
        <v/>
      </c>
      <c r="AF234" s="164">
        <f>IF(BetTable[Outcome]="Win",BetTable[WBA1-Commission],IF(BetTable[Outcome]="Win Half Stake",(BetTable[Stake]/2)+BetTable[WBA1-Commission]/2,IF(BetTable[Outcome]="Lose Half Stake",BetTable[Stake]/2,IF(BetTable[Outcome]="Lose",0,IF(BetTable[Outcome]="Void",BetTable[Stake],)))))</f>
        <v>22.96</v>
      </c>
      <c r="AG234" s="164">
        <f>IF(BetTable[Outcome2]="Win",BetTable[WBA2-Commission],IF(BetTable[Outcome2]="Win Half Stake",(BetTable[S2]/2)+BetTable[WBA2-Commission]/2,IF(BetTable[Outcome2]="Lose Half Stake",BetTable[S2]/2,IF(BetTable[Outcome2]="Lose",0,IF(BetTable[Outcome2]="Void",BetTable[S2],)))))</f>
        <v>0</v>
      </c>
      <c r="AH234" s="164">
        <f>IF(BetTable[Outcome3]="Win",BetTable[WBA3-Commission],IF(BetTable[Outcome3]="Win Half Stake",(BetTable[S3]/2)+BetTable[WBA3-Commission]/2,IF(BetTable[Outcome3]="Lose Half Stake",BetTable[S3]/2,IF(BetTable[Outcome3]="Lose",0,IF(BetTable[Outcome3]="Void",BetTable[S3],)))))</f>
        <v>0</v>
      </c>
      <c r="AI234" s="168">
        <f>IF(BetTable[Outcome]="",AI233,BetTable[Result]+AI233)</f>
        <v>355.79625000000021</v>
      </c>
      <c r="AJ234" s="160"/>
    </row>
    <row r="235" spans="1:36" x14ac:dyDescent="0.2">
      <c r="A235" s="159" t="s">
        <v>764</v>
      </c>
      <c r="B235" s="160" t="s">
        <v>200</v>
      </c>
      <c r="C235" s="161" t="s">
        <v>91</v>
      </c>
      <c r="D235" s="161"/>
      <c r="E235" s="161"/>
      <c r="F235" s="162"/>
      <c r="G235" s="162"/>
      <c r="H235" s="162"/>
      <c r="I235" s="160" t="s">
        <v>831</v>
      </c>
      <c r="J235" s="163">
        <v>5.2</v>
      </c>
      <c r="K235" s="163"/>
      <c r="L235" s="163"/>
      <c r="M235" s="164">
        <v>11</v>
      </c>
      <c r="N235" s="164"/>
      <c r="O235" s="164"/>
      <c r="P235" s="159" t="s">
        <v>442</v>
      </c>
      <c r="Q235" s="159" t="s">
        <v>703</v>
      </c>
      <c r="R235" s="159" t="s">
        <v>891</v>
      </c>
      <c r="S235" s="165">
        <v>3.7805511428299202E-2</v>
      </c>
      <c r="T235" s="166" t="s">
        <v>382</v>
      </c>
      <c r="U235" s="166"/>
      <c r="V235" s="166"/>
      <c r="W235" s="167">
        <f>IF(BetTable[Sport]="","",BetTable[Stake]+BetTable[S2]+BetTable[S3])</f>
        <v>11</v>
      </c>
      <c r="X235" s="164">
        <f>IF(BetTable[Odds]="","",(BetTable[WBA1-Commission])-BetTable[TS])</f>
        <v>46.2</v>
      </c>
      <c r="Y235" s="168">
        <f>IF(BetTable[Outcome]="","",BetTable[WBA1]+BetTable[WBA2]+BetTable[WBA3]-BetTable[TS])</f>
        <v>-11</v>
      </c>
      <c r="Z235" s="164">
        <f>(((BetTable[Odds]-1)*BetTable[Stake])*(1-(BetTable[Comm %]))+BetTable[Stake])</f>
        <v>57.2</v>
      </c>
      <c r="AA235" s="164">
        <f>(((BetTable[O2]-1)*BetTable[S2])*(1-(BetTable[C% 2]))+BetTable[S2])</f>
        <v>0</v>
      </c>
      <c r="AB235" s="164">
        <f>(((BetTable[O3]-1)*BetTable[S3])*(1-(BetTable[C% 3]))+BetTable[S3])</f>
        <v>0</v>
      </c>
      <c r="AC235" s="165">
        <f>IFERROR(IF(BetTable[Sport]="","",BetTable[R1]/BetTable[TS]),"")</f>
        <v>4.2</v>
      </c>
      <c r="AD235" s="165" t="str">
        <f>IF(BetTable[O2]="","",#REF!/BetTable[TS])</f>
        <v/>
      </c>
      <c r="AE235" s="165" t="str">
        <f>IFERROR(IF(BetTable[Sport]="","",#REF!/BetTable[TS]),"")</f>
        <v/>
      </c>
      <c r="AF235" s="164">
        <f>IF(BetTable[Outcome]="Win",BetTable[WBA1-Commission],IF(BetTable[Outcome]="Win Half Stake",(BetTable[Stake]/2)+BetTable[WBA1-Commission]/2,IF(BetTable[Outcome]="Lose Half Stake",BetTable[Stake]/2,IF(BetTable[Outcome]="Lose",0,IF(BetTable[Outcome]="Void",BetTable[Stake],)))))</f>
        <v>0</v>
      </c>
      <c r="AG235" s="164">
        <f>IF(BetTable[Outcome2]="Win",BetTable[WBA2-Commission],IF(BetTable[Outcome2]="Win Half Stake",(BetTable[S2]/2)+BetTable[WBA2-Commission]/2,IF(BetTable[Outcome2]="Lose Half Stake",BetTable[S2]/2,IF(BetTable[Outcome2]="Lose",0,IF(BetTable[Outcome2]="Void",BetTable[S2],)))))</f>
        <v>0</v>
      </c>
      <c r="AH235" s="164">
        <f>IF(BetTable[Outcome3]="Win",BetTable[WBA3-Commission],IF(BetTable[Outcome3]="Win Half Stake",(BetTable[S3]/2)+BetTable[WBA3-Commission]/2,IF(BetTable[Outcome3]="Lose Half Stake",BetTable[S3]/2,IF(BetTable[Outcome3]="Lose",0,IF(BetTable[Outcome3]="Void",BetTable[S3],)))))</f>
        <v>0</v>
      </c>
      <c r="AI235" s="168">
        <f>IF(BetTable[Outcome]="",AI234,BetTable[Result]+AI234)</f>
        <v>344.79625000000021</v>
      </c>
      <c r="AJ235" s="160"/>
    </row>
    <row r="236" spans="1:36" x14ac:dyDescent="0.2">
      <c r="A236" s="159" t="s">
        <v>764</v>
      </c>
      <c r="B236" s="160" t="s">
        <v>200</v>
      </c>
      <c r="C236" s="161" t="s">
        <v>91</v>
      </c>
      <c r="D236" s="161"/>
      <c r="E236" s="161"/>
      <c r="F236" s="162"/>
      <c r="G236" s="162"/>
      <c r="H236" s="162"/>
      <c r="I236" s="160" t="s">
        <v>892</v>
      </c>
      <c r="J236" s="163">
        <v>1.86</v>
      </c>
      <c r="K236" s="163"/>
      <c r="L236" s="163"/>
      <c r="M236" s="164">
        <v>23</v>
      </c>
      <c r="N236" s="164"/>
      <c r="O236" s="164"/>
      <c r="P236" s="159" t="s">
        <v>448</v>
      </c>
      <c r="Q236" s="159" t="s">
        <v>703</v>
      </c>
      <c r="R236" s="159" t="s">
        <v>893</v>
      </c>
      <c r="S236" s="165">
        <v>1.6643938263487399E-2</v>
      </c>
      <c r="T236" s="166" t="s">
        <v>372</v>
      </c>
      <c r="U236" s="166"/>
      <c r="V236" s="166"/>
      <c r="W236" s="167">
        <f>IF(BetTable[Sport]="","",BetTable[Stake]+BetTable[S2]+BetTable[S3])</f>
        <v>23</v>
      </c>
      <c r="X236" s="164">
        <f>IF(BetTable[Odds]="","",(BetTable[WBA1-Commission])-BetTable[TS])</f>
        <v>19.78</v>
      </c>
      <c r="Y236" s="168">
        <f>IF(BetTable[Outcome]="","",BetTable[WBA1]+BetTable[WBA2]+BetTable[WBA3]-BetTable[TS])</f>
        <v>19.78</v>
      </c>
      <c r="Z236" s="164">
        <f>(((BetTable[Odds]-1)*BetTable[Stake])*(1-(BetTable[Comm %]))+BetTable[Stake])</f>
        <v>42.78</v>
      </c>
      <c r="AA236" s="164">
        <f>(((BetTable[O2]-1)*BetTable[S2])*(1-(BetTable[C% 2]))+BetTable[S2])</f>
        <v>0</v>
      </c>
      <c r="AB236" s="164">
        <f>(((BetTable[O3]-1)*BetTable[S3])*(1-(BetTable[C% 3]))+BetTable[S3])</f>
        <v>0</v>
      </c>
      <c r="AC236" s="165">
        <f>IFERROR(IF(BetTable[Sport]="","",BetTable[R1]/BetTable[TS]),"")</f>
        <v>0.8600000000000001</v>
      </c>
      <c r="AD236" s="165" t="str">
        <f>IF(BetTable[O2]="","",#REF!/BetTable[TS])</f>
        <v/>
      </c>
      <c r="AE236" s="165" t="str">
        <f>IFERROR(IF(BetTable[Sport]="","",#REF!/BetTable[TS]),"")</f>
        <v/>
      </c>
      <c r="AF236" s="164">
        <f>IF(BetTable[Outcome]="Win",BetTable[WBA1-Commission],IF(BetTable[Outcome]="Win Half Stake",(BetTable[Stake]/2)+BetTable[WBA1-Commission]/2,IF(BetTable[Outcome]="Lose Half Stake",BetTable[Stake]/2,IF(BetTable[Outcome]="Lose",0,IF(BetTable[Outcome]="Void",BetTable[Stake],)))))</f>
        <v>42.78</v>
      </c>
      <c r="AG236" s="164">
        <f>IF(BetTable[Outcome2]="Win",BetTable[WBA2-Commission],IF(BetTable[Outcome2]="Win Half Stake",(BetTable[S2]/2)+BetTable[WBA2-Commission]/2,IF(BetTable[Outcome2]="Lose Half Stake",BetTable[S2]/2,IF(BetTable[Outcome2]="Lose",0,IF(BetTable[Outcome2]="Void",BetTable[S2],)))))</f>
        <v>0</v>
      </c>
      <c r="AH236" s="164">
        <f>IF(BetTable[Outcome3]="Win",BetTable[WBA3-Commission],IF(BetTable[Outcome3]="Win Half Stake",(BetTable[S3]/2)+BetTable[WBA3-Commission]/2,IF(BetTable[Outcome3]="Lose Half Stake",BetTable[S3]/2,IF(BetTable[Outcome3]="Lose",0,IF(BetTable[Outcome3]="Void",BetTable[S3],)))))</f>
        <v>0</v>
      </c>
      <c r="AI236" s="168">
        <f>IF(BetTable[Outcome]="",AI235,BetTable[Result]+AI235)</f>
        <v>364.57625000000019</v>
      </c>
      <c r="AJ236" s="160"/>
    </row>
    <row r="237" spans="1:36" x14ac:dyDescent="0.2">
      <c r="A237" s="159" t="s">
        <v>764</v>
      </c>
      <c r="B237" s="160" t="s">
        <v>200</v>
      </c>
      <c r="C237" s="161" t="s">
        <v>91</v>
      </c>
      <c r="D237" s="161"/>
      <c r="E237" s="161"/>
      <c r="F237" s="162"/>
      <c r="G237" s="162"/>
      <c r="H237" s="162"/>
      <c r="I237" s="160" t="s">
        <v>894</v>
      </c>
      <c r="J237" s="163">
        <v>1.95</v>
      </c>
      <c r="K237" s="163"/>
      <c r="L237" s="163"/>
      <c r="M237" s="164">
        <v>20</v>
      </c>
      <c r="N237" s="164"/>
      <c r="O237" s="164"/>
      <c r="P237" s="159" t="s">
        <v>448</v>
      </c>
      <c r="Q237" s="159" t="s">
        <v>703</v>
      </c>
      <c r="R237" s="159" t="s">
        <v>895</v>
      </c>
      <c r="S237" s="165">
        <v>1.6214727308413199E-2</v>
      </c>
      <c r="T237" s="166" t="s">
        <v>382</v>
      </c>
      <c r="U237" s="166"/>
      <c r="V237" s="166"/>
      <c r="W237" s="167">
        <f>IF(BetTable[Sport]="","",BetTable[Stake]+BetTable[S2]+BetTable[S3])</f>
        <v>20</v>
      </c>
      <c r="X237" s="164">
        <f>IF(BetTable[Odds]="","",(BetTable[WBA1-Commission])-BetTable[TS])</f>
        <v>19</v>
      </c>
      <c r="Y237" s="168">
        <f>IF(BetTable[Outcome]="","",BetTable[WBA1]+BetTable[WBA2]+BetTable[WBA3]-BetTable[TS])</f>
        <v>-20</v>
      </c>
      <c r="Z237" s="164">
        <f>(((BetTable[Odds]-1)*BetTable[Stake])*(1-(BetTable[Comm %]))+BetTable[Stake])</f>
        <v>39</v>
      </c>
      <c r="AA237" s="164">
        <f>(((BetTable[O2]-1)*BetTable[S2])*(1-(BetTable[C% 2]))+BetTable[S2])</f>
        <v>0</v>
      </c>
      <c r="AB237" s="164">
        <f>(((BetTable[O3]-1)*BetTable[S3])*(1-(BetTable[C% 3]))+BetTable[S3])</f>
        <v>0</v>
      </c>
      <c r="AC237" s="165">
        <f>IFERROR(IF(BetTable[Sport]="","",BetTable[R1]/BetTable[TS]),"")</f>
        <v>0.95</v>
      </c>
      <c r="AD237" s="165" t="str">
        <f>IF(BetTable[O2]="","",#REF!/BetTable[TS])</f>
        <v/>
      </c>
      <c r="AE237" s="165" t="str">
        <f>IFERROR(IF(BetTable[Sport]="","",#REF!/BetTable[TS]),"")</f>
        <v/>
      </c>
      <c r="AF237" s="164">
        <f>IF(BetTable[Outcome]="Win",BetTable[WBA1-Commission],IF(BetTable[Outcome]="Win Half Stake",(BetTable[Stake]/2)+BetTable[WBA1-Commission]/2,IF(BetTable[Outcome]="Lose Half Stake",BetTable[Stake]/2,IF(BetTable[Outcome]="Lose",0,IF(BetTable[Outcome]="Void",BetTable[Stake],)))))</f>
        <v>0</v>
      </c>
      <c r="AG237" s="164">
        <f>IF(BetTable[Outcome2]="Win",BetTable[WBA2-Commission],IF(BetTable[Outcome2]="Win Half Stake",(BetTable[S2]/2)+BetTable[WBA2-Commission]/2,IF(BetTable[Outcome2]="Lose Half Stake",BetTable[S2]/2,IF(BetTable[Outcome2]="Lose",0,IF(BetTable[Outcome2]="Void",BetTable[S2],)))))</f>
        <v>0</v>
      </c>
      <c r="AH237" s="164">
        <f>IF(BetTable[Outcome3]="Win",BetTable[WBA3-Commission],IF(BetTable[Outcome3]="Win Half Stake",(BetTable[S3]/2)+BetTable[WBA3-Commission]/2,IF(BetTable[Outcome3]="Lose Half Stake",BetTable[S3]/2,IF(BetTable[Outcome3]="Lose",0,IF(BetTable[Outcome3]="Void",BetTable[S3],)))))</f>
        <v>0</v>
      </c>
      <c r="AI237" s="168">
        <f>IF(BetTable[Outcome]="",AI236,BetTable[Result]+AI236)</f>
        <v>344.57625000000019</v>
      </c>
      <c r="AJ237" s="160"/>
    </row>
    <row r="238" spans="1:36" x14ac:dyDescent="0.2">
      <c r="A238" s="159" t="s">
        <v>764</v>
      </c>
      <c r="B238" s="160" t="s">
        <v>200</v>
      </c>
      <c r="C238" s="161" t="s">
        <v>91</v>
      </c>
      <c r="D238" s="161"/>
      <c r="E238" s="161"/>
      <c r="F238" s="162"/>
      <c r="G238" s="162"/>
      <c r="H238" s="162"/>
      <c r="I238" s="160" t="s">
        <v>896</v>
      </c>
      <c r="J238" s="163">
        <v>1.78</v>
      </c>
      <c r="K238" s="163"/>
      <c r="L238" s="163"/>
      <c r="M238" s="164">
        <v>28</v>
      </c>
      <c r="N238" s="164"/>
      <c r="O238" s="164"/>
      <c r="P238" s="159" t="s">
        <v>406</v>
      </c>
      <c r="Q238" s="159" t="s">
        <v>703</v>
      </c>
      <c r="R238" s="159" t="s">
        <v>897</v>
      </c>
      <c r="S238" s="165">
        <v>1.8189515944473801E-2</v>
      </c>
      <c r="T238" s="166" t="s">
        <v>510</v>
      </c>
      <c r="U238" s="166"/>
      <c r="V238" s="166"/>
      <c r="W238" s="167">
        <f>IF(BetTable[Sport]="","",BetTable[Stake]+BetTable[S2]+BetTable[S3])</f>
        <v>28</v>
      </c>
      <c r="X238" s="164">
        <f>IF(BetTable[Odds]="","",(BetTable[WBA1-Commission])-BetTable[TS])</f>
        <v>21.840000000000003</v>
      </c>
      <c r="Y238" s="168">
        <f>IF(BetTable[Outcome]="","",BetTable[WBA1]+BetTable[WBA2]+BetTable[WBA3]-BetTable[TS])</f>
        <v>10.920000000000002</v>
      </c>
      <c r="Z238" s="164">
        <f>(((BetTable[Odds]-1)*BetTable[Stake])*(1-(BetTable[Comm %]))+BetTable[Stake])</f>
        <v>49.84</v>
      </c>
      <c r="AA238" s="164">
        <f>(((BetTable[O2]-1)*BetTable[S2])*(1-(BetTable[C% 2]))+BetTable[S2])</f>
        <v>0</v>
      </c>
      <c r="AB238" s="164">
        <f>(((BetTable[O3]-1)*BetTable[S3])*(1-(BetTable[C% 3]))+BetTable[S3])</f>
        <v>0</v>
      </c>
      <c r="AC238" s="165">
        <f>IFERROR(IF(BetTable[Sport]="","",BetTable[R1]/BetTable[TS]),"")</f>
        <v>0.78000000000000014</v>
      </c>
      <c r="AD238" s="165" t="str">
        <f>IF(BetTable[O2]="","",#REF!/BetTable[TS])</f>
        <v/>
      </c>
      <c r="AE238" s="165" t="str">
        <f>IFERROR(IF(BetTable[Sport]="","",#REF!/BetTable[TS]),"")</f>
        <v/>
      </c>
      <c r="AF238" s="164">
        <f>IF(BetTable[Outcome]="Win",BetTable[WBA1-Commission],IF(BetTable[Outcome]="Win Half Stake",(BetTable[Stake]/2)+BetTable[WBA1-Commission]/2,IF(BetTable[Outcome]="Lose Half Stake",BetTable[Stake]/2,IF(BetTable[Outcome]="Lose",0,IF(BetTable[Outcome]="Void",BetTable[Stake],)))))</f>
        <v>38.92</v>
      </c>
      <c r="AG238" s="164">
        <f>IF(BetTable[Outcome2]="Win",BetTable[WBA2-Commission],IF(BetTable[Outcome2]="Win Half Stake",(BetTable[S2]/2)+BetTable[WBA2-Commission]/2,IF(BetTable[Outcome2]="Lose Half Stake",BetTable[S2]/2,IF(BetTable[Outcome2]="Lose",0,IF(BetTable[Outcome2]="Void",BetTable[S2],)))))</f>
        <v>0</v>
      </c>
      <c r="AH238" s="164">
        <f>IF(BetTable[Outcome3]="Win",BetTable[WBA3-Commission],IF(BetTable[Outcome3]="Win Half Stake",(BetTable[S3]/2)+BetTable[WBA3-Commission]/2,IF(BetTable[Outcome3]="Lose Half Stake",BetTable[S3]/2,IF(BetTable[Outcome3]="Lose",0,IF(BetTable[Outcome3]="Void",BetTable[S3],)))))</f>
        <v>0</v>
      </c>
      <c r="AI238" s="168">
        <f>IF(BetTable[Outcome]="",AI237,BetTable[Result]+AI237)</f>
        <v>355.4962500000002</v>
      </c>
      <c r="AJ238" s="160"/>
    </row>
    <row r="239" spans="1:36" x14ac:dyDescent="0.2">
      <c r="A239" s="159" t="s">
        <v>764</v>
      </c>
      <c r="B239" s="160" t="s">
        <v>200</v>
      </c>
      <c r="C239" s="161" t="s">
        <v>234</v>
      </c>
      <c r="D239" s="161"/>
      <c r="E239" s="161"/>
      <c r="F239" s="162"/>
      <c r="G239" s="162"/>
      <c r="H239" s="162"/>
      <c r="I239" s="160" t="s">
        <v>898</v>
      </c>
      <c r="J239" s="163">
        <v>1.61</v>
      </c>
      <c r="K239" s="163"/>
      <c r="L239" s="163"/>
      <c r="M239" s="164">
        <v>19</v>
      </c>
      <c r="N239" s="164"/>
      <c r="O239" s="164"/>
      <c r="P239" s="159" t="s">
        <v>360</v>
      </c>
      <c r="Q239" s="159" t="s">
        <v>703</v>
      </c>
      <c r="R239" s="159" t="s">
        <v>899</v>
      </c>
      <c r="S239" s="165">
        <v>9.8607848842922306E-3</v>
      </c>
      <c r="T239" s="166" t="s">
        <v>372</v>
      </c>
      <c r="U239" s="166"/>
      <c r="V239" s="166"/>
      <c r="W239" s="167">
        <f>IF(BetTable[Sport]="","",BetTable[Stake]+BetTable[S2]+BetTable[S3])</f>
        <v>19</v>
      </c>
      <c r="X239" s="164">
        <f>IF(BetTable[Odds]="","",(BetTable[WBA1-Commission])-BetTable[TS])</f>
        <v>11.590000000000003</v>
      </c>
      <c r="Y239" s="168">
        <f>IF(BetTable[Outcome]="","",BetTable[WBA1]+BetTable[WBA2]+BetTable[WBA3]-BetTable[TS])</f>
        <v>11.590000000000003</v>
      </c>
      <c r="Z239" s="164">
        <f>(((BetTable[Odds]-1)*BetTable[Stake])*(1-(BetTable[Comm %]))+BetTable[Stake])</f>
        <v>30.590000000000003</v>
      </c>
      <c r="AA239" s="164">
        <f>(((BetTable[O2]-1)*BetTable[S2])*(1-(BetTable[C% 2]))+BetTable[S2])</f>
        <v>0</v>
      </c>
      <c r="AB239" s="164">
        <f>(((BetTable[O3]-1)*BetTable[S3])*(1-(BetTable[C% 3]))+BetTable[S3])</f>
        <v>0</v>
      </c>
      <c r="AC239" s="165">
        <f>IFERROR(IF(BetTable[Sport]="","",BetTable[R1]/BetTable[TS]),"")</f>
        <v>0.61000000000000021</v>
      </c>
      <c r="AD239" s="165" t="str">
        <f>IF(BetTable[O2]="","",#REF!/BetTable[TS])</f>
        <v/>
      </c>
      <c r="AE239" s="165" t="str">
        <f>IFERROR(IF(BetTable[Sport]="","",#REF!/BetTable[TS]),"")</f>
        <v/>
      </c>
      <c r="AF239" s="164">
        <f>IF(BetTable[Outcome]="Win",BetTable[WBA1-Commission],IF(BetTable[Outcome]="Win Half Stake",(BetTable[Stake]/2)+BetTable[WBA1-Commission]/2,IF(BetTable[Outcome]="Lose Half Stake",BetTable[Stake]/2,IF(BetTable[Outcome]="Lose",0,IF(BetTable[Outcome]="Void",BetTable[Stake],)))))</f>
        <v>30.590000000000003</v>
      </c>
      <c r="AG239" s="164">
        <f>IF(BetTable[Outcome2]="Win",BetTable[WBA2-Commission],IF(BetTable[Outcome2]="Win Half Stake",(BetTable[S2]/2)+BetTable[WBA2-Commission]/2,IF(BetTable[Outcome2]="Lose Half Stake",BetTable[S2]/2,IF(BetTable[Outcome2]="Lose",0,IF(BetTable[Outcome2]="Void",BetTable[S2],)))))</f>
        <v>0</v>
      </c>
      <c r="AH239" s="164">
        <f>IF(BetTable[Outcome3]="Win",BetTable[WBA3-Commission],IF(BetTable[Outcome3]="Win Half Stake",(BetTable[S3]/2)+BetTable[WBA3-Commission]/2,IF(BetTable[Outcome3]="Lose Half Stake",BetTable[S3]/2,IF(BetTable[Outcome3]="Lose",0,IF(BetTable[Outcome3]="Void",BetTable[S3],)))))</f>
        <v>0</v>
      </c>
      <c r="AI239" s="168">
        <f>IF(BetTable[Outcome]="",AI238,BetTable[Result]+AI238)</f>
        <v>367.08625000000018</v>
      </c>
      <c r="AJ239" s="160"/>
    </row>
    <row r="240" spans="1:36" x14ac:dyDescent="0.2">
      <c r="A240" s="159" t="s">
        <v>764</v>
      </c>
      <c r="B240" s="160" t="s">
        <v>200</v>
      </c>
      <c r="C240" s="161" t="s">
        <v>91</v>
      </c>
      <c r="D240" s="161"/>
      <c r="E240" s="161"/>
      <c r="F240" s="162"/>
      <c r="G240" s="162"/>
      <c r="H240" s="162"/>
      <c r="I240" s="160" t="s">
        <v>900</v>
      </c>
      <c r="J240" s="163">
        <v>1.74</v>
      </c>
      <c r="K240" s="163"/>
      <c r="L240" s="163"/>
      <c r="M240" s="164">
        <v>37</v>
      </c>
      <c r="N240" s="164"/>
      <c r="O240" s="164"/>
      <c r="P240" s="159" t="s">
        <v>406</v>
      </c>
      <c r="Q240" s="159" t="s">
        <v>429</v>
      </c>
      <c r="R240" s="159" t="s">
        <v>901</v>
      </c>
      <c r="S240" s="165">
        <v>2.2737442350363301E-2</v>
      </c>
      <c r="T240" s="166" t="s">
        <v>372</v>
      </c>
      <c r="U240" s="166"/>
      <c r="V240" s="166"/>
      <c r="W240" s="167">
        <f>IF(BetTable[Sport]="","",BetTable[Stake]+BetTable[S2]+BetTable[S3])</f>
        <v>37</v>
      </c>
      <c r="X240" s="164">
        <f>IF(BetTable[Odds]="","",(BetTable[WBA1-Commission])-BetTable[TS])</f>
        <v>27.379999999999995</v>
      </c>
      <c r="Y240" s="168">
        <f>IF(BetTable[Outcome]="","",BetTable[WBA1]+BetTable[WBA2]+BetTable[WBA3]-BetTable[TS])</f>
        <v>27.379999999999995</v>
      </c>
      <c r="Z240" s="164">
        <f>(((BetTable[Odds]-1)*BetTable[Stake])*(1-(BetTable[Comm %]))+BetTable[Stake])</f>
        <v>64.38</v>
      </c>
      <c r="AA240" s="164">
        <f>(((BetTable[O2]-1)*BetTable[S2])*(1-(BetTable[C% 2]))+BetTable[S2])</f>
        <v>0</v>
      </c>
      <c r="AB240" s="164">
        <f>(((BetTable[O3]-1)*BetTable[S3])*(1-(BetTable[C% 3]))+BetTable[S3])</f>
        <v>0</v>
      </c>
      <c r="AC240" s="165">
        <f>IFERROR(IF(BetTable[Sport]="","",BetTable[R1]/BetTable[TS]),"")</f>
        <v>0.73999999999999988</v>
      </c>
      <c r="AD240" s="165" t="str">
        <f>IF(BetTable[O2]="","",#REF!/BetTable[TS])</f>
        <v/>
      </c>
      <c r="AE240" s="165" t="str">
        <f>IFERROR(IF(BetTable[Sport]="","",#REF!/BetTable[TS]),"")</f>
        <v/>
      </c>
      <c r="AF240" s="164">
        <f>IF(BetTable[Outcome]="Win",BetTable[WBA1-Commission],IF(BetTable[Outcome]="Win Half Stake",(BetTable[Stake]/2)+BetTable[WBA1-Commission]/2,IF(BetTable[Outcome]="Lose Half Stake",BetTable[Stake]/2,IF(BetTable[Outcome]="Lose",0,IF(BetTable[Outcome]="Void",BetTable[Stake],)))))</f>
        <v>64.38</v>
      </c>
      <c r="AG240" s="164">
        <f>IF(BetTable[Outcome2]="Win",BetTable[WBA2-Commission],IF(BetTable[Outcome2]="Win Half Stake",(BetTable[S2]/2)+BetTable[WBA2-Commission]/2,IF(BetTable[Outcome2]="Lose Half Stake",BetTable[S2]/2,IF(BetTable[Outcome2]="Lose",0,IF(BetTable[Outcome2]="Void",BetTable[S2],)))))</f>
        <v>0</v>
      </c>
      <c r="AH240" s="164">
        <f>IF(BetTable[Outcome3]="Win",BetTable[WBA3-Commission],IF(BetTable[Outcome3]="Win Half Stake",(BetTable[S3]/2)+BetTable[WBA3-Commission]/2,IF(BetTable[Outcome3]="Lose Half Stake",BetTable[S3]/2,IF(BetTable[Outcome3]="Lose",0,IF(BetTable[Outcome3]="Void",BetTable[S3],)))))</f>
        <v>0</v>
      </c>
      <c r="AI240" s="168">
        <f>IF(BetTable[Outcome]="",AI239,BetTable[Result]+AI239)</f>
        <v>394.46625000000017</v>
      </c>
      <c r="AJ240" s="160"/>
    </row>
    <row r="241" spans="1:36" x14ac:dyDescent="0.2">
      <c r="A241" s="159" t="s">
        <v>764</v>
      </c>
      <c r="B241" s="160" t="s">
        <v>201</v>
      </c>
      <c r="C241" s="161" t="s">
        <v>216</v>
      </c>
      <c r="D241" s="161"/>
      <c r="E241" s="161"/>
      <c r="F241" s="162"/>
      <c r="G241" s="162"/>
      <c r="H241" s="162"/>
      <c r="I241" s="160" t="s">
        <v>902</v>
      </c>
      <c r="J241" s="163">
        <v>2.0299999999999998</v>
      </c>
      <c r="K241" s="163"/>
      <c r="L241" s="163"/>
      <c r="M241" s="164">
        <v>34</v>
      </c>
      <c r="N241" s="164"/>
      <c r="O241" s="164"/>
      <c r="P241" s="159" t="s">
        <v>435</v>
      </c>
      <c r="Q241" s="159" t="s">
        <v>503</v>
      </c>
      <c r="R241" s="159" t="s">
        <v>903</v>
      </c>
      <c r="S241" s="165">
        <v>3.8932977153739799E-2</v>
      </c>
      <c r="T241" s="166" t="s">
        <v>382</v>
      </c>
      <c r="U241" s="166"/>
      <c r="V241" s="166"/>
      <c r="W241" s="167">
        <f>IF(BetTable[Sport]="","",BetTable[Stake]+BetTable[S2]+BetTable[S3])</f>
        <v>34</v>
      </c>
      <c r="X241" s="164">
        <f>IF(BetTable[Odds]="","",(BetTable[WBA1-Commission])-BetTable[TS])</f>
        <v>35.019999999999996</v>
      </c>
      <c r="Y241" s="168">
        <f>IF(BetTable[Outcome]="","",BetTable[WBA1]+BetTable[WBA2]+BetTable[WBA3]-BetTable[TS])</f>
        <v>-34</v>
      </c>
      <c r="Z241" s="164">
        <f>(((BetTable[Odds]-1)*BetTable[Stake])*(1-(BetTable[Comm %]))+BetTable[Stake])</f>
        <v>69.02</v>
      </c>
      <c r="AA241" s="164">
        <f>(((BetTable[O2]-1)*BetTable[S2])*(1-(BetTable[C% 2]))+BetTable[S2])</f>
        <v>0</v>
      </c>
      <c r="AB241" s="164">
        <f>(((BetTable[O3]-1)*BetTable[S3])*(1-(BetTable[C% 3]))+BetTable[S3])</f>
        <v>0</v>
      </c>
      <c r="AC241" s="165">
        <f>IFERROR(IF(BetTable[Sport]="","",BetTable[R1]/BetTable[TS]),"")</f>
        <v>1.0299999999999998</v>
      </c>
      <c r="AD241" s="165" t="str">
        <f>IF(BetTable[O2]="","",#REF!/BetTable[TS])</f>
        <v/>
      </c>
      <c r="AE241" s="165" t="str">
        <f>IFERROR(IF(BetTable[Sport]="","",#REF!/BetTable[TS]),"")</f>
        <v/>
      </c>
      <c r="AF241" s="164">
        <f>IF(BetTable[Outcome]="Win",BetTable[WBA1-Commission],IF(BetTable[Outcome]="Win Half Stake",(BetTable[Stake]/2)+BetTable[WBA1-Commission]/2,IF(BetTable[Outcome]="Lose Half Stake",BetTable[Stake]/2,IF(BetTable[Outcome]="Lose",0,IF(BetTable[Outcome]="Void",BetTable[Stake],)))))</f>
        <v>0</v>
      </c>
      <c r="AG241" s="164">
        <f>IF(BetTable[Outcome2]="Win",BetTable[WBA2-Commission],IF(BetTable[Outcome2]="Win Half Stake",(BetTable[S2]/2)+BetTable[WBA2-Commission]/2,IF(BetTable[Outcome2]="Lose Half Stake",BetTable[S2]/2,IF(BetTable[Outcome2]="Lose",0,IF(BetTable[Outcome2]="Void",BetTable[S2],)))))</f>
        <v>0</v>
      </c>
      <c r="AH241" s="164">
        <f>IF(BetTable[Outcome3]="Win",BetTable[WBA3-Commission],IF(BetTable[Outcome3]="Win Half Stake",(BetTable[S3]/2)+BetTable[WBA3-Commission]/2,IF(BetTable[Outcome3]="Lose Half Stake",BetTable[S3]/2,IF(BetTable[Outcome3]="Lose",0,IF(BetTable[Outcome3]="Void",BetTable[S3],)))))</f>
        <v>0</v>
      </c>
      <c r="AI241" s="168">
        <f>IF(BetTable[Outcome]="",AI240,BetTable[Result]+AI240)</f>
        <v>360.46625000000017</v>
      </c>
      <c r="AJ241" s="160"/>
    </row>
    <row r="242" spans="1:36" x14ac:dyDescent="0.2">
      <c r="A242" s="159" t="s">
        <v>764</v>
      </c>
      <c r="B242" s="160" t="s">
        <v>200</v>
      </c>
      <c r="C242" s="161" t="s">
        <v>91</v>
      </c>
      <c r="D242" s="161"/>
      <c r="E242" s="161"/>
      <c r="F242" s="162"/>
      <c r="G242" s="162"/>
      <c r="H242" s="162"/>
      <c r="I242" s="160" t="s">
        <v>904</v>
      </c>
      <c r="J242" s="163">
        <v>1.94</v>
      </c>
      <c r="K242" s="163"/>
      <c r="L242" s="163"/>
      <c r="M242" s="164">
        <v>22</v>
      </c>
      <c r="N242" s="164"/>
      <c r="O242" s="164"/>
      <c r="P242" s="159" t="s">
        <v>348</v>
      </c>
      <c r="Q242" s="159" t="s">
        <v>488</v>
      </c>
      <c r="R242" s="159" t="s">
        <v>905</v>
      </c>
      <c r="S242" s="165">
        <v>1.6878498667433E-2</v>
      </c>
      <c r="T242" s="166" t="s">
        <v>383</v>
      </c>
      <c r="U242" s="166"/>
      <c r="V242" s="166"/>
      <c r="W242" s="167">
        <f>IF(BetTable[Sport]="","",BetTable[Stake]+BetTable[S2]+BetTable[S3])</f>
        <v>22</v>
      </c>
      <c r="X242" s="164">
        <f>IF(BetTable[Odds]="","",(BetTable[WBA1-Commission])-BetTable[TS])</f>
        <v>20.68</v>
      </c>
      <c r="Y242" s="168">
        <f>IF(BetTable[Outcome]="","",BetTable[WBA1]+BetTable[WBA2]+BetTable[WBA3]-BetTable[TS])</f>
        <v>0</v>
      </c>
      <c r="Z242" s="164">
        <f>(((BetTable[Odds]-1)*BetTable[Stake])*(1-(BetTable[Comm %]))+BetTable[Stake])</f>
        <v>42.68</v>
      </c>
      <c r="AA242" s="164">
        <f>(((BetTable[O2]-1)*BetTable[S2])*(1-(BetTable[C% 2]))+BetTable[S2])</f>
        <v>0</v>
      </c>
      <c r="AB242" s="164">
        <f>(((BetTable[O3]-1)*BetTable[S3])*(1-(BetTable[C% 3]))+BetTable[S3])</f>
        <v>0</v>
      </c>
      <c r="AC242" s="165">
        <f>IFERROR(IF(BetTable[Sport]="","",BetTable[R1]/BetTable[TS]),"")</f>
        <v>0.94</v>
      </c>
      <c r="AD242" s="165" t="str">
        <f>IF(BetTable[O2]="","",#REF!/BetTable[TS])</f>
        <v/>
      </c>
      <c r="AE242" s="165" t="str">
        <f>IFERROR(IF(BetTable[Sport]="","",#REF!/BetTable[TS]),"")</f>
        <v/>
      </c>
      <c r="AF242" s="164">
        <f>IF(BetTable[Outcome]="Win",BetTable[WBA1-Commission],IF(BetTable[Outcome]="Win Half Stake",(BetTable[Stake]/2)+BetTable[WBA1-Commission]/2,IF(BetTable[Outcome]="Lose Half Stake",BetTable[Stake]/2,IF(BetTable[Outcome]="Lose",0,IF(BetTable[Outcome]="Void",BetTable[Stake],)))))</f>
        <v>22</v>
      </c>
      <c r="AG242" s="164">
        <f>IF(BetTable[Outcome2]="Win",BetTable[WBA2-Commission],IF(BetTable[Outcome2]="Win Half Stake",(BetTable[S2]/2)+BetTable[WBA2-Commission]/2,IF(BetTable[Outcome2]="Lose Half Stake",BetTable[S2]/2,IF(BetTable[Outcome2]="Lose",0,IF(BetTable[Outcome2]="Void",BetTable[S2],)))))</f>
        <v>0</v>
      </c>
      <c r="AH242" s="164">
        <f>IF(BetTable[Outcome3]="Win",BetTable[WBA3-Commission],IF(BetTable[Outcome3]="Win Half Stake",(BetTable[S3]/2)+BetTable[WBA3-Commission]/2,IF(BetTable[Outcome3]="Lose Half Stake",BetTable[S3]/2,IF(BetTable[Outcome3]="Lose",0,IF(BetTable[Outcome3]="Void",BetTable[S3],)))))</f>
        <v>0</v>
      </c>
      <c r="AI242" s="168">
        <f>IF(BetTable[Outcome]="",AI241,BetTable[Result]+AI241)</f>
        <v>360.46625000000017</v>
      </c>
      <c r="AJ242" s="160"/>
    </row>
    <row r="243" spans="1:36" x14ac:dyDescent="0.2">
      <c r="A243" s="159" t="s">
        <v>764</v>
      </c>
      <c r="B243" s="160" t="s">
        <v>9</v>
      </c>
      <c r="C243" s="161" t="s">
        <v>216</v>
      </c>
      <c r="D243" s="161"/>
      <c r="E243" s="161"/>
      <c r="F243" s="162"/>
      <c r="G243" s="162"/>
      <c r="H243" s="162"/>
      <c r="I243" s="160" t="s">
        <v>788</v>
      </c>
      <c r="J243" s="163">
        <v>3.6</v>
      </c>
      <c r="K243" s="163"/>
      <c r="L243" s="163"/>
      <c r="M243" s="164">
        <v>8</v>
      </c>
      <c r="N243" s="164"/>
      <c r="O243" s="164"/>
      <c r="P243" s="159" t="s">
        <v>610</v>
      </c>
      <c r="Q243" s="159" t="s">
        <v>773</v>
      </c>
      <c r="R243" s="159" t="s">
        <v>906</v>
      </c>
      <c r="S243" s="165">
        <v>1.8279734988253402E-2</v>
      </c>
      <c r="T243" s="166" t="s">
        <v>372</v>
      </c>
      <c r="U243" s="166"/>
      <c r="V243" s="166"/>
      <c r="W243" s="167">
        <f>IF(BetTable[Sport]="","",BetTable[Stake]+BetTable[S2]+BetTable[S3])</f>
        <v>8</v>
      </c>
      <c r="X243" s="164">
        <f>IF(BetTable[Odds]="","",(BetTable[WBA1-Commission])-BetTable[TS])</f>
        <v>20.8</v>
      </c>
      <c r="Y243" s="168">
        <f>IF(BetTable[Outcome]="","",BetTable[WBA1]+BetTable[WBA2]+BetTable[WBA3]-BetTable[TS])</f>
        <v>20.8</v>
      </c>
      <c r="Z243" s="164">
        <f>(((BetTable[Odds]-1)*BetTable[Stake])*(1-(BetTable[Comm %]))+BetTable[Stake])</f>
        <v>28.8</v>
      </c>
      <c r="AA243" s="164">
        <f>(((BetTable[O2]-1)*BetTable[S2])*(1-(BetTable[C% 2]))+BetTable[S2])</f>
        <v>0</v>
      </c>
      <c r="AB243" s="164">
        <f>(((BetTable[O3]-1)*BetTable[S3])*(1-(BetTable[C% 3]))+BetTable[S3])</f>
        <v>0</v>
      </c>
      <c r="AC243" s="165">
        <f>IFERROR(IF(BetTable[Sport]="","",BetTable[R1]/BetTable[TS]),"")</f>
        <v>2.6</v>
      </c>
      <c r="AD243" s="165" t="str">
        <f>IF(BetTable[O2]="","",#REF!/BetTable[TS])</f>
        <v/>
      </c>
      <c r="AE243" s="165" t="str">
        <f>IFERROR(IF(BetTable[Sport]="","",#REF!/BetTable[TS]),"")</f>
        <v/>
      </c>
      <c r="AF243" s="164">
        <f>IF(BetTable[Outcome]="Win",BetTable[WBA1-Commission],IF(BetTable[Outcome]="Win Half Stake",(BetTable[Stake]/2)+BetTable[WBA1-Commission]/2,IF(BetTable[Outcome]="Lose Half Stake",BetTable[Stake]/2,IF(BetTable[Outcome]="Lose",0,IF(BetTable[Outcome]="Void",BetTable[Stake],)))))</f>
        <v>28.8</v>
      </c>
      <c r="AG243" s="164">
        <f>IF(BetTable[Outcome2]="Win",BetTable[WBA2-Commission],IF(BetTable[Outcome2]="Win Half Stake",(BetTable[S2]/2)+BetTable[WBA2-Commission]/2,IF(BetTable[Outcome2]="Lose Half Stake",BetTable[S2]/2,IF(BetTable[Outcome2]="Lose",0,IF(BetTable[Outcome2]="Void",BetTable[S2],)))))</f>
        <v>0</v>
      </c>
      <c r="AH243" s="164">
        <f>IF(BetTable[Outcome3]="Win",BetTable[WBA3-Commission],IF(BetTable[Outcome3]="Win Half Stake",(BetTable[S3]/2)+BetTable[WBA3-Commission]/2,IF(BetTable[Outcome3]="Lose Half Stake",BetTable[S3]/2,IF(BetTable[Outcome3]="Lose",0,IF(BetTable[Outcome3]="Void",BetTable[S3],)))))</f>
        <v>0</v>
      </c>
      <c r="AI243" s="168">
        <f>IF(BetTable[Outcome]="",AI242,BetTable[Result]+AI242)</f>
        <v>381.26625000000018</v>
      </c>
      <c r="AJ243" s="160"/>
    </row>
    <row r="244" spans="1:36" x14ac:dyDescent="0.2">
      <c r="A244" s="159" t="s">
        <v>764</v>
      </c>
      <c r="B244" s="160" t="s">
        <v>7</v>
      </c>
      <c r="C244" s="161" t="s">
        <v>216</v>
      </c>
      <c r="D244" s="161"/>
      <c r="E244" s="161"/>
      <c r="F244" s="162"/>
      <c r="G244" s="162"/>
      <c r="H244" s="162"/>
      <c r="I244" s="160" t="s">
        <v>907</v>
      </c>
      <c r="J244" s="163">
        <v>1.909</v>
      </c>
      <c r="K244" s="163"/>
      <c r="L244" s="163"/>
      <c r="M244" s="164">
        <v>56</v>
      </c>
      <c r="N244" s="164"/>
      <c r="O244" s="164"/>
      <c r="P244" s="159" t="s">
        <v>908</v>
      </c>
      <c r="Q244" s="159" t="s">
        <v>686</v>
      </c>
      <c r="R244" s="159" t="s">
        <v>909</v>
      </c>
      <c r="S244" s="165">
        <v>4.2644689510860902E-2</v>
      </c>
      <c r="T244" s="166" t="s">
        <v>372</v>
      </c>
      <c r="U244" s="166"/>
      <c r="V244" s="166"/>
      <c r="W244" s="167">
        <f>IF(BetTable[Sport]="","",BetTable[Stake]+BetTable[S2]+BetTable[S3])</f>
        <v>56</v>
      </c>
      <c r="X244" s="164">
        <f>IF(BetTable[Odds]="","",(BetTable[WBA1-Commission])-BetTable[TS])</f>
        <v>50.903999999999996</v>
      </c>
      <c r="Y244" s="168">
        <f>IF(BetTable[Outcome]="","",BetTable[WBA1]+BetTable[WBA2]+BetTable[WBA3]-BetTable[TS])</f>
        <v>50.903999999999996</v>
      </c>
      <c r="Z244" s="164">
        <f>(((BetTable[Odds]-1)*BetTable[Stake])*(1-(BetTable[Comm %]))+BetTable[Stake])</f>
        <v>106.904</v>
      </c>
      <c r="AA244" s="164">
        <f>(((BetTable[O2]-1)*BetTable[S2])*(1-(BetTable[C% 2]))+BetTable[S2])</f>
        <v>0</v>
      </c>
      <c r="AB244" s="164">
        <f>(((BetTable[O3]-1)*BetTable[S3])*(1-(BetTable[C% 3]))+BetTable[S3])</f>
        <v>0</v>
      </c>
      <c r="AC244" s="165">
        <f>IFERROR(IF(BetTable[Sport]="","",BetTable[R1]/BetTable[TS]),"")</f>
        <v>0.90899999999999992</v>
      </c>
      <c r="AD244" s="165" t="str">
        <f>IF(BetTable[O2]="","",#REF!/BetTable[TS])</f>
        <v/>
      </c>
      <c r="AE244" s="165" t="str">
        <f>IFERROR(IF(BetTable[Sport]="","",#REF!/BetTable[TS]),"")</f>
        <v/>
      </c>
      <c r="AF244" s="164">
        <f>IF(BetTable[Outcome]="Win",BetTable[WBA1-Commission],IF(BetTable[Outcome]="Win Half Stake",(BetTable[Stake]/2)+BetTable[WBA1-Commission]/2,IF(BetTable[Outcome]="Lose Half Stake",BetTable[Stake]/2,IF(BetTable[Outcome]="Lose",0,IF(BetTable[Outcome]="Void",BetTable[Stake],)))))</f>
        <v>106.904</v>
      </c>
      <c r="AG244" s="164">
        <f>IF(BetTable[Outcome2]="Win",BetTable[WBA2-Commission],IF(BetTable[Outcome2]="Win Half Stake",(BetTable[S2]/2)+BetTable[WBA2-Commission]/2,IF(BetTable[Outcome2]="Lose Half Stake",BetTable[S2]/2,IF(BetTable[Outcome2]="Lose",0,IF(BetTable[Outcome2]="Void",BetTable[S2],)))))</f>
        <v>0</v>
      </c>
      <c r="AH244" s="164">
        <f>IF(BetTable[Outcome3]="Win",BetTable[WBA3-Commission],IF(BetTable[Outcome3]="Win Half Stake",(BetTable[S3]/2)+BetTable[WBA3-Commission]/2,IF(BetTable[Outcome3]="Lose Half Stake",BetTable[S3]/2,IF(BetTable[Outcome3]="Lose",0,IF(BetTable[Outcome3]="Void",BetTable[S3],)))))</f>
        <v>0</v>
      </c>
      <c r="AI244" s="168">
        <f>IF(BetTable[Outcome]="",AI243,BetTable[Result]+AI243)</f>
        <v>432.17025000000018</v>
      </c>
      <c r="AJ244" s="160"/>
    </row>
    <row r="245" spans="1:36" x14ac:dyDescent="0.2">
      <c r="A245" s="159" t="s">
        <v>764</v>
      </c>
      <c r="B245" s="160" t="s">
        <v>7</v>
      </c>
      <c r="C245" s="161" t="s">
        <v>216</v>
      </c>
      <c r="D245" s="161"/>
      <c r="E245" s="161"/>
      <c r="F245" s="162"/>
      <c r="G245" s="162"/>
      <c r="H245" s="162"/>
      <c r="I245" s="160" t="s">
        <v>907</v>
      </c>
      <c r="J245" s="163">
        <v>1.909</v>
      </c>
      <c r="K245" s="163"/>
      <c r="L245" s="163"/>
      <c r="M245" s="164">
        <v>36</v>
      </c>
      <c r="N245" s="164"/>
      <c r="O245" s="164"/>
      <c r="P245" s="159" t="s">
        <v>910</v>
      </c>
      <c r="Q245" s="159" t="s">
        <v>911</v>
      </c>
      <c r="R245" s="159" t="s">
        <v>912</v>
      </c>
      <c r="S245" s="165">
        <v>2.7010134559700201E-2</v>
      </c>
      <c r="T245" s="166" t="s">
        <v>382</v>
      </c>
      <c r="U245" s="166"/>
      <c r="V245" s="166"/>
      <c r="W245" s="167">
        <f>IF(BetTable[Sport]="","",BetTable[Stake]+BetTable[S2]+BetTable[S3])</f>
        <v>36</v>
      </c>
      <c r="X245" s="164">
        <f>IF(BetTable[Odds]="","",(BetTable[WBA1-Commission])-BetTable[TS])</f>
        <v>32.724000000000004</v>
      </c>
      <c r="Y245" s="168">
        <f>IF(BetTable[Outcome]="","",BetTable[WBA1]+BetTable[WBA2]+BetTable[WBA3]-BetTable[TS])</f>
        <v>-36</v>
      </c>
      <c r="Z245" s="164">
        <f>(((BetTable[Odds]-1)*BetTable[Stake])*(1-(BetTable[Comm %]))+BetTable[Stake])</f>
        <v>68.724000000000004</v>
      </c>
      <c r="AA245" s="164">
        <f>(((BetTable[O2]-1)*BetTable[S2])*(1-(BetTable[C% 2]))+BetTable[S2])</f>
        <v>0</v>
      </c>
      <c r="AB245" s="164">
        <f>(((BetTable[O3]-1)*BetTable[S3])*(1-(BetTable[C% 3]))+BetTable[S3])</f>
        <v>0</v>
      </c>
      <c r="AC245" s="165">
        <f>IFERROR(IF(BetTable[Sport]="","",BetTable[R1]/BetTable[TS]),"")</f>
        <v>0.90900000000000014</v>
      </c>
      <c r="AD245" s="165" t="str">
        <f>IF(BetTable[O2]="","",#REF!/BetTable[TS])</f>
        <v/>
      </c>
      <c r="AE245" s="165" t="str">
        <f>IFERROR(IF(BetTable[Sport]="","",#REF!/BetTable[TS]),"")</f>
        <v/>
      </c>
      <c r="AF245" s="164">
        <f>IF(BetTable[Outcome]="Win",BetTable[WBA1-Commission],IF(BetTable[Outcome]="Win Half Stake",(BetTable[Stake]/2)+BetTable[WBA1-Commission]/2,IF(BetTable[Outcome]="Lose Half Stake",BetTable[Stake]/2,IF(BetTable[Outcome]="Lose",0,IF(BetTable[Outcome]="Void",BetTable[Stake],)))))</f>
        <v>0</v>
      </c>
      <c r="AG245" s="164">
        <f>IF(BetTable[Outcome2]="Win",BetTable[WBA2-Commission],IF(BetTable[Outcome2]="Win Half Stake",(BetTable[S2]/2)+BetTable[WBA2-Commission]/2,IF(BetTable[Outcome2]="Lose Half Stake",BetTable[S2]/2,IF(BetTable[Outcome2]="Lose",0,IF(BetTable[Outcome2]="Void",BetTable[S2],)))))</f>
        <v>0</v>
      </c>
      <c r="AH245" s="164">
        <f>IF(BetTable[Outcome3]="Win",BetTable[WBA3-Commission],IF(BetTable[Outcome3]="Win Half Stake",(BetTable[S3]/2)+BetTable[WBA3-Commission]/2,IF(BetTable[Outcome3]="Lose Half Stake",BetTable[S3]/2,IF(BetTable[Outcome3]="Lose",0,IF(BetTable[Outcome3]="Void",BetTable[S3],)))))</f>
        <v>0</v>
      </c>
      <c r="AI245" s="168">
        <f>IF(BetTable[Outcome]="",AI244,BetTable[Result]+AI244)</f>
        <v>396.17025000000018</v>
      </c>
      <c r="AJ245" s="160"/>
    </row>
    <row r="246" spans="1:36" x14ac:dyDescent="0.2">
      <c r="A246" s="159" t="s">
        <v>764</v>
      </c>
      <c r="B246" s="160" t="s">
        <v>200</v>
      </c>
      <c r="C246" s="161" t="s">
        <v>91</v>
      </c>
      <c r="D246" s="161"/>
      <c r="E246" s="161"/>
      <c r="F246" s="162"/>
      <c r="G246" s="162"/>
      <c r="H246" s="162"/>
      <c r="I246" s="160" t="s">
        <v>843</v>
      </c>
      <c r="J246" s="163">
        <v>2.35</v>
      </c>
      <c r="K246" s="163"/>
      <c r="L246" s="163"/>
      <c r="M246" s="164">
        <v>13</v>
      </c>
      <c r="N246" s="164"/>
      <c r="O246" s="164"/>
      <c r="P246" s="159" t="s">
        <v>348</v>
      </c>
      <c r="Q246" s="159" t="s">
        <v>547</v>
      </c>
      <c r="R246" s="159" t="s">
        <v>913</v>
      </c>
      <c r="S246" s="165">
        <v>1.4457753865962399E-2</v>
      </c>
      <c r="T246" s="166" t="s">
        <v>383</v>
      </c>
      <c r="U246" s="166"/>
      <c r="V246" s="166"/>
      <c r="W246" s="167">
        <f>IF(BetTable[Sport]="","",BetTable[Stake]+BetTable[S2]+BetTable[S3])</f>
        <v>13</v>
      </c>
      <c r="X246" s="164">
        <f>IF(BetTable[Odds]="","",(BetTable[WBA1-Commission])-BetTable[TS])</f>
        <v>17.55</v>
      </c>
      <c r="Y246" s="168">
        <f>IF(BetTable[Outcome]="","",BetTable[WBA1]+BetTable[WBA2]+BetTable[WBA3]-BetTable[TS])</f>
        <v>0</v>
      </c>
      <c r="Z246" s="164">
        <f>(((BetTable[Odds]-1)*BetTable[Stake])*(1-(BetTable[Comm %]))+BetTable[Stake])</f>
        <v>30.55</v>
      </c>
      <c r="AA246" s="164">
        <f>(((BetTable[O2]-1)*BetTable[S2])*(1-(BetTable[C% 2]))+BetTable[S2])</f>
        <v>0</v>
      </c>
      <c r="AB246" s="164">
        <f>(((BetTable[O3]-1)*BetTable[S3])*(1-(BetTable[C% 3]))+BetTable[S3])</f>
        <v>0</v>
      </c>
      <c r="AC246" s="165">
        <f>IFERROR(IF(BetTable[Sport]="","",BetTable[R1]/BetTable[TS]),"")</f>
        <v>1.35</v>
      </c>
      <c r="AD246" s="165" t="str">
        <f>IF(BetTable[O2]="","",#REF!/BetTable[TS])</f>
        <v/>
      </c>
      <c r="AE246" s="165" t="str">
        <f>IFERROR(IF(BetTable[Sport]="","",#REF!/BetTable[TS]),"")</f>
        <v/>
      </c>
      <c r="AF246" s="164">
        <f>IF(BetTable[Outcome]="Win",BetTable[WBA1-Commission],IF(BetTable[Outcome]="Win Half Stake",(BetTable[Stake]/2)+BetTable[WBA1-Commission]/2,IF(BetTable[Outcome]="Lose Half Stake",BetTable[Stake]/2,IF(BetTable[Outcome]="Lose",0,IF(BetTable[Outcome]="Void",BetTable[Stake],)))))</f>
        <v>13</v>
      </c>
      <c r="AG246" s="164">
        <f>IF(BetTable[Outcome2]="Win",BetTable[WBA2-Commission],IF(BetTable[Outcome2]="Win Half Stake",(BetTable[S2]/2)+BetTable[WBA2-Commission]/2,IF(BetTable[Outcome2]="Lose Half Stake",BetTable[S2]/2,IF(BetTable[Outcome2]="Lose",0,IF(BetTable[Outcome2]="Void",BetTable[S2],)))))</f>
        <v>0</v>
      </c>
      <c r="AH246" s="164">
        <f>IF(BetTable[Outcome3]="Win",BetTable[WBA3-Commission],IF(BetTable[Outcome3]="Win Half Stake",(BetTable[S3]/2)+BetTable[WBA3-Commission]/2,IF(BetTable[Outcome3]="Lose Half Stake",BetTable[S3]/2,IF(BetTable[Outcome3]="Lose",0,IF(BetTable[Outcome3]="Void",BetTable[S3],)))))</f>
        <v>0</v>
      </c>
      <c r="AI246" s="168">
        <f>IF(BetTable[Outcome]="",AI245,BetTable[Result]+AI245)</f>
        <v>396.17025000000018</v>
      </c>
      <c r="AJ246" s="160"/>
    </row>
    <row r="247" spans="1:36" x14ac:dyDescent="0.2">
      <c r="A247" s="159" t="s">
        <v>764</v>
      </c>
      <c r="B247" s="160" t="s">
        <v>200</v>
      </c>
      <c r="C247" s="161" t="s">
        <v>91</v>
      </c>
      <c r="D247" s="161"/>
      <c r="E247" s="161"/>
      <c r="F247" s="162"/>
      <c r="G247" s="162"/>
      <c r="H247" s="162"/>
      <c r="I247" s="160" t="s">
        <v>843</v>
      </c>
      <c r="J247" s="163">
        <v>1.67</v>
      </c>
      <c r="K247" s="163"/>
      <c r="L247" s="163"/>
      <c r="M247" s="164">
        <v>34</v>
      </c>
      <c r="N247" s="164"/>
      <c r="O247" s="164"/>
      <c r="P247" s="159" t="s">
        <v>688</v>
      </c>
      <c r="Q247" s="159" t="s">
        <v>547</v>
      </c>
      <c r="R247" s="159" t="s">
        <v>914</v>
      </c>
      <c r="S247" s="165">
        <v>1.8773425435813999E-2</v>
      </c>
      <c r="T247" s="166" t="s">
        <v>372</v>
      </c>
      <c r="U247" s="166"/>
      <c r="V247" s="166"/>
      <c r="W247" s="167">
        <f>IF(BetTable[Sport]="","",BetTable[Stake]+BetTable[S2]+BetTable[S3])</f>
        <v>34</v>
      </c>
      <c r="X247" s="164">
        <f>IF(BetTable[Odds]="","",(BetTable[WBA1-Commission])-BetTable[TS])</f>
        <v>22.78</v>
      </c>
      <c r="Y247" s="168">
        <f>IF(BetTable[Outcome]="","",BetTable[WBA1]+BetTable[WBA2]+BetTable[WBA3]-BetTable[TS])</f>
        <v>22.78</v>
      </c>
      <c r="Z247" s="164">
        <f>(((BetTable[Odds]-1)*BetTable[Stake])*(1-(BetTable[Comm %]))+BetTable[Stake])</f>
        <v>56.78</v>
      </c>
      <c r="AA247" s="164">
        <f>(((BetTable[O2]-1)*BetTable[S2])*(1-(BetTable[C% 2]))+BetTable[S2])</f>
        <v>0</v>
      </c>
      <c r="AB247" s="164">
        <f>(((BetTable[O3]-1)*BetTable[S3])*(1-(BetTable[C% 3]))+BetTable[S3])</f>
        <v>0</v>
      </c>
      <c r="AC247" s="165">
        <f>IFERROR(IF(BetTable[Sport]="","",BetTable[R1]/BetTable[TS]),"")</f>
        <v>0.67</v>
      </c>
      <c r="AD247" s="165" t="str">
        <f>IF(BetTable[O2]="","",#REF!/BetTable[TS])</f>
        <v/>
      </c>
      <c r="AE247" s="165" t="str">
        <f>IFERROR(IF(BetTable[Sport]="","",#REF!/BetTable[TS]),"")</f>
        <v/>
      </c>
      <c r="AF247" s="164">
        <f>IF(BetTable[Outcome]="Win",BetTable[WBA1-Commission],IF(BetTable[Outcome]="Win Half Stake",(BetTable[Stake]/2)+BetTable[WBA1-Commission]/2,IF(BetTable[Outcome]="Lose Half Stake",BetTable[Stake]/2,IF(BetTable[Outcome]="Lose",0,IF(BetTable[Outcome]="Void",BetTable[Stake],)))))</f>
        <v>56.78</v>
      </c>
      <c r="AG247" s="164">
        <f>IF(BetTable[Outcome2]="Win",BetTable[WBA2-Commission],IF(BetTable[Outcome2]="Win Half Stake",(BetTable[S2]/2)+BetTable[WBA2-Commission]/2,IF(BetTable[Outcome2]="Lose Half Stake",BetTable[S2]/2,IF(BetTable[Outcome2]="Lose",0,IF(BetTable[Outcome2]="Void",BetTable[S2],)))))</f>
        <v>0</v>
      </c>
      <c r="AH247" s="164">
        <f>IF(BetTable[Outcome3]="Win",BetTable[WBA3-Commission],IF(BetTable[Outcome3]="Win Half Stake",(BetTable[S3]/2)+BetTable[WBA3-Commission]/2,IF(BetTable[Outcome3]="Lose Half Stake",BetTable[S3]/2,IF(BetTable[Outcome3]="Lose",0,IF(BetTable[Outcome3]="Void",BetTable[S3],)))))</f>
        <v>0</v>
      </c>
      <c r="AI247" s="168">
        <f>IF(BetTable[Outcome]="",AI246,BetTable[Result]+AI246)</f>
        <v>418.95025000000021</v>
      </c>
      <c r="AJ247" s="160"/>
    </row>
    <row r="248" spans="1:36" x14ac:dyDescent="0.2">
      <c r="A248" s="159" t="s">
        <v>764</v>
      </c>
      <c r="B248" s="160" t="s">
        <v>200</v>
      </c>
      <c r="C248" s="161" t="s">
        <v>234</v>
      </c>
      <c r="D248" s="161"/>
      <c r="E248" s="161"/>
      <c r="F248" s="162"/>
      <c r="G248" s="162"/>
      <c r="H248" s="162"/>
      <c r="I248" s="160" t="s">
        <v>915</v>
      </c>
      <c r="J248" s="163">
        <v>3.25</v>
      </c>
      <c r="K248" s="163"/>
      <c r="L248" s="163"/>
      <c r="M248" s="164">
        <v>8</v>
      </c>
      <c r="N248" s="164"/>
      <c r="O248" s="164"/>
      <c r="P248" s="159" t="s">
        <v>494</v>
      </c>
      <c r="Q248" s="159" t="s">
        <v>818</v>
      </c>
      <c r="R248" s="159" t="s">
        <v>916</v>
      </c>
      <c r="S248" s="165">
        <v>1.4685466583703099E-2</v>
      </c>
      <c r="T248" s="166" t="s">
        <v>372</v>
      </c>
      <c r="U248" s="166"/>
      <c r="V248" s="166"/>
      <c r="W248" s="167">
        <f>IF(BetTable[Sport]="","",BetTable[Stake]+BetTable[S2]+BetTable[S3])</f>
        <v>8</v>
      </c>
      <c r="X248" s="164">
        <f>IF(BetTable[Odds]="","",(BetTable[WBA1-Commission])-BetTable[TS])</f>
        <v>18</v>
      </c>
      <c r="Y248" s="168">
        <f>IF(BetTable[Outcome]="","",BetTable[WBA1]+BetTable[WBA2]+BetTable[WBA3]-BetTable[TS])</f>
        <v>18</v>
      </c>
      <c r="Z248" s="164">
        <f>(((BetTable[Odds]-1)*BetTable[Stake])*(1-(BetTable[Comm %]))+BetTable[Stake])</f>
        <v>26</v>
      </c>
      <c r="AA248" s="164">
        <f>(((BetTable[O2]-1)*BetTable[S2])*(1-(BetTable[C% 2]))+BetTable[S2])</f>
        <v>0</v>
      </c>
      <c r="AB248" s="164">
        <f>(((BetTable[O3]-1)*BetTable[S3])*(1-(BetTable[C% 3]))+BetTable[S3])</f>
        <v>0</v>
      </c>
      <c r="AC248" s="165">
        <f>IFERROR(IF(BetTable[Sport]="","",BetTable[R1]/BetTable[TS]),"")</f>
        <v>2.25</v>
      </c>
      <c r="AD248" s="165" t="str">
        <f>IF(BetTable[O2]="","",#REF!/BetTable[TS])</f>
        <v/>
      </c>
      <c r="AE248" s="165" t="str">
        <f>IFERROR(IF(BetTable[Sport]="","",#REF!/BetTable[TS]),"")</f>
        <v/>
      </c>
      <c r="AF248" s="164">
        <f>IF(BetTable[Outcome]="Win",BetTable[WBA1-Commission],IF(BetTable[Outcome]="Win Half Stake",(BetTable[Stake]/2)+BetTable[WBA1-Commission]/2,IF(BetTable[Outcome]="Lose Half Stake",BetTable[Stake]/2,IF(BetTable[Outcome]="Lose",0,IF(BetTable[Outcome]="Void",BetTable[Stake],)))))</f>
        <v>26</v>
      </c>
      <c r="AG248" s="164">
        <f>IF(BetTable[Outcome2]="Win",BetTable[WBA2-Commission],IF(BetTable[Outcome2]="Win Half Stake",(BetTable[S2]/2)+BetTable[WBA2-Commission]/2,IF(BetTable[Outcome2]="Lose Half Stake",BetTable[S2]/2,IF(BetTable[Outcome2]="Lose",0,IF(BetTable[Outcome2]="Void",BetTable[S2],)))))</f>
        <v>0</v>
      </c>
      <c r="AH248" s="164">
        <f>IF(BetTable[Outcome3]="Win",BetTable[WBA3-Commission],IF(BetTable[Outcome3]="Win Half Stake",(BetTable[S3]/2)+BetTable[WBA3-Commission]/2,IF(BetTable[Outcome3]="Lose Half Stake",BetTable[S3]/2,IF(BetTable[Outcome3]="Lose",0,IF(BetTable[Outcome3]="Void",BetTable[S3],)))))</f>
        <v>0</v>
      </c>
      <c r="AI248" s="168">
        <f>IF(BetTable[Outcome]="",AI247,BetTable[Result]+AI247)</f>
        <v>436.95025000000021</v>
      </c>
      <c r="AJ248" s="160"/>
    </row>
    <row r="249" spans="1:36" x14ac:dyDescent="0.2">
      <c r="A249" s="159" t="s">
        <v>764</v>
      </c>
      <c r="B249" s="160" t="s">
        <v>200</v>
      </c>
      <c r="C249" s="161" t="s">
        <v>234</v>
      </c>
      <c r="D249" s="161"/>
      <c r="E249" s="161"/>
      <c r="F249" s="162"/>
      <c r="G249" s="162"/>
      <c r="H249" s="162"/>
      <c r="I249" s="160" t="s">
        <v>917</v>
      </c>
      <c r="J249" s="163">
        <v>1.69</v>
      </c>
      <c r="K249" s="163"/>
      <c r="L249" s="163"/>
      <c r="M249" s="164">
        <v>19</v>
      </c>
      <c r="N249" s="164"/>
      <c r="O249" s="164"/>
      <c r="P249" s="159" t="s">
        <v>918</v>
      </c>
      <c r="Q249" s="159" t="s">
        <v>919</v>
      </c>
      <c r="R249" s="159" t="s">
        <v>920</v>
      </c>
      <c r="S249" s="165">
        <v>1.12025548474423E-2</v>
      </c>
      <c r="T249" s="166" t="s">
        <v>382</v>
      </c>
      <c r="U249" s="166"/>
      <c r="V249" s="166"/>
      <c r="W249" s="167">
        <f>IF(BetTable[Sport]="","",BetTable[Stake]+BetTable[S2]+BetTable[S3])</f>
        <v>19</v>
      </c>
      <c r="X249" s="164">
        <f>IF(BetTable[Odds]="","",(BetTable[WBA1-Commission])-BetTable[TS])</f>
        <v>13.11</v>
      </c>
      <c r="Y249" s="168">
        <f>IF(BetTable[Outcome]="","",BetTable[WBA1]+BetTable[WBA2]+BetTable[WBA3]-BetTable[TS])</f>
        <v>-19</v>
      </c>
      <c r="Z249" s="164">
        <f>(((BetTable[Odds]-1)*BetTable[Stake])*(1-(BetTable[Comm %]))+BetTable[Stake])</f>
        <v>32.11</v>
      </c>
      <c r="AA249" s="164">
        <f>(((BetTable[O2]-1)*BetTable[S2])*(1-(BetTable[C% 2]))+BetTable[S2])</f>
        <v>0</v>
      </c>
      <c r="AB249" s="164">
        <f>(((BetTable[O3]-1)*BetTable[S3])*(1-(BetTable[C% 3]))+BetTable[S3])</f>
        <v>0</v>
      </c>
      <c r="AC249" s="165">
        <f>IFERROR(IF(BetTable[Sport]="","",BetTable[R1]/BetTable[TS]),"")</f>
        <v>0.69</v>
      </c>
      <c r="AD249" s="165" t="str">
        <f>IF(BetTable[O2]="","",#REF!/BetTable[TS])</f>
        <v/>
      </c>
      <c r="AE249" s="165" t="str">
        <f>IFERROR(IF(BetTable[Sport]="","",#REF!/BetTable[TS]),"")</f>
        <v/>
      </c>
      <c r="AF249" s="164">
        <f>IF(BetTable[Outcome]="Win",BetTable[WBA1-Commission],IF(BetTable[Outcome]="Win Half Stake",(BetTable[Stake]/2)+BetTable[WBA1-Commission]/2,IF(BetTable[Outcome]="Lose Half Stake",BetTable[Stake]/2,IF(BetTable[Outcome]="Lose",0,IF(BetTable[Outcome]="Void",BetTable[Stake],)))))</f>
        <v>0</v>
      </c>
      <c r="AG249" s="164">
        <f>IF(BetTable[Outcome2]="Win",BetTable[WBA2-Commission],IF(BetTable[Outcome2]="Win Half Stake",(BetTable[S2]/2)+BetTable[WBA2-Commission]/2,IF(BetTable[Outcome2]="Lose Half Stake",BetTable[S2]/2,IF(BetTable[Outcome2]="Lose",0,IF(BetTable[Outcome2]="Void",BetTable[S2],)))))</f>
        <v>0</v>
      </c>
      <c r="AH249" s="164">
        <f>IF(BetTable[Outcome3]="Win",BetTable[WBA3-Commission],IF(BetTable[Outcome3]="Win Half Stake",(BetTable[S3]/2)+BetTable[WBA3-Commission]/2,IF(BetTable[Outcome3]="Lose Half Stake",BetTable[S3]/2,IF(BetTable[Outcome3]="Lose",0,IF(BetTable[Outcome3]="Void",BetTable[S3],)))))</f>
        <v>0</v>
      </c>
      <c r="AI249" s="168">
        <f>IF(BetTable[Outcome]="",AI248,BetTable[Result]+AI248)</f>
        <v>417.95025000000021</v>
      </c>
      <c r="AJ249" s="160"/>
    </row>
    <row r="250" spans="1:36" x14ac:dyDescent="0.2">
      <c r="A250" s="159" t="s">
        <v>764</v>
      </c>
      <c r="B250" s="160" t="s">
        <v>9</v>
      </c>
      <c r="C250" s="161" t="s">
        <v>91</v>
      </c>
      <c r="D250" s="161"/>
      <c r="E250" s="161"/>
      <c r="F250" s="162"/>
      <c r="G250" s="162"/>
      <c r="H250" s="162"/>
      <c r="I250" s="160" t="s">
        <v>790</v>
      </c>
      <c r="J250" s="163">
        <v>1.98</v>
      </c>
      <c r="K250" s="163"/>
      <c r="L250" s="163"/>
      <c r="M250" s="164">
        <v>34</v>
      </c>
      <c r="N250" s="164"/>
      <c r="O250" s="164"/>
      <c r="P250" s="159" t="s">
        <v>776</v>
      </c>
      <c r="Q250" s="159" t="s">
        <v>569</v>
      </c>
      <c r="R250" s="159" t="s">
        <v>921</v>
      </c>
      <c r="S250" s="165">
        <v>2.8042541005031001E-2</v>
      </c>
      <c r="T250" s="166" t="s">
        <v>383</v>
      </c>
      <c r="U250" s="166"/>
      <c r="V250" s="166"/>
      <c r="W250" s="167">
        <f>IF(BetTable[Sport]="","",BetTable[Stake]+BetTable[S2]+BetTable[S3])</f>
        <v>34</v>
      </c>
      <c r="X250" s="164">
        <f>IF(BetTable[Odds]="","",(BetTable[WBA1-Commission])-BetTable[TS])</f>
        <v>33.319999999999993</v>
      </c>
      <c r="Y250" s="168">
        <f>IF(BetTable[Outcome]="","",BetTable[WBA1]+BetTable[WBA2]+BetTable[WBA3]-BetTable[TS])</f>
        <v>0</v>
      </c>
      <c r="Z250" s="164">
        <f>(((BetTable[Odds]-1)*BetTable[Stake])*(1-(BetTable[Comm %]))+BetTable[Stake])</f>
        <v>67.319999999999993</v>
      </c>
      <c r="AA250" s="164">
        <f>(((BetTable[O2]-1)*BetTable[S2])*(1-(BetTable[C% 2]))+BetTable[S2])</f>
        <v>0</v>
      </c>
      <c r="AB250" s="164">
        <f>(((BetTable[O3]-1)*BetTable[S3])*(1-(BetTable[C% 3]))+BetTable[S3])</f>
        <v>0</v>
      </c>
      <c r="AC250" s="165">
        <f>IFERROR(IF(BetTable[Sport]="","",BetTable[R1]/BetTable[TS]),"")</f>
        <v>0.97999999999999976</v>
      </c>
      <c r="AD250" s="165" t="str">
        <f>IF(BetTable[O2]="","",#REF!/BetTable[TS])</f>
        <v/>
      </c>
      <c r="AE250" s="165" t="str">
        <f>IFERROR(IF(BetTable[Sport]="","",#REF!/BetTable[TS]),"")</f>
        <v/>
      </c>
      <c r="AF250" s="164">
        <f>IF(BetTable[Outcome]="Win",BetTable[WBA1-Commission],IF(BetTable[Outcome]="Win Half Stake",(BetTable[Stake]/2)+BetTable[WBA1-Commission]/2,IF(BetTable[Outcome]="Lose Half Stake",BetTable[Stake]/2,IF(BetTable[Outcome]="Lose",0,IF(BetTable[Outcome]="Void",BetTable[Stake],)))))</f>
        <v>34</v>
      </c>
      <c r="AG250" s="164">
        <f>IF(BetTable[Outcome2]="Win",BetTable[WBA2-Commission],IF(BetTable[Outcome2]="Win Half Stake",(BetTable[S2]/2)+BetTable[WBA2-Commission]/2,IF(BetTable[Outcome2]="Lose Half Stake",BetTable[S2]/2,IF(BetTable[Outcome2]="Lose",0,IF(BetTable[Outcome2]="Void",BetTable[S2],)))))</f>
        <v>0</v>
      </c>
      <c r="AH250" s="164">
        <f>IF(BetTable[Outcome3]="Win",BetTable[WBA3-Commission],IF(BetTable[Outcome3]="Win Half Stake",(BetTable[S3]/2)+BetTable[WBA3-Commission]/2,IF(BetTable[Outcome3]="Lose Half Stake",BetTable[S3]/2,IF(BetTable[Outcome3]="Lose",0,IF(BetTable[Outcome3]="Void",BetTable[S3],)))))</f>
        <v>0</v>
      </c>
      <c r="AI250" s="168">
        <f>IF(BetTable[Outcome]="",AI249,BetTable[Result]+AI249)</f>
        <v>417.95025000000021</v>
      </c>
      <c r="AJ250" s="160"/>
    </row>
    <row r="251" spans="1:36" x14ac:dyDescent="0.2">
      <c r="A251" s="159" t="s">
        <v>764</v>
      </c>
      <c r="B251" s="160" t="s">
        <v>200</v>
      </c>
      <c r="C251" s="161" t="s">
        <v>91</v>
      </c>
      <c r="D251" s="161"/>
      <c r="E251" s="161"/>
      <c r="F251" s="162"/>
      <c r="G251" s="162"/>
      <c r="H251" s="162"/>
      <c r="I251" s="160" t="s">
        <v>922</v>
      </c>
      <c r="J251" s="163">
        <v>1.92</v>
      </c>
      <c r="K251" s="163"/>
      <c r="L251" s="163"/>
      <c r="M251" s="164">
        <v>22</v>
      </c>
      <c r="N251" s="164"/>
      <c r="O251" s="164"/>
      <c r="P251" s="159" t="s">
        <v>918</v>
      </c>
      <c r="Q251" s="159" t="s">
        <v>923</v>
      </c>
      <c r="R251" s="159" t="s">
        <v>924</v>
      </c>
      <c r="S251" s="165">
        <v>1.6979950146099501E-2</v>
      </c>
      <c r="T251" s="166" t="s">
        <v>382</v>
      </c>
      <c r="U251" s="166"/>
      <c r="V251" s="166"/>
      <c r="W251" s="167">
        <f>IF(BetTable[Sport]="","",BetTable[Stake]+BetTable[S2]+BetTable[S3])</f>
        <v>22</v>
      </c>
      <c r="X251" s="164">
        <f>IF(BetTable[Odds]="","",(BetTable[WBA1-Commission])-BetTable[TS])</f>
        <v>20.239999999999995</v>
      </c>
      <c r="Y251" s="168">
        <f>IF(BetTable[Outcome]="","",BetTable[WBA1]+BetTable[WBA2]+BetTable[WBA3]-BetTable[TS])</f>
        <v>-22</v>
      </c>
      <c r="Z251" s="164">
        <f>(((BetTable[Odds]-1)*BetTable[Stake])*(1-(BetTable[Comm %]))+BetTable[Stake])</f>
        <v>42.239999999999995</v>
      </c>
      <c r="AA251" s="164">
        <f>(((BetTable[O2]-1)*BetTable[S2])*(1-(BetTable[C% 2]))+BetTable[S2])</f>
        <v>0</v>
      </c>
      <c r="AB251" s="164">
        <f>(((BetTable[O3]-1)*BetTable[S3])*(1-(BetTable[C% 3]))+BetTable[S3])</f>
        <v>0</v>
      </c>
      <c r="AC251" s="165">
        <f>IFERROR(IF(BetTable[Sport]="","",BetTable[R1]/BetTable[TS]),"")</f>
        <v>0.91999999999999982</v>
      </c>
      <c r="AD251" s="165" t="str">
        <f>IF(BetTable[O2]="","",#REF!/BetTable[TS])</f>
        <v/>
      </c>
      <c r="AE251" s="165" t="str">
        <f>IFERROR(IF(BetTable[Sport]="","",#REF!/BetTable[TS]),"")</f>
        <v/>
      </c>
      <c r="AF251" s="164">
        <f>IF(BetTable[Outcome]="Win",BetTable[WBA1-Commission],IF(BetTable[Outcome]="Win Half Stake",(BetTable[Stake]/2)+BetTable[WBA1-Commission]/2,IF(BetTable[Outcome]="Lose Half Stake",BetTable[Stake]/2,IF(BetTable[Outcome]="Lose",0,IF(BetTable[Outcome]="Void",BetTable[Stake],)))))</f>
        <v>0</v>
      </c>
      <c r="AG251" s="164">
        <f>IF(BetTable[Outcome2]="Win",BetTable[WBA2-Commission],IF(BetTable[Outcome2]="Win Half Stake",(BetTable[S2]/2)+BetTable[WBA2-Commission]/2,IF(BetTable[Outcome2]="Lose Half Stake",BetTable[S2]/2,IF(BetTable[Outcome2]="Lose",0,IF(BetTable[Outcome2]="Void",BetTable[S2],)))))</f>
        <v>0</v>
      </c>
      <c r="AH251" s="164">
        <f>IF(BetTable[Outcome3]="Win",BetTable[WBA3-Commission],IF(BetTable[Outcome3]="Win Half Stake",(BetTable[S3]/2)+BetTable[WBA3-Commission]/2,IF(BetTable[Outcome3]="Lose Half Stake",BetTable[S3]/2,IF(BetTable[Outcome3]="Lose",0,IF(BetTable[Outcome3]="Void",BetTable[S3],)))))</f>
        <v>0</v>
      </c>
      <c r="AI251" s="168">
        <f>IF(BetTable[Outcome]="",AI250,BetTable[Result]+AI250)</f>
        <v>395.95025000000021</v>
      </c>
      <c r="AJ251" s="160"/>
    </row>
    <row r="252" spans="1:36" x14ac:dyDescent="0.2">
      <c r="A252" s="159" t="s">
        <v>764</v>
      </c>
      <c r="B252" s="160" t="s">
        <v>200</v>
      </c>
      <c r="C252" s="161" t="s">
        <v>91</v>
      </c>
      <c r="D252" s="161"/>
      <c r="E252" s="161"/>
      <c r="F252" s="162"/>
      <c r="G252" s="162"/>
      <c r="H252" s="162"/>
      <c r="I252" s="160" t="s">
        <v>922</v>
      </c>
      <c r="J252" s="163">
        <v>4</v>
      </c>
      <c r="K252" s="163"/>
      <c r="L252" s="163"/>
      <c r="M252" s="164">
        <v>8</v>
      </c>
      <c r="N252" s="164"/>
      <c r="O252" s="164"/>
      <c r="P252" s="159" t="s">
        <v>607</v>
      </c>
      <c r="Q252" s="159" t="s">
        <v>923</v>
      </c>
      <c r="R252" s="159" t="s">
        <v>925</v>
      </c>
      <c r="S252" s="165">
        <v>1.94932351266583E-2</v>
      </c>
      <c r="T252" s="166" t="s">
        <v>372</v>
      </c>
      <c r="U252" s="166"/>
      <c r="V252" s="166"/>
      <c r="W252" s="167">
        <f>IF(BetTable[Sport]="","",BetTable[Stake]+BetTable[S2]+BetTable[S3])</f>
        <v>8</v>
      </c>
      <c r="X252" s="164">
        <f>IF(BetTable[Odds]="","",(BetTable[WBA1-Commission])-BetTable[TS])</f>
        <v>24</v>
      </c>
      <c r="Y252" s="168">
        <f>IF(BetTable[Outcome]="","",BetTable[WBA1]+BetTable[WBA2]+BetTable[WBA3]-BetTable[TS])</f>
        <v>24</v>
      </c>
      <c r="Z252" s="164">
        <f>(((BetTable[Odds]-1)*BetTable[Stake])*(1-(BetTable[Comm %]))+BetTable[Stake])</f>
        <v>32</v>
      </c>
      <c r="AA252" s="164">
        <f>(((BetTable[O2]-1)*BetTable[S2])*(1-(BetTable[C% 2]))+BetTable[S2])</f>
        <v>0</v>
      </c>
      <c r="AB252" s="164">
        <f>(((BetTable[O3]-1)*BetTable[S3])*(1-(BetTable[C% 3]))+BetTable[S3])</f>
        <v>0</v>
      </c>
      <c r="AC252" s="165">
        <f>IFERROR(IF(BetTable[Sport]="","",BetTable[R1]/BetTable[TS]),"")</f>
        <v>3</v>
      </c>
      <c r="AD252" s="165" t="str">
        <f>IF(BetTable[O2]="","",#REF!/BetTable[TS])</f>
        <v/>
      </c>
      <c r="AE252" s="165" t="str">
        <f>IFERROR(IF(BetTable[Sport]="","",#REF!/BetTable[TS]),"")</f>
        <v/>
      </c>
      <c r="AF252" s="164">
        <f>IF(BetTable[Outcome]="Win",BetTable[WBA1-Commission],IF(BetTable[Outcome]="Win Half Stake",(BetTable[Stake]/2)+BetTable[WBA1-Commission]/2,IF(BetTable[Outcome]="Lose Half Stake",BetTable[Stake]/2,IF(BetTable[Outcome]="Lose",0,IF(BetTable[Outcome]="Void",BetTable[Stake],)))))</f>
        <v>32</v>
      </c>
      <c r="AG252" s="164">
        <f>IF(BetTable[Outcome2]="Win",BetTable[WBA2-Commission],IF(BetTable[Outcome2]="Win Half Stake",(BetTable[S2]/2)+BetTable[WBA2-Commission]/2,IF(BetTable[Outcome2]="Lose Half Stake",BetTable[S2]/2,IF(BetTable[Outcome2]="Lose",0,IF(BetTable[Outcome2]="Void",BetTable[S2],)))))</f>
        <v>0</v>
      </c>
      <c r="AH252" s="164">
        <f>IF(BetTable[Outcome3]="Win",BetTable[WBA3-Commission],IF(BetTable[Outcome3]="Win Half Stake",(BetTable[S3]/2)+BetTable[WBA3-Commission]/2,IF(BetTable[Outcome3]="Lose Half Stake",BetTable[S3]/2,IF(BetTable[Outcome3]="Lose",0,IF(BetTable[Outcome3]="Void",BetTable[S3],)))))</f>
        <v>0</v>
      </c>
      <c r="AI252" s="168">
        <f>IF(BetTable[Outcome]="",AI251,BetTable[Result]+AI251)</f>
        <v>419.95025000000021</v>
      </c>
      <c r="AJ252" s="160"/>
    </row>
    <row r="253" spans="1:36" x14ac:dyDescent="0.2">
      <c r="A253" s="159" t="s">
        <v>764</v>
      </c>
      <c r="B253" s="160" t="s">
        <v>200</v>
      </c>
      <c r="C253" s="161" t="s">
        <v>91</v>
      </c>
      <c r="D253" s="161"/>
      <c r="E253" s="161"/>
      <c r="F253" s="162"/>
      <c r="G253" s="162"/>
      <c r="H253" s="162"/>
      <c r="I253" s="160" t="s">
        <v>926</v>
      </c>
      <c r="J253" s="163">
        <v>2.11</v>
      </c>
      <c r="K253" s="163"/>
      <c r="L253" s="163"/>
      <c r="M253" s="164">
        <v>23</v>
      </c>
      <c r="N253" s="164"/>
      <c r="O253" s="164"/>
      <c r="P253" s="159" t="s">
        <v>927</v>
      </c>
      <c r="Q253" s="159" t="s">
        <v>581</v>
      </c>
      <c r="R253" s="159" t="s">
        <v>928</v>
      </c>
      <c r="S253" s="165">
        <v>2.0823232345112699E-2</v>
      </c>
      <c r="T253" s="166" t="s">
        <v>372</v>
      </c>
      <c r="U253" s="166"/>
      <c r="V253" s="166"/>
      <c r="W253" s="167">
        <f>IF(BetTable[Sport]="","",BetTable[Stake]+BetTable[S2]+BetTable[S3])</f>
        <v>23</v>
      </c>
      <c r="X253" s="164">
        <f>IF(BetTable[Odds]="","",(BetTable[WBA1-Commission])-BetTable[TS])</f>
        <v>25.53</v>
      </c>
      <c r="Y253" s="168">
        <f>IF(BetTable[Outcome]="","",BetTable[WBA1]+BetTable[WBA2]+BetTable[WBA3]-BetTable[TS])</f>
        <v>25.53</v>
      </c>
      <c r="Z253" s="164">
        <f>(((BetTable[Odds]-1)*BetTable[Stake])*(1-(BetTable[Comm %]))+BetTable[Stake])</f>
        <v>48.53</v>
      </c>
      <c r="AA253" s="164">
        <f>(((BetTable[O2]-1)*BetTable[S2])*(1-(BetTable[C% 2]))+BetTable[S2])</f>
        <v>0</v>
      </c>
      <c r="AB253" s="164">
        <f>(((BetTable[O3]-1)*BetTable[S3])*(1-(BetTable[C% 3]))+BetTable[S3])</f>
        <v>0</v>
      </c>
      <c r="AC253" s="165">
        <f>IFERROR(IF(BetTable[Sport]="","",BetTable[R1]/BetTable[TS]),"")</f>
        <v>1.1100000000000001</v>
      </c>
      <c r="AD253" s="165" t="str">
        <f>IF(BetTable[O2]="","",#REF!/BetTable[TS])</f>
        <v/>
      </c>
      <c r="AE253" s="165" t="str">
        <f>IFERROR(IF(BetTable[Sport]="","",#REF!/BetTable[TS]),"")</f>
        <v/>
      </c>
      <c r="AF253" s="164">
        <f>IF(BetTable[Outcome]="Win",BetTable[WBA1-Commission],IF(BetTable[Outcome]="Win Half Stake",(BetTable[Stake]/2)+BetTable[WBA1-Commission]/2,IF(BetTable[Outcome]="Lose Half Stake",BetTable[Stake]/2,IF(BetTable[Outcome]="Lose",0,IF(BetTable[Outcome]="Void",BetTable[Stake],)))))</f>
        <v>48.53</v>
      </c>
      <c r="AG253" s="164">
        <f>IF(BetTable[Outcome2]="Win",BetTable[WBA2-Commission],IF(BetTable[Outcome2]="Win Half Stake",(BetTable[S2]/2)+BetTable[WBA2-Commission]/2,IF(BetTable[Outcome2]="Lose Half Stake",BetTable[S2]/2,IF(BetTable[Outcome2]="Lose",0,IF(BetTable[Outcome2]="Void",BetTable[S2],)))))</f>
        <v>0</v>
      </c>
      <c r="AH253" s="164">
        <f>IF(BetTable[Outcome3]="Win",BetTable[WBA3-Commission],IF(BetTable[Outcome3]="Win Half Stake",(BetTable[S3]/2)+BetTable[WBA3-Commission]/2,IF(BetTable[Outcome3]="Lose Half Stake",BetTable[S3]/2,IF(BetTable[Outcome3]="Lose",0,IF(BetTable[Outcome3]="Void",BetTable[S3],)))))</f>
        <v>0</v>
      </c>
      <c r="AI253" s="168">
        <f>IF(BetTable[Outcome]="",AI252,BetTable[Result]+AI252)</f>
        <v>445.48025000000018</v>
      </c>
      <c r="AJ253" s="160"/>
    </row>
    <row r="254" spans="1:36" x14ac:dyDescent="0.2">
      <c r="A254" s="171" t="s">
        <v>764</v>
      </c>
      <c r="B254" s="172" t="s">
        <v>9</v>
      </c>
      <c r="C254" s="173" t="s">
        <v>216</v>
      </c>
      <c r="D254" s="173"/>
      <c r="E254" s="173"/>
      <c r="F254" s="174"/>
      <c r="G254" s="174"/>
      <c r="H254" s="174"/>
      <c r="I254" s="172" t="s">
        <v>929</v>
      </c>
      <c r="J254" s="175">
        <v>2.0499999999999998</v>
      </c>
      <c r="K254" s="175"/>
      <c r="L254" s="175"/>
      <c r="M254" s="176">
        <v>23</v>
      </c>
      <c r="N254" s="176"/>
      <c r="O254" s="176"/>
      <c r="P254" s="171" t="s">
        <v>776</v>
      </c>
      <c r="Q254" s="171" t="s">
        <v>773</v>
      </c>
      <c r="R254" s="171" t="s">
        <v>930</v>
      </c>
      <c r="S254" s="177">
        <v>2.0351445465552901E-2</v>
      </c>
      <c r="T254" s="178" t="s">
        <v>372</v>
      </c>
      <c r="U254" s="178"/>
      <c r="V254" s="178"/>
      <c r="W254" s="179">
        <f>IF(BetTable[Sport]="","",BetTable[Stake]+BetTable[S2]+BetTable[S3])</f>
        <v>23</v>
      </c>
      <c r="X254" s="176">
        <f>IF(BetTable[Odds]="","",(BetTable[WBA1-Commission])-BetTable[TS])</f>
        <v>24.149999999999991</v>
      </c>
      <c r="Y254" s="180">
        <f>IF(BetTable[Outcome]="","",BetTable[WBA1]+BetTable[WBA2]+BetTable[WBA3]-BetTable[TS])</f>
        <v>24.149999999999991</v>
      </c>
      <c r="Z254" s="176">
        <f>(((BetTable[Odds]-1)*BetTable[Stake])*(1-(BetTable[Comm %]))+BetTable[Stake])</f>
        <v>47.149999999999991</v>
      </c>
      <c r="AA254" s="176">
        <f>(((BetTable[O2]-1)*BetTable[S2])*(1-(BetTable[C% 2]))+BetTable[S2])</f>
        <v>0</v>
      </c>
      <c r="AB254" s="176">
        <f>(((BetTable[O3]-1)*BetTable[S3])*(1-(BetTable[C% 3]))+BetTable[S3])</f>
        <v>0</v>
      </c>
      <c r="AC254" s="177">
        <f>IFERROR(IF(BetTable[Sport]="","",BetTable[R1]/BetTable[TS]),"")</f>
        <v>1.0499999999999996</v>
      </c>
      <c r="AD254" s="177" t="str">
        <f>IF(BetTable[O2]="","",#REF!/BetTable[TS])</f>
        <v/>
      </c>
      <c r="AE254" s="177" t="str">
        <f>IFERROR(IF(BetTable[Sport]="","",#REF!/BetTable[TS]),"")</f>
        <v/>
      </c>
      <c r="AF254" s="176">
        <f>IF(BetTable[Outcome]="Win",BetTable[WBA1-Commission],IF(BetTable[Outcome]="Win Half Stake",(BetTable[Stake]/2)+BetTable[WBA1-Commission]/2,IF(BetTable[Outcome]="Lose Half Stake",BetTable[Stake]/2,IF(BetTable[Outcome]="Lose",0,IF(BetTable[Outcome]="Void",BetTable[Stake],)))))</f>
        <v>47.149999999999991</v>
      </c>
      <c r="AG254" s="176">
        <f>IF(BetTable[Outcome2]="Win",BetTable[WBA2-Commission],IF(BetTable[Outcome2]="Win Half Stake",(BetTable[S2]/2)+BetTable[WBA2-Commission]/2,IF(BetTable[Outcome2]="Lose Half Stake",BetTable[S2]/2,IF(BetTable[Outcome2]="Lose",0,IF(BetTable[Outcome2]="Void",BetTable[S2],)))))</f>
        <v>0</v>
      </c>
      <c r="AH254" s="176">
        <f>IF(BetTable[Outcome3]="Win",BetTable[WBA3-Commission],IF(BetTable[Outcome3]="Win Half Stake",(BetTable[S3]/2)+BetTable[WBA3-Commission]/2,IF(BetTable[Outcome3]="Lose Half Stake",BetTable[S3]/2,IF(BetTable[Outcome3]="Lose",0,IF(BetTable[Outcome3]="Void",BetTable[S3],)))))</f>
        <v>0</v>
      </c>
      <c r="AI254" s="180">
        <f>IF(BetTable[Outcome]="",AI253,BetTable[Result]+AI253)</f>
        <v>469.63025000000016</v>
      </c>
      <c r="AJ254" s="172"/>
    </row>
    <row r="255" spans="1:36" x14ac:dyDescent="0.2">
      <c r="A255" s="171" t="s">
        <v>764</v>
      </c>
      <c r="B255" s="172" t="s">
        <v>201</v>
      </c>
      <c r="C255" s="173" t="s">
        <v>216</v>
      </c>
      <c r="D255" s="173"/>
      <c r="E255" s="173"/>
      <c r="F255" s="174"/>
      <c r="G255" s="174"/>
      <c r="H255" s="174"/>
      <c r="I255" s="172" t="s">
        <v>931</v>
      </c>
      <c r="J255" s="175">
        <v>1.952</v>
      </c>
      <c r="K255" s="175"/>
      <c r="L255" s="175"/>
      <c r="M255" s="176">
        <v>40</v>
      </c>
      <c r="N255" s="176"/>
      <c r="O255" s="176"/>
      <c r="P255" s="171" t="s">
        <v>932</v>
      </c>
      <c r="Q255" s="171" t="s">
        <v>503</v>
      </c>
      <c r="R255" s="171" t="s">
        <v>933</v>
      </c>
      <c r="S255" s="177">
        <v>4.7345637402433298E-2</v>
      </c>
      <c r="T255" s="178" t="s">
        <v>372</v>
      </c>
      <c r="U255" s="178"/>
      <c r="V255" s="178"/>
      <c r="W255" s="179">
        <f>IF(BetTable[Sport]="","",BetTable[Stake]+BetTable[S2]+BetTable[S3])</f>
        <v>40</v>
      </c>
      <c r="X255" s="176">
        <f>IF(BetTable[Odds]="","",(BetTable[WBA1-Commission])-BetTable[TS])</f>
        <v>38.08</v>
      </c>
      <c r="Y255" s="180">
        <f>IF(BetTable[Outcome]="","",BetTable[WBA1]+BetTable[WBA2]+BetTable[WBA3]-BetTable[TS])</f>
        <v>38.08</v>
      </c>
      <c r="Z255" s="176">
        <f>(((BetTable[Odds]-1)*BetTable[Stake])*(1-(BetTable[Comm %]))+BetTable[Stake])</f>
        <v>78.08</v>
      </c>
      <c r="AA255" s="176">
        <f>(((BetTable[O2]-1)*BetTable[S2])*(1-(BetTable[C% 2]))+BetTable[S2])</f>
        <v>0</v>
      </c>
      <c r="AB255" s="176">
        <f>(((BetTable[O3]-1)*BetTable[S3])*(1-(BetTable[C% 3]))+BetTable[S3])</f>
        <v>0</v>
      </c>
      <c r="AC255" s="177">
        <f>IFERROR(IF(BetTable[Sport]="","",BetTable[R1]/BetTable[TS]),"")</f>
        <v>0.95199999999999996</v>
      </c>
      <c r="AD255" s="177" t="str">
        <f>IF(BetTable[O2]="","",#REF!/BetTable[TS])</f>
        <v/>
      </c>
      <c r="AE255" s="177" t="str">
        <f>IFERROR(IF(BetTable[Sport]="","",#REF!/BetTable[TS]),"")</f>
        <v/>
      </c>
      <c r="AF255" s="176">
        <f>IF(BetTable[Outcome]="Win",BetTable[WBA1-Commission],IF(BetTable[Outcome]="Win Half Stake",(BetTable[Stake]/2)+BetTable[WBA1-Commission]/2,IF(BetTable[Outcome]="Lose Half Stake",BetTable[Stake]/2,IF(BetTable[Outcome]="Lose",0,IF(BetTable[Outcome]="Void",BetTable[Stake],)))))</f>
        <v>78.08</v>
      </c>
      <c r="AG255" s="176">
        <f>IF(BetTable[Outcome2]="Win",BetTable[WBA2-Commission],IF(BetTable[Outcome2]="Win Half Stake",(BetTable[S2]/2)+BetTable[WBA2-Commission]/2,IF(BetTable[Outcome2]="Lose Half Stake",BetTable[S2]/2,IF(BetTable[Outcome2]="Lose",0,IF(BetTable[Outcome2]="Void",BetTable[S2],)))))</f>
        <v>0</v>
      </c>
      <c r="AH255" s="176">
        <f>IF(BetTable[Outcome3]="Win",BetTable[WBA3-Commission],IF(BetTable[Outcome3]="Win Half Stake",(BetTable[S3]/2)+BetTable[WBA3-Commission]/2,IF(BetTable[Outcome3]="Lose Half Stake",BetTable[S3]/2,IF(BetTable[Outcome3]="Lose",0,IF(BetTable[Outcome3]="Void",BetTable[S3],)))))</f>
        <v>0</v>
      </c>
      <c r="AI255" s="180">
        <f>IF(BetTable[Outcome]="",AI254,BetTable[Result]+AI254)</f>
        <v>507.71025000000014</v>
      </c>
      <c r="AJ255" s="172"/>
    </row>
    <row r="256" spans="1:36" x14ac:dyDescent="0.2">
      <c r="A256" s="171" t="s">
        <v>764</v>
      </c>
      <c r="B256" s="172" t="s">
        <v>200</v>
      </c>
      <c r="C256" s="173" t="s">
        <v>234</v>
      </c>
      <c r="D256" s="173"/>
      <c r="E256" s="173"/>
      <c r="F256" s="174"/>
      <c r="G256" s="174"/>
      <c r="H256" s="174"/>
      <c r="I256" s="172" t="s">
        <v>934</v>
      </c>
      <c r="J256" s="175">
        <v>2.0299999999999998</v>
      </c>
      <c r="K256" s="175"/>
      <c r="L256" s="175"/>
      <c r="M256" s="176">
        <v>15</v>
      </c>
      <c r="N256" s="176"/>
      <c r="O256" s="176"/>
      <c r="P256" s="171" t="s">
        <v>643</v>
      </c>
      <c r="Q256" s="171" t="s">
        <v>686</v>
      </c>
      <c r="R256" s="171" t="s">
        <v>935</v>
      </c>
      <c r="S256" s="177">
        <v>1.2643567749725601E-2</v>
      </c>
      <c r="T256" s="178" t="s">
        <v>382</v>
      </c>
      <c r="U256" s="178"/>
      <c r="V256" s="178"/>
      <c r="W256" s="179">
        <f>IF(BetTable[Sport]="","",BetTable[Stake]+BetTable[S2]+BetTable[S3])</f>
        <v>15</v>
      </c>
      <c r="X256" s="176">
        <f>IF(BetTable[Odds]="","",(BetTable[WBA1-Commission])-BetTable[TS])</f>
        <v>15.449999999999996</v>
      </c>
      <c r="Y256" s="180">
        <f>IF(BetTable[Outcome]="","",BetTable[WBA1]+BetTable[WBA2]+BetTable[WBA3]-BetTable[TS])</f>
        <v>-15</v>
      </c>
      <c r="Z256" s="176">
        <f>(((BetTable[Odds]-1)*BetTable[Stake])*(1-(BetTable[Comm %]))+BetTable[Stake])</f>
        <v>30.449999999999996</v>
      </c>
      <c r="AA256" s="176">
        <f>(((BetTable[O2]-1)*BetTable[S2])*(1-(BetTable[C% 2]))+BetTable[S2])</f>
        <v>0</v>
      </c>
      <c r="AB256" s="176">
        <f>(((BetTable[O3]-1)*BetTable[S3])*(1-(BetTable[C% 3]))+BetTable[S3])</f>
        <v>0</v>
      </c>
      <c r="AC256" s="177">
        <f>IFERROR(IF(BetTable[Sport]="","",BetTable[R1]/BetTable[TS]),"")</f>
        <v>1.0299999999999998</v>
      </c>
      <c r="AD256" s="177" t="str">
        <f>IF(BetTable[O2]="","",#REF!/BetTable[TS])</f>
        <v/>
      </c>
      <c r="AE256" s="177" t="str">
        <f>IFERROR(IF(BetTable[Sport]="","",#REF!/BetTable[TS]),"")</f>
        <v/>
      </c>
      <c r="AF256" s="176">
        <f>IF(BetTable[Outcome]="Win",BetTable[WBA1-Commission],IF(BetTable[Outcome]="Win Half Stake",(BetTable[Stake]/2)+BetTable[WBA1-Commission]/2,IF(BetTable[Outcome]="Lose Half Stake",BetTable[Stake]/2,IF(BetTable[Outcome]="Lose",0,IF(BetTable[Outcome]="Void",BetTable[Stake],)))))</f>
        <v>0</v>
      </c>
      <c r="AG256" s="176">
        <f>IF(BetTable[Outcome2]="Win",BetTable[WBA2-Commission],IF(BetTable[Outcome2]="Win Half Stake",(BetTable[S2]/2)+BetTable[WBA2-Commission]/2,IF(BetTable[Outcome2]="Lose Half Stake",BetTable[S2]/2,IF(BetTable[Outcome2]="Lose",0,IF(BetTable[Outcome2]="Void",BetTable[S2],)))))</f>
        <v>0</v>
      </c>
      <c r="AH256" s="176">
        <f>IF(BetTable[Outcome3]="Win",BetTable[WBA3-Commission],IF(BetTable[Outcome3]="Win Half Stake",(BetTable[S3]/2)+BetTable[WBA3-Commission]/2,IF(BetTable[Outcome3]="Lose Half Stake",BetTable[S3]/2,IF(BetTable[Outcome3]="Lose",0,IF(BetTable[Outcome3]="Void",BetTable[S3],)))))</f>
        <v>0</v>
      </c>
      <c r="AI256" s="180">
        <f>IF(BetTable[Outcome]="",AI255,BetTable[Result]+AI255)</f>
        <v>492.71025000000014</v>
      </c>
      <c r="AJ256" s="172"/>
    </row>
    <row r="257" spans="1:36" x14ac:dyDescent="0.2">
      <c r="A257" s="171" t="s">
        <v>936</v>
      </c>
      <c r="B257" s="172" t="s">
        <v>200</v>
      </c>
      <c r="C257" s="173" t="s">
        <v>91</v>
      </c>
      <c r="D257" s="173"/>
      <c r="E257" s="173"/>
      <c r="F257" s="174"/>
      <c r="G257" s="174"/>
      <c r="H257" s="174"/>
      <c r="I257" s="172" t="s">
        <v>926</v>
      </c>
      <c r="J257" s="175">
        <v>2.11</v>
      </c>
      <c r="K257" s="175"/>
      <c r="L257" s="175"/>
      <c r="M257" s="176">
        <v>23</v>
      </c>
      <c r="N257" s="176"/>
      <c r="O257" s="176"/>
      <c r="P257" s="171" t="s">
        <v>442</v>
      </c>
      <c r="Q257" s="171" t="s">
        <v>581</v>
      </c>
      <c r="R257" s="171" t="s">
        <v>937</v>
      </c>
      <c r="S257" s="177">
        <v>2.1279583179771699E-2</v>
      </c>
      <c r="T257" s="178" t="s">
        <v>372</v>
      </c>
      <c r="U257" s="178"/>
      <c r="V257" s="178"/>
      <c r="W257" s="179">
        <f>IF(BetTable[Sport]="","",BetTable[Stake]+BetTable[S2]+BetTable[S3])</f>
        <v>23</v>
      </c>
      <c r="X257" s="176">
        <f>IF(BetTable[Odds]="","",(BetTable[WBA1-Commission])-BetTable[TS])</f>
        <v>25.53</v>
      </c>
      <c r="Y257" s="180">
        <f>IF(BetTable[Outcome]="","",BetTable[WBA1]+BetTable[WBA2]+BetTable[WBA3]-BetTable[TS])</f>
        <v>25.53</v>
      </c>
      <c r="Z257" s="176">
        <f>(((BetTable[Odds]-1)*BetTable[Stake])*(1-(BetTable[Comm %]))+BetTable[Stake])</f>
        <v>48.53</v>
      </c>
      <c r="AA257" s="176">
        <f>(((BetTable[O2]-1)*BetTable[S2])*(1-(BetTable[C% 2]))+BetTable[S2])</f>
        <v>0</v>
      </c>
      <c r="AB257" s="176">
        <f>(((BetTable[O3]-1)*BetTable[S3])*(1-(BetTable[C% 3]))+BetTable[S3])</f>
        <v>0</v>
      </c>
      <c r="AC257" s="177">
        <f>IFERROR(IF(BetTable[Sport]="","",BetTable[R1]/BetTable[TS]),"")</f>
        <v>1.1100000000000001</v>
      </c>
      <c r="AD257" s="177" t="str">
        <f>IF(BetTable[O2]="","",#REF!/BetTable[TS])</f>
        <v/>
      </c>
      <c r="AE257" s="177" t="str">
        <f>IFERROR(IF(BetTable[Sport]="","",#REF!/BetTable[TS]),"")</f>
        <v/>
      </c>
      <c r="AF257" s="176">
        <f>IF(BetTable[Outcome]="Win",BetTable[WBA1-Commission],IF(BetTable[Outcome]="Win Half Stake",(BetTable[Stake]/2)+BetTable[WBA1-Commission]/2,IF(BetTable[Outcome]="Lose Half Stake",BetTable[Stake]/2,IF(BetTable[Outcome]="Lose",0,IF(BetTable[Outcome]="Void",BetTable[Stake],)))))</f>
        <v>48.53</v>
      </c>
      <c r="AG257" s="176">
        <f>IF(BetTable[Outcome2]="Win",BetTable[WBA2-Commission],IF(BetTable[Outcome2]="Win Half Stake",(BetTable[S2]/2)+BetTable[WBA2-Commission]/2,IF(BetTable[Outcome2]="Lose Half Stake",BetTable[S2]/2,IF(BetTable[Outcome2]="Lose",0,IF(BetTable[Outcome2]="Void",BetTable[S2],)))))</f>
        <v>0</v>
      </c>
      <c r="AH257" s="176">
        <f>IF(BetTable[Outcome3]="Win",BetTable[WBA3-Commission],IF(BetTable[Outcome3]="Win Half Stake",(BetTable[S3]/2)+BetTable[WBA3-Commission]/2,IF(BetTable[Outcome3]="Lose Half Stake",BetTable[S3]/2,IF(BetTable[Outcome3]="Lose",0,IF(BetTable[Outcome3]="Void",BetTable[S3],)))))</f>
        <v>0</v>
      </c>
      <c r="AI257" s="180">
        <f>IF(BetTable[Outcome]="",AI256,BetTable[Result]+AI256)</f>
        <v>518.24025000000017</v>
      </c>
      <c r="AJ257" s="172"/>
    </row>
    <row r="258" spans="1:36" x14ac:dyDescent="0.2">
      <c r="A258" s="171" t="s">
        <v>936</v>
      </c>
      <c r="B258" s="172" t="s">
        <v>200</v>
      </c>
      <c r="C258" s="173" t="s">
        <v>91</v>
      </c>
      <c r="D258" s="173"/>
      <c r="E258" s="173"/>
      <c r="F258" s="174"/>
      <c r="G258" s="174"/>
      <c r="H258" s="174"/>
      <c r="I258" s="172" t="s">
        <v>938</v>
      </c>
      <c r="J258" s="175">
        <v>2.11</v>
      </c>
      <c r="K258" s="175"/>
      <c r="L258" s="175"/>
      <c r="M258" s="176">
        <v>17</v>
      </c>
      <c r="N258" s="176"/>
      <c r="O258" s="176"/>
      <c r="P258" s="171" t="s">
        <v>368</v>
      </c>
      <c r="Q258" s="171" t="s">
        <v>882</v>
      </c>
      <c r="R258" s="171" t="s">
        <v>939</v>
      </c>
      <c r="S258" s="177">
        <v>1.5266989014916301E-2</v>
      </c>
      <c r="T258" s="178" t="s">
        <v>382</v>
      </c>
      <c r="U258" s="178"/>
      <c r="V258" s="178"/>
      <c r="W258" s="179">
        <f>IF(BetTable[Sport]="","",BetTable[Stake]+BetTable[S2]+BetTable[S3])</f>
        <v>17</v>
      </c>
      <c r="X258" s="176">
        <f>IF(BetTable[Odds]="","",(BetTable[WBA1-Commission])-BetTable[TS])</f>
        <v>18.869999999999997</v>
      </c>
      <c r="Y258" s="180">
        <f>IF(BetTable[Outcome]="","",BetTable[WBA1]+BetTable[WBA2]+BetTable[WBA3]-BetTable[TS])</f>
        <v>-17</v>
      </c>
      <c r="Z258" s="176">
        <f>(((BetTable[Odds]-1)*BetTable[Stake])*(1-(BetTable[Comm %]))+BetTable[Stake])</f>
        <v>35.869999999999997</v>
      </c>
      <c r="AA258" s="176">
        <f>(((BetTable[O2]-1)*BetTable[S2])*(1-(BetTable[C% 2]))+BetTable[S2])</f>
        <v>0</v>
      </c>
      <c r="AB258" s="176">
        <f>(((BetTable[O3]-1)*BetTable[S3])*(1-(BetTable[C% 3]))+BetTable[S3])</f>
        <v>0</v>
      </c>
      <c r="AC258" s="177">
        <f>IFERROR(IF(BetTable[Sport]="","",BetTable[R1]/BetTable[TS]),"")</f>
        <v>1.1099999999999999</v>
      </c>
      <c r="AD258" s="177" t="str">
        <f>IF(BetTable[O2]="","",#REF!/BetTable[TS])</f>
        <v/>
      </c>
      <c r="AE258" s="177" t="str">
        <f>IFERROR(IF(BetTable[Sport]="","",#REF!/BetTable[TS]),"")</f>
        <v/>
      </c>
      <c r="AF258" s="176">
        <f>IF(BetTable[Outcome]="Win",BetTable[WBA1-Commission],IF(BetTable[Outcome]="Win Half Stake",(BetTable[Stake]/2)+BetTable[WBA1-Commission]/2,IF(BetTable[Outcome]="Lose Half Stake",BetTable[Stake]/2,IF(BetTable[Outcome]="Lose",0,IF(BetTable[Outcome]="Void",BetTable[Stake],)))))</f>
        <v>0</v>
      </c>
      <c r="AG258" s="176">
        <f>IF(BetTable[Outcome2]="Win",BetTable[WBA2-Commission],IF(BetTable[Outcome2]="Win Half Stake",(BetTable[S2]/2)+BetTable[WBA2-Commission]/2,IF(BetTable[Outcome2]="Lose Half Stake",BetTable[S2]/2,IF(BetTable[Outcome2]="Lose",0,IF(BetTable[Outcome2]="Void",BetTable[S2],)))))</f>
        <v>0</v>
      </c>
      <c r="AH258" s="176">
        <f>IF(BetTable[Outcome3]="Win",BetTable[WBA3-Commission],IF(BetTable[Outcome3]="Win Half Stake",(BetTable[S3]/2)+BetTable[WBA3-Commission]/2,IF(BetTable[Outcome3]="Lose Half Stake",BetTable[S3]/2,IF(BetTable[Outcome3]="Lose",0,IF(BetTable[Outcome3]="Void",BetTable[S3],)))))</f>
        <v>0</v>
      </c>
      <c r="AI258" s="180">
        <f>IF(BetTable[Outcome]="",AI257,BetTable[Result]+AI257)</f>
        <v>501.24025000000017</v>
      </c>
      <c r="AJ258" s="172"/>
    </row>
    <row r="259" spans="1:36" x14ac:dyDescent="0.2">
      <c r="A259" s="171" t="s">
        <v>936</v>
      </c>
      <c r="B259" s="172" t="s">
        <v>200</v>
      </c>
      <c r="C259" s="173" t="s">
        <v>185</v>
      </c>
      <c r="D259" s="173"/>
      <c r="E259" s="173"/>
      <c r="F259" s="174"/>
      <c r="G259" s="174"/>
      <c r="H259" s="174"/>
      <c r="I259" s="172" t="s">
        <v>940</v>
      </c>
      <c r="J259" s="175">
        <v>2.5</v>
      </c>
      <c r="K259" s="175"/>
      <c r="L259" s="175"/>
      <c r="M259" s="176">
        <v>20</v>
      </c>
      <c r="N259" s="176"/>
      <c r="O259" s="176"/>
      <c r="P259" s="171" t="s">
        <v>435</v>
      </c>
      <c r="Q259" s="171" t="s">
        <v>882</v>
      </c>
      <c r="R259" s="171" t="s">
        <v>941</v>
      </c>
      <c r="S259" s="177">
        <v>3.0154063735873999E-2</v>
      </c>
      <c r="T259" s="178" t="s">
        <v>372</v>
      </c>
      <c r="U259" s="178"/>
      <c r="V259" s="178"/>
      <c r="W259" s="179">
        <f>IF(BetTable[Sport]="","",BetTable[Stake]+BetTable[S2]+BetTable[S3])</f>
        <v>20</v>
      </c>
      <c r="X259" s="176">
        <f>IF(BetTable[Odds]="","",(BetTable[WBA1-Commission])-BetTable[TS])</f>
        <v>30</v>
      </c>
      <c r="Y259" s="180">
        <f>IF(BetTable[Outcome]="","",BetTable[WBA1]+BetTable[WBA2]+BetTable[WBA3]-BetTable[TS])</f>
        <v>30</v>
      </c>
      <c r="Z259" s="176">
        <f>(((BetTable[Odds]-1)*BetTable[Stake])*(1-(BetTable[Comm %]))+BetTable[Stake])</f>
        <v>50</v>
      </c>
      <c r="AA259" s="176">
        <f>(((BetTable[O2]-1)*BetTable[S2])*(1-(BetTable[C% 2]))+BetTable[S2])</f>
        <v>0</v>
      </c>
      <c r="AB259" s="176">
        <f>(((BetTable[O3]-1)*BetTable[S3])*(1-(BetTable[C% 3]))+BetTable[S3])</f>
        <v>0</v>
      </c>
      <c r="AC259" s="177">
        <f>IFERROR(IF(BetTable[Sport]="","",BetTable[R1]/BetTable[TS]),"")</f>
        <v>1.5</v>
      </c>
      <c r="AD259" s="177" t="str">
        <f>IF(BetTable[O2]="","",#REF!/BetTable[TS])</f>
        <v/>
      </c>
      <c r="AE259" s="177" t="str">
        <f>IFERROR(IF(BetTable[Sport]="","",#REF!/BetTable[TS]),"")</f>
        <v/>
      </c>
      <c r="AF259" s="176">
        <f>IF(BetTable[Outcome]="Win",BetTable[WBA1-Commission],IF(BetTable[Outcome]="Win Half Stake",(BetTable[Stake]/2)+BetTable[WBA1-Commission]/2,IF(BetTable[Outcome]="Lose Half Stake",BetTable[Stake]/2,IF(BetTable[Outcome]="Lose",0,IF(BetTable[Outcome]="Void",BetTable[Stake],)))))</f>
        <v>50</v>
      </c>
      <c r="AG259" s="176">
        <f>IF(BetTable[Outcome2]="Win",BetTable[WBA2-Commission],IF(BetTable[Outcome2]="Win Half Stake",(BetTable[S2]/2)+BetTable[WBA2-Commission]/2,IF(BetTable[Outcome2]="Lose Half Stake",BetTable[S2]/2,IF(BetTable[Outcome2]="Lose",0,IF(BetTable[Outcome2]="Void",BetTable[S2],)))))</f>
        <v>0</v>
      </c>
      <c r="AH259" s="176">
        <f>IF(BetTable[Outcome3]="Win",BetTable[WBA3-Commission],IF(BetTable[Outcome3]="Win Half Stake",(BetTable[S3]/2)+BetTable[WBA3-Commission]/2,IF(BetTable[Outcome3]="Lose Half Stake",BetTable[S3]/2,IF(BetTable[Outcome3]="Lose",0,IF(BetTable[Outcome3]="Void",BetTable[S3],)))))</f>
        <v>0</v>
      </c>
      <c r="AI259" s="180">
        <f>IF(BetTable[Outcome]="",AI258,BetTable[Result]+AI258)</f>
        <v>531.24025000000017</v>
      </c>
      <c r="AJ259" s="172"/>
    </row>
    <row r="260" spans="1:36" x14ac:dyDescent="0.2">
      <c r="A260" s="171" t="s">
        <v>936</v>
      </c>
      <c r="B260" s="172" t="s">
        <v>200</v>
      </c>
      <c r="C260" s="173" t="s">
        <v>91</v>
      </c>
      <c r="D260" s="173"/>
      <c r="E260" s="173"/>
      <c r="F260" s="174"/>
      <c r="G260" s="174"/>
      <c r="H260" s="174"/>
      <c r="I260" s="172" t="s">
        <v>875</v>
      </c>
      <c r="J260" s="175">
        <v>1.94</v>
      </c>
      <c r="K260" s="175"/>
      <c r="L260" s="175"/>
      <c r="M260" s="176">
        <v>20</v>
      </c>
      <c r="N260" s="176"/>
      <c r="O260" s="176"/>
      <c r="P260" s="171" t="s">
        <v>385</v>
      </c>
      <c r="Q260" s="171" t="s">
        <v>611</v>
      </c>
      <c r="R260" s="171" t="s">
        <v>942</v>
      </c>
      <c r="S260" s="177">
        <v>1.54354404443631E-2</v>
      </c>
      <c r="T260" s="178" t="s">
        <v>383</v>
      </c>
      <c r="U260" s="178"/>
      <c r="V260" s="178"/>
      <c r="W260" s="179">
        <f>IF(BetTable[Sport]="","",BetTable[Stake]+BetTable[S2]+BetTable[S3])</f>
        <v>20</v>
      </c>
      <c r="X260" s="176">
        <f>IF(BetTable[Odds]="","",(BetTable[WBA1-Commission])-BetTable[TS])</f>
        <v>18.799999999999997</v>
      </c>
      <c r="Y260" s="180">
        <f>IF(BetTable[Outcome]="","",BetTable[WBA1]+BetTable[WBA2]+BetTable[WBA3]-BetTable[TS])</f>
        <v>0</v>
      </c>
      <c r="Z260" s="176">
        <f>(((BetTable[Odds]-1)*BetTable[Stake])*(1-(BetTable[Comm %]))+BetTable[Stake])</f>
        <v>38.799999999999997</v>
      </c>
      <c r="AA260" s="176">
        <f>(((BetTable[O2]-1)*BetTable[S2])*(1-(BetTable[C% 2]))+BetTable[S2])</f>
        <v>0</v>
      </c>
      <c r="AB260" s="176">
        <f>(((BetTable[O3]-1)*BetTable[S3])*(1-(BetTable[C% 3]))+BetTable[S3])</f>
        <v>0</v>
      </c>
      <c r="AC260" s="177">
        <f>IFERROR(IF(BetTable[Sport]="","",BetTable[R1]/BetTable[TS]),"")</f>
        <v>0.93999999999999984</v>
      </c>
      <c r="AD260" s="177" t="str">
        <f>IF(BetTable[O2]="","",#REF!/BetTable[TS])</f>
        <v/>
      </c>
      <c r="AE260" s="177" t="str">
        <f>IFERROR(IF(BetTable[Sport]="","",#REF!/BetTable[TS]),"")</f>
        <v/>
      </c>
      <c r="AF260" s="176">
        <f>IF(BetTable[Outcome]="Win",BetTable[WBA1-Commission],IF(BetTable[Outcome]="Win Half Stake",(BetTable[Stake]/2)+BetTable[WBA1-Commission]/2,IF(BetTable[Outcome]="Lose Half Stake",BetTable[Stake]/2,IF(BetTable[Outcome]="Lose",0,IF(BetTable[Outcome]="Void",BetTable[Stake],)))))</f>
        <v>20</v>
      </c>
      <c r="AG260" s="176">
        <f>IF(BetTable[Outcome2]="Win",BetTable[WBA2-Commission],IF(BetTable[Outcome2]="Win Half Stake",(BetTable[S2]/2)+BetTable[WBA2-Commission]/2,IF(BetTable[Outcome2]="Lose Half Stake",BetTable[S2]/2,IF(BetTable[Outcome2]="Lose",0,IF(BetTable[Outcome2]="Void",BetTable[S2],)))))</f>
        <v>0</v>
      </c>
      <c r="AH260" s="176">
        <f>IF(BetTable[Outcome3]="Win",BetTable[WBA3-Commission],IF(BetTable[Outcome3]="Win Half Stake",(BetTable[S3]/2)+BetTable[WBA3-Commission]/2,IF(BetTable[Outcome3]="Lose Half Stake",BetTable[S3]/2,IF(BetTable[Outcome3]="Lose",0,IF(BetTable[Outcome3]="Void",BetTable[S3],)))))</f>
        <v>0</v>
      </c>
      <c r="AI260" s="180">
        <f>IF(BetTable[Outcome]="",AI259,BetTable[Result]+AI259)</f>
        <v>531.24025000000017</v>
      </c>
      <c r="AJ260" s="172"/>
    </row>
    <row r="261" spans="1:36" x14ac:dyDescent="0.2">
      <c r="A261" s="171" t="s">
        <v>936</v>
      </c>
      <c r="B261" s="172" t="s">
        <v>201</v>
      </c>
      <c r="C261" s="173" t="s">
        <v>216</v>
      </c>
      <c r="D261" s="173"/>
      <c r="E261" s="173"/>
      <c r="F261" s="174"/>
      <c r="G261" s="174"/>
      <c r="H261" s="174"/>
      <c r="I261" s="172" t="s">
        <v>931</v>
      </c>
      <c r="J261" s="175">
        <v>4.8</v>
      </c>
      <c r="K261" s="175"/>
      <c r="L261" s="175"/>
      <c r="M261" s="176">
        <v>6</v>
      </c>
      <c r="N261" s="176"/>
      <c r="O261" s="176"/>
      <c r="P261" s="171" t="s">
        <v>428</v>
      </c>
      <c r="Q261" s="171" t="s">
        <v>503</v>
      </c>
      <c r="R261" s="171" t="s">
        <v>943</v>
      </c>
      <c r="S261" s="177">
        <v>1.8116591928251099E-2</v>
      </c>
      <c r="T261" s="178" t="s">
        <v>382</v>
      </c>
      <c r="U261" s="178"/>
      <c r="V261" s="178"/>
      <c r="W261" s="179">
        <f>IF(BetTable[Sport]="","",BetTable[Stake]+BetTable[S2]+BetTable[S3])</f>
        <v>6</v>
      </c>
      <c r="X261" s="176">
        <f>IF(BetTable[Odds]="","",(BetTable[WBA1-Commission])-BetTable[TS])</f>
        <v>22.799999999999997</v>
      </c>
      <c r="Y261" s="180">
        <f>IF(BetTable[Outcome]="","",BetTable[WBA1]+BetTable[WBA2]+BetTable[WBA3]-BetTable[TS])</f>
        <v>-6</v>
      </c>
      <c r="Z261" s="176">
        <f>(((BetTable[Odds]-1)*BetTable[Stake])*(1-(BetTable[Comm %]))+BetTable[Stake])</f>
        <v>28.799999999999997</v>
      </c>
      <c r="AA261" s="176">
        <f>(((BetTable[O2]-1)*BetTable[S2])*(1-(BetTable[C% 2]))+BetTable[S2])</f>
        <v>0</v>
      </c>
      <c r="AB261" s="176">
        <f>(((BetTable[O3]-1)*BetTable[S3])*(1-(BetTable[C% 3]))+BetTable[S3])</f>
        <v>0</v>
      </c>
      <c r="AC261" s="177">
        <f>IFERROR(IF(BetTable[Sport]="","",BetTable[R1]/BetTable[TS]),"")</f>
        <v>3.7999999999999994</v>
      </c>
      <c r="AD261" s="177" t="str">
        <f>IF(BetTable[O2]="","",#REF!/BetTable[TS])</f>
        <v/>
      </c>
      <c r="AE261" s="177" t="str">
        <f>IFERROR(IF(BetTable[Sport]="","",#REF!/BetTable[TS]),"")</f>
        <v/>
      </c>
      <c r="AF261" s="176">
        <f>IF(BetTable[Outcome]="Win",BetTable[WBA1-Commission],IF(BetTable[Outcome]="Win Half Stake",(BetTable[Stake]/2)+BetTable[WBA1-Commission]/2,IF(BetTable[Outcome]="Lose Half Stake",BetTable[Stake]/2,IF(BetTable[Outcome]="Lose",0,IF(BetTable[Outcome]="Void",BetTable[Stake],)))))</f>
        <v>0</v>
      </c>
      <c r="AG261" s="176">
        <f>IF(BetTable[Outcome2]="Win",BetTable[WBA2-Commission],IF(BetTable[Outcome2]="Win Half Stake",(BetTable[S2]/2)+BetTable[WBA2-Commission]/2,IF(BetTable[Outcome2]="Lose Half Stake",BetTable[S2]/2,IF(BetTable[Outcome2]="Lose",0,IF(BetTable[Outcome2]="Void",BetTable[S2],)))))</f>
        <v>0</v>
      </c>
      <c r="AH261" s="176">
        <f>IF(BetTable[Outcome3]="Win",BetTable[WBA3-Commission],IF(BetTable[Outcome3]="Win Half Stake",(BetTable[S3]/2)+BetTable[WBA3-Commission]/2,IF(BetTable[Outcome3]="Lose Half Stake",BetTable[S3]/2,IF(BetTable[Outcome3]="Lose",0,IF(BetTable[Outcome3]="Void",BetTable[S3],)))))</f>
        <v>0</v>
      </c>
      <c r="AI261" s="180">
        <f>IF(BetTable[Outcome]="",AI260,BetTable[Result]+AI260)</f>
        <v>525.24025000000017</v>
      </c>
      <c r="AJ261" s="172"/>
    </row>
    <row r="262" spans="1:36" x14ac:dyDescent="0.2">
      <c r="A262" s="171" t="s">
        <v>936</v>
      </c>
      <c r="B262" s="172" t="s">
        <v>201</v>
      </c>
      <c r="C262" s="173" t="s">
        <v>216</v>
      </c>
      <c r="D262" s="173"/>
      <c r="E262" s="173"/>
      <c r="F262" s="174"/>
      <c r="G262" s="174"/>
      <c r="H262" s="174"/>
      <c r="I262" s="172" t="s">
        <v>944</v>
      </c>
      <c r="J262" s="175">
        <v>1.5880000000000001</v>
      </c>
      <c r="K262" s="175"/>
      <c r="L262" s="175"/>
      <c r="M262" s="176">
        <v>44</v>
      </c>
      <c r="N262" s="176"/>
      <c r="O262" s="176"/>
      <c r="P262" s="171" t="s">
        <v>428</v>
      </c>
      <c r="Q262" s="171" t="s">
        <v>945</v>
      </c>
      <c r="R262" s="171" t="s">
        <v>946</v>
      </c>
      <c r="S262" s="177">
        <v>2.1216531612876201E-2</v>
      </c>
      <c r="T262" s="178" t="s">
        <v>372</v>
      </c>
      <c r="U262" s="178"/>
      <c r="V262" s="178"/>
      <c r="W262" s="179">
        <f>IF(BetTable[Sport]="","",BetTable[Stake]+BetTable[S2]+BetTable[S3])</f>
        <v>44</v>
      </c>
      <c r="X262" s="176">
        <f>IF(BetTable[Odds]="","",(BetTable[WBA1-Commission])-BetTable[TS])</f>
        <v>25.872</v>
      </c>
      <c r="Y262" s="180">
        <f>IF(BetTable[Outcome]="","",BetTable[WBA1]+BetTable[WBA2]+BetTable[WBA3]-BetTable[TS])</f>
        <v>25.872</v>
      </c>
      <c r="Z262" s="176">
        <f>(((BetTable[Odds]-1)*BetTable[Stake])*(1-(BetTable[Comm %]))+BetTable[Stake])</f>
        <v>69.872</v>
      </c>
      <c r="AA262" s="176">
        <f>(((BetTable[O2]-1)*BetTable[S2])*(1-(BetTable[C% 2]))+BetTable[S2])</f>
        <v>0</v>
      </c>
      <c r="AB262" s="176">
        <f>(((BetTable[O3]-1)*BetTable[S3])*(1-(BetTable[C% 3]))+BetTable[S3])</f>
        <v>0</v>
      </c>
      <c r="AC262" s="177">
        <f>IFERROR(IF(BetTable[Sport]="","",BetTable[R1]/BetTable[TS]),"")</f>
        <v>0.58799999999999997</v>
      </c>
      <c r="AD262" s="177" t="str">
        <f>IF(BetTable[O2]="","",#REF!/BetTable[TS])</f>
        <v/>
      </c>
      <c r="AE262" s="177" t="str">
        <f>IFERROR(IF(BetTable[Sport]="","",#REF!/BetTable[TS]),"")</f>
        <v/>
      </c>
      <c r="AF262" s="176">
        <f>IF(BetTable[Outcome]="Win",BetTable[WBA1-Commission],IF(BetTable[Outcome]="Win Half Stake",(BetTable[Stake]/2)+BetTable[WBA1-Commission]/2,IF(BetTable[Outcome]="Lose Half Stake",BetTable[Stake]/2,IF(BetTable[Outcome]="Lose",0,IF(BetTable[Outcome]="Void",BetTable[Stake],)))))</f>
        <v>69.872</v>
      </c>
      <c r="AG262" s="176">
        <f>IF(BetTable[Outcome2]="Win",BetTable[WBA2-Commission],IF(BetTable[Outcome2]="Win Half Stake",(BetTable[S2]/2)+BetTable[WBA2-Commission]/2,IF(BetTable[Outcome2]="Lose Half Stake",BetTable[S2]/2,IF(BetTable[Outcome2]="Lose",0,IF(BetTable[Outcome2]="Void",BetTable[S2],)))))</f>
        <v>0</v>
      </c>
      <c r="AH262" s="176">
        <f>IF(BetTable[Outcome3]="Win",BetTable[WBA3-Commission],IF(BetTable[Outcome3]="Win Half Stake",(BetTable[S3]/2)+BetTable[WBA3-Commission]/2,IF(BetTable[Outcome3]="Lose Half Stake",BetTable[S3]/2,IF(BetTable[Outcome3]="Lose",0,IF(BetTable[Outcome3]="Void",BetTable[S3],)))))</f>
        <v>0</v>
      </c>
      <c r="AI262" s="180">
        <f>IF(BetTable[Outcome]="",AI261,BetTable[Result]+AI261)</f>
        <v>551.11225000000013</v>
      </c>
      <c r="AJ262" s="172"/>
    </row>
    <row r="263" spans="1:36" x14ac:dyDescent="0.2">
      <c r="A263" s="171" t="s">
        <v>936</v>
      </c>
      <c r="B263" s="172" t="s">
        <v>201</v>
      </c>
      <c r="C263" s="173" t="s">
        <v>216</v>
      </c>
      <c r="D263" s="173"/>
      <c r="E263" s="173"/>
      <c r="F263" s="174"/>
      <c r="G263" s="174"/>
      <c r="H263" s="174"/>
      <c r="I263" s="172" t="s">
        <v>947</v>
      </c>
      <c r="J263" s="175">
        <v>1.952</v>
      </c>
      <c r="K263" s="175"/>
      <c r="L263" s="175"/>
      <c r="M263" s="176">
        <v>28</v>
      </c>
      <c r="N263" s="176"/>
      <c r="O263" s="176"/>
      <c r="P263" s="171" t="s">
        <v>948</v>
      </c>
      <c r="Q263" s="171" t="s">
        <v>949</v>
      </c>
      <c r="R263" s="171" t="s">
        <v>950</v>
      </c>
      <c r="S263" s="177">
        <v>2.1716484405874599E-2</v>
      </c>
      <c r="T263" s="178" t="s">
        <v>372</v>
      </c>
      <c r="U263" s="178"/>
      <c r="V263" s="178"/>
      <c r="W263" s="179">
        <f>IF(BetTable[Sport]="","",BetTable[Stake]+BetTable[S2]+BetTable[S3])</f>
        <v>28</v>
      </c>
      <c r="X263" s="176">
        <f>IF(BetTable[Odds]="","",(BetTable[WBA1-Commission])-BetTable[TS])</f>
        <v>26.655999999999999</v>
      </c>
      <c r="Y263" s="180">
        <f>IF(BetTable[Outcome]="","",BetTable[WBA1]+BetTable[WBA2]+BetTable[WBA3]-BetTable[TS])</f>
        <v>26.655999999999999</v>
      </c>
      <c r="Z263" s="176">
        <f>(((BetTable[Odds]-1)*BetTable[Stake])*(1-(BetTable[Comm %]))+BetTable[Stake])</f>
        <v>54.655999999999999</v>
      </c>
      <c r="AA263" s="176">
        <f>(((BetTable[O2]-1)*BetTable[S2])*(1-(BetTable[C% 2]))+BetTable[S2])</f>
        <v>0</v>
      </c>
      <c r="AB263" s="176">
        <f>(((BetTable[O3]-1)*BetTable[S3])*(1-(BetTable[C% 3]))+BetTable[S3])</f>
        <v>0</v>
      </c>
      <c r="AC263" s="177">
        <f>IFERROR(IF(BetTable[Sport]="","",BetTable[R1]/BetTable[TS]),"")</f>
        <v>0.95199999999999996</v>
      </c>
      <c r="AD263" s="177" t="str">
        <f>IF(BetTable[O2]="","",#REF!/BetTable[TS])</f>
        <v/>
      </c>
      <c r="AE263" s="177" t="str">
        <f>IFERROR(IF(BetTable[Sport]="","",#REF!/BetTable[TS]),"")</f>
        <v/>
      </c>
      <c r="AF263" s="176">
        <f>IF(BetTable[Outcome]="Win",BetTable[WBA1-Commission],IF(BetTable[Outcome]="Win Half Stake",(BetTable[Stake]/2)+BetTable[WBA1-Commission]/2,IF(BetTable[Outcome]="Lose Half Stake",BetTable[Stake]/2,IF(BetTable[Outcome]="Lose",0,IF(BetTable[Outcome]="Void",BetTable[Stake],)))))</f>
        <v>54.655999999999999</v>
      </c>
      <c r="AG263" s="176">
        <f>IF(BetTable[Outcome2]="Win",BetTable[WBA2-Commission],IF(BetTable[Outcome2]="Win Half Stake",(BetTable[S2]/2)+BetTable[WBA2-Commission]/2,IF(BetTable[Outcome2]="Lose Half Stake",BetTable[S2]/2,IF(BetTable[Outcome2]="Lose",0,IF(BetTable[Outcome2]="Void",BetTable[S2],)))))</f>
        <v>0</v>
      </c>
      <c r="AH263" s="176">
        <f>IF(BetTable[Outcome3]="Win",BetTable[WBA3-Commission],IF(BetTable[Outcome3]="Win Half Stake",(BetTable[S3]/2)+BetTable[WBA3-Commission]/2,IF(BetTable[Outcome3]="Lose Half Stake",BetTable[S3]/2,IF(BetTable[Outcome3]="Lose",0,IF(BetTable[Outcome3]="Void",BetTable[S3],)))))</f>
        <v>0</v>
      </c>
      <c r="AI263" s="180">
        <f>IF(BetTable[Outcome]="",AI262,BetTable[Result]+AI262)</f>
        <v>577.76825000000008</v>
      </c>
      <c r="AJ263" s="172"/>
    </row>
    <row r="264" spans="1:36" x14ac:dyDescent="0.2">
      <c r="A264" s="171" t="s">
        <v>936</v>
      </c>
      <c r="B264" s="172" t="s">
        <v>7</v>
      </c>
      <c r="C264" s="173" t="s">
        <v>216</v>
      </c>
      <c r="D264" s="173"/>
      <c r="E264" s="173"/>
      <c r="F264" s="174"/>
      <c r="G264" s="174"/>
      <c r="H264" s="174"/>
      <c r="I264" s="172" t="s">
        <v>951</v>
      </c>
      <c r="J264" s="175">
        <v>5.77</v>
      </c>
      <c r="K264" s="175"/>
      <c r="L264" s="175"/>
      <c r="M264" s="176">
        <v>17</v>
      </c>
      <c r="N264" s="176"/>
      <c r="O264" s="176"/>
      <c r="P264" s="171" t="s">
        <v>435</v>
      </c>
      <c r="Q264" s="171" t="s">
        <v>952</v>
      </c>
      <c r="R264" s="171" t="s">
        <v>953</v>
      </c>
      <c r="S264" s="177">
        <v>6.7309836238082399E-2</v>
      </c>
      <c r="T264" s="178" t="s">
        <v>382</v>
      </c>
      <c r="U264" s="178"/>
      <c r="V264" s="178"/>
      <c r="W264" s="179">
        <f>IF(BetTable[Sport]="","",BetTable[Stake]+BetTable[S2]+BetTable[S3])</f>
        <v>17</v>
      </c>
      <c r="X264" s="176">
        <f>IF(BetTable[Odds]="","",(BetTable[WBA1-Commission])-BetTable[TS])</f>
        <v>81.089999999999989</v>
      </c>
      <c r="Y264" s="180">
        <f>IF(BetTable[Outcome]="","",BetTable[WBA1]+BetTable[WBA2]+BetTable[WBA3]-BetTable[TS])</f>
        <v>-17</v>
      </c>
      <c r="Z264" s="176">
        <f>(((BetTable[Odds]-1)*BetTable[Stake])*(1-(BetTable[Comm %]))+BetTable[Stake])</f>
        <v>98.089999999999989</v>
      </c>
      <c r="AA264" s="176">
        <f>(((BetTable[O2]-1)*BetTable[S2])*(1-(BetTable[C% 2]))+BetTable[S2])</f>
        <v>0</v>
      </c>
      <c r="AB264" s="176">
        <f>(((BetTable[O3]-1)*BetTable[S3])*(1-(BetTable[C% 3]))+BetTable[S3])</f>
        <v>0</v>
      </c>
      <c r="AC264" s="177">
        <f>IFERROR(IF(BetTable[Sport]="","",BetTable[R1]/BetTable[TS]),"")</f>
        <v>4.7699999999999996</v>
      </c>
      <c r="AD264" s="177" t="str">
        <f>IF(BetTable[O2]="","",#REF!/BetTable[TS])</f>
        <v/>
      </c>
      <c r="AE264" s="177" t="str">
        <f>IFERROR(IF(BetTable[Sport]="","",#REF!/BetTable[TS]),"")</f>
        <v/>
      </c>
      <c r="AF264" s="176">
        <f>IF(BetTable[Outcome]="Win",BetTable[WBA1-Commission],IF(BetTable[Outcome]="Win Half Stake",(BetTable[Stake]/2)+BetTable[WBA1-Commission]/2,IF(BetTable[Outcome]="Lose Half Stake",BetTable[Stake]/2,IF(BetTable[Outcome]="Lose",0,IF(BetTable[Outcome]="Void",BetTable[Stake],)))))</f>
        <v>0</v>
      </c>
      <c r="AG264" s="176">
        <f>IF(BetTable[Outcome2]="Win",BetTable[WBA2-Commission],IF(BetTable[Outcome2]="Win Half Stake",(BetTable[S2]/2)+BetTable[WBA2-Commission]/2,IF(BetTable[Outcome2]="Lose Half Stake",BetTable[S2]/2,IF(BetTable[Outcome2]="Lose",0,IF(BetTable[Outcome2]="Void",BetTable[S2],)))))</f>
        <v>0</v>
      </c>
      <c r="AH264" s="176">
        <f>IF(BetTable[Outcome3]="Win",BetTable[WBA3-Commission],IF(BetTable[Outcome3]="Win Half Stake",(BetTable[S3]/2)+BetTable[WBA3-Commission]/2,IF(BetTable[Outcome3]="Lose Half Stake",BetTable[S3]/2,IF(BetTable[Outcome3]="Lose",0,IF(BetTable[Outcome3]="Void",BetTable[S3],)))))</f>
        <v>0</v>
      </c>
      <c r="AI264" s="180">
        <f>IF(BetTable[Outcome]="",AI263,BetTable[Result]+AI263)</f>
        <v>560.76825000000008</v>
      </c>
      <c r="AJ264" s="172"/>
    </row>
    <row r="265" spans="1:36" x14ac:dyDescent="0.2">
      <c r="A265" s="171" t="s">
        <v>936</v>
      </c>
      <c r="B265" s="172" t="s">
        <v>200</v>
      </c>
      <c r="C265" s="173" t="s">
        <v>185</v>
      </c>
      <c r="D265" s="173"/>
      <c r="E265" s="173"/>
      <c r="F265" s="174"/>
      <c r="G265" s="174"/>
      <c r="H265" s="174"/>
      <c r="I265" s="172" t="s">
        <v>954</v>
      </c>
      <c r="J265" s="175">
        <v>2.15</v>
      </c>
      <c r="K265" s="175"/>
      <c r="L265" s="175"/>
      <c r="M265" s="176">
        <v>25</v>
      </c>
      <c r="N265" s="176"/>
      <c r="O265" s="176"/>
      <c r="P265" s="171" t="s">
        <v>665</v>
      </c>
      <c r="Q265" s="171" t="s">
        <v>839</v>
      </c>
      <c r="R265" s="171" t="s">
        <v>955</v>
      </c>
      <c r="S265" s="177">
        <v>2.43917148289087E-2</v>
      </c>
      <c r="T265" s="178" t="s">
        <v>383</v>
      </c>
      <c r="U265" s="178"/>
      <c r="V265" s="178"/>
      <c r="W265" s="179">
        <f>IF(BetTable[Sport]="","",BetTable[Stake]+BetTable[S2]+BetTable[S3])</f>
        <v>25</v>
      </c>
      <c r="X265" s="176">
        <f>IF(BetTable[Odds]="","",(BetTable[WBA1-Commission])-BetTable[TS])</f>
        <v>28.75</v>
      </c>
      <c r="Y265" s="180">
        <f>IF(BetTable[Outcome]="","",BetTable[WBA1]+BetTable[WBA2]+BetTable[WBA3]-BetTable[TS])</f>
        <v>0</v>
      </c>
      <c r="Z265" s="176">
        <f>(((BetTable[Odds]-1)*BetTable[Stake])*(1-(BetTable[Comm %]))+BetTable[Stake])</f>
        <v>53.75</v>
      </c>
      <c r="AA265" s="176">
        <f>(((BetTable[O2]-1)*BetTable[S2])*(1-(BetTable[C% 2]))+BetTable[S2])</f>
        <v>0</v>
      </c>
      <c r="AB265" s="176">
        <f>(((BetTable[O3]-1)*BetTable[S3])*(1-(BetTable[C% 3]))+BetTable[S3])</f>
        <v>0</v>
      </c>
      <c r="AC265" s="177">
        <f>IFERROR(IF(BetTable[Sport]="","",BetTable[R1]/BetTable[TS]),"")</f>
        <v>1.1499999999999999</v>
      </c>
      <c r="AD265" s="177" t="str">
        <f>IF(BetTable[O2]="","",#REF!/BetTable[TS])</f>
        <v/>
      </c>
      <c r="AE265" s="177" t="str">
        <f>IFERROR(IF(BetTable[Sport]="","",#REF!/BetTable[TS]),"")</f>
        <v/>
      </c>
      <c r="AF265" s="176">
        <f>IF(BetTable[Outcome]="Win",BetTable[WBA1-Commission],IF(BetTable[Outcome]="Win Half Stake",(BetTable[Stake]/2)+BetTable[WBA1-Commission]/2,IF(BetTable[Outcome]="Lose Half Stake",BetTable[Stake]/2,IF(BetTable[Outcome]="Lose",0,IF(BetTable[Outcome]="Void",BetTable[Stake],)))))</f>
        <v>25</v>
      </c>
      <c r="AG265" s="176">
        <f>IF(BetTable[Outcome2]="Win",BetTable[WBA2-Commission],IF(BetTable[Outcome2]="Win Half Stake",(BetTable[S2]/2)+BetTable[WBA2-Commission]/2,IF(BetTable[Outcome2]="Lose Half Stake",BetTable[S2]/2,IF(BetTable[Outcome2]="Lose",0,IF(BetTable[Outcome2]="Void",BetTable[S2],)))))</f>
        <v>0</v>
      </c>
      <c r="AH265" s="176">
        <f>IF(BetTable[Outcome3]="Win",BetTable[WBA3-Commission],IF(BetTable[Outcome3]="Win Half Stake",(BetTable[S3]/2)+BetTable[WBA3-Commission]/2,IF(BetTable[Outcome3]="Lose Half Stake",BetTable[S3]/2,IF(BetTable[Outcome3]="Lose",0,IF(BetTable[Outcome3]="Void",BetTable[S3],)))))</f>
        <v>0</v>
      </c>
      <c r="AI265" s="180">
        <f>IF(BetTable[Outcome]="",AI264,BetTable[Result]+AI264)</f>
        <v>560.76825000000008</v>
      </c>
      <c r="AJ265" s="172"/>
    </row>
    <row r="266" spans="1:36" x14ac:dyDescent="0.2">
      <c r="A266" s="171" t="s">
        <v>936</v>
      </c>
      <c r="B266" s="172" t="s">
        <v>200</v>
      </c>
      <c r="C266" s="173" t="s">
        <v>185</v>
      </c>
      <c r="D266" s="173"/>
      <c r="E266" s="173"/>
      <c r="F266" s="174"/>
      <c r="G266" s="174"/>
      <c r="H266" s="174"/>
      <c r="I266" s="172" t="s">
        <v>904</v>
      </c>
      <c r="J266" s="175">
        <v>2.875</v>
      </c>
      <c r="K266" s="175"/>
      <c r="L266" s="175"/>
      <c r="M266" s="176">
        <v>18</v>
      </c>
      <c r="N266" s="176"/>
      <c r="O266" s="176"/>
      <c r="P266" s="171" t="s">
        <v>435</v>
      </c>
      <c r="Q266" s="171" t="s">
        <v>503</v>
      </c>
      <c r="R266" s="171" t="s">
        <v>956</v>
      </c>
      <c r="S266" s="177">
        <v>2.7625353624036598E-2</v>
      </c>
      <c r="T266" s="178" t="s">
        <v>372</v>
      </c>
      <c r="U266" s="178"/>
      <c r="V266" s="178"/>
      <c r="W266" s="179">
        <f>IF(BetTable[Sport]="","",BetTable[Stake]+BetTable[S2]+BetTable[S3])</f>
        <v>18</v>
      </c>
      <c r="X266" s="176">
        <f>IF(BetTable[Odds]="","",(BetTable[WBA1-Commission])-BetTable[TS])</f>
        <v>33.75</v>
      </c>
      <c r="Y266" s="180">
        <f>IF(BetTable[Outcome]="","",BetTable[WBA1]+BetTable[WBA2]+BetTable[WBA3]-BetTable[TS])</f>
        <v>33.75</v>
      </c>
      <c r="Z266" s="176">
        <f>(((BetTable[Odds]-1)*BetTable[Stake])*(1-(BetTable[Comm %]))+BetTable[Stake])</f>
        <v>51.75</v>
      </c>
      <c r="AA266" s="176">
        <f>(((BetTable[O2]-1)*BetTable[S2])*(1-(BetTable[C% 2]))+BetTable[S2])</f>
        <v>0</v>
      </c>
      <c r="AB266" s="176">
        <f>(((BetTable[O3]-1)*BetTable[S3])*(1-(BetTable[C% 3]))+BetTable[S3])</f>
        <v>0</v>
      </c>
      <c r="AC266" s="177">
        <f>IFERROR(IF(BetTable[Sport]="","",BetTable[R1]/BetTable[TS]),"")</f>
        <v>1.875</v>
      </c>
      <c r="AD266" s="177" t="str">
        <f>IF(BetTable[O2]="","",#REF!/BetTable[TS])</f>
        <v/>
      </c>
      <c r="AE266" s="177" t="str">
        <f>IFERROR(IF(BetTable[Sport]="","",#REF!/BetTable[TS]),"")</f>
        <v/>
      </c>
      <c r="AF266" s="176">
        <f>IF(BetTable[Outcome]="Win",BetTable[WBA1-Commission],IF(BetTable[Outcome]="Win Half Stake",(BetTable[Stake]/2)+BetTable[WBA1-Commission]/2,IF(BetTable[Outcome]="Lose Half Stake",BetTable[Stake]/2,IF(BetTable[Outcome]="Lose",0,IF(BetTable[Outcome]="Void",BetTable[Stake],)))))</f>
        <v>51.75</v>
      </c>
      <c r="AG266" s="176">
        <f>IF(BetTable[Outcome2]="Win",BetTable[WBA2-Commission],IF(BetTable[Outcome2]="Win Half Stake",(BetTable[S2]/2)+BetTable[WBA2-Commission]/2,IF(BetTable[Outcome2]="Lose Half Stake",BetTable[S2]/2,IF(BetTable[Outcome2]="Lose",0,IF(BetTable[Outcome2]="Void",BetTable[S2],)))))</f>
        <v>0</v>
      </c>
      <c r="AH266" s="176">
        <f>IF(BetTable[Outcome3]="Win",BetTable[WBA3-Commission],IF(BetTable[Outcome3]="Win Half Stake",(BetTable[S3]/2)+BetTable[WBA3-Commission]/2,IF(BetTable[Outcome3]="Lose Half Stake",BetTable[S3]/2,IF(BetTable[Outcome3]="Lose",0,IF(BetTable[Outcome3]="Void",BetTable[S3],)))))</f>
        <v>0</v>
      </c>
      <c r="AI266" s="180">
        <f>IF(BetTable[Outcome]="",AI265,BetTable[Result]+AI265)</f>
        <v>594.51825000000008</v>
      </c>
      <c r="AJ266" s="172"/>
    </row>
    <row r="267" spans="1:36" x14ac:dyDescent="0.2">
      <c r="A267" s="171" t="s">
        <v>936</v>
      </c>
      <c r="B267" s="172" t="s">
        <v>200</v>
      </c>
      <c r="C267" s="173" t="s">
        <v>185</v>
      </c>
      <c r="D267" s="173"/>
      <c r="E267" s="173"/>
      <c r="F267" s="174"/>
      <c r="G267" s="174"/>
      <c r="H267" s="174"/>
      <c r="I267" s="172" t="s">
        <v>875</v>
      </c>
      <c r="J267" s="175">
        <v>4</v>
      </c>
      <c r="K267" s="175"/>
      <c r="L267" s="175"/>
      <c r="M267" s="176">
        <v>10</v>
      </c>
      <c r="N267" s="176"/>
      <c r="O267" s="176"/>
      <c r="P267" s="171" t="s">
        <v>494</v>
      </c>
      <c r="Q267" s="171" t="s">
        <v>957</v>
      </c>
      <c r="R267" s="171" t="s">
        <v>958</v>
      </c>
      <c r="S267" s="177">
        <v>2.3782848286629899E-2</v>
      </c>
      <c r="T267" s="178" t="s">
        <v>382</v>
      </c>
      <c r="U267" s="178"/>
      <c r="V267" s="178"/>
      <c r="W267" s="179">
        <f>IF(BetTable[Sport]="","",BetTable[Stake]+BetTable[S2]+BetTable[S3])</f>
        <v>10</v>
      </c>
      <c r="X267" s="176">
        <f>IF(BetTable[Odds]="","",(BetTable[WBA1-Commission])-BetTable[TS])</f>
        <v>30</v>
      </c>
      <c r="Y267" s="180">
        <f>IF(BetTable[Outcome]="","",BetTable[WBA1]+BetTable[WBA2]+BetTable[WBA3]-BetTable[TS])</f>
        <v>-10</v>
      </c>
      <c r="Z267" s="176">
        <f>(((BetTable[Odds]-1)*BetTable[Stake])*(1-(BetTable[Comm %]))+BetTable[Stake])</f>
        <v>40</v>
      </c>
      <c r="AA267" s="176">
        <f>(((BetTable[O2]-1)*BetTable[S2])*(1-(BetTable[C% 2]))+BetTable[S2])</f>
        <v>0</v>
      </c>
      <c r="AB267" s="176">
        <f>(((BetTable[O3]-1)*BetTable[S3])*(1-(BetTable[C% 3]))+BetTable[S3])</f>
        <v>0</v>
      </c>
      <c r="AC267" s="177">
        <f>IFERROR(IF(BetTable[Sport]="","",BetTable[R1]/BetTable[TS]),"")</f>
        <v>3</v>
      </c>
      <c r="AD267" s="177" t="str">
        <f>IF(BetTable[O2]="","",#REF!/BetTable[TS])</f>
        <v/>
      </c>
      <c r="AE267" s="177" t="str">
        <f>IFERROR(IF(BetTable[Sport]="","",#REF!/BetTable[TS]),"")</f>
        <v/>
      </c>
      <c r="AF267" s="176">
        <f>IF(BetTable[Outcome]="Win",BetTable[WBA1-Commission],IF(BetTable[Outcome]="Win Half Stake",(BetTable[Stake]/2)+BetTable[WBA1-Commission]/2,IF(BetTable[Outcome]="Lose Half Stake",BetTable[Stake]/2,IF(BetTable[Outcome]="Lose",0,IF(BetTable[Outcome]="Void",BetTable[Stake],)))))</f>
        <v>0</v>
      </c>
      <c r="AG267" s="176">
        <f>IF(BetTable[Outcome2]="Win",BetTable[WBA2-Commission],IF(BetTable[Outcome2]="Win Half Stake",(BetTable[S2]/2)+BetTable[WBA2-Commission]/2,IF(BetTable[Outcome2]="Lose Half Stake",BetTable[S2]/2,IF(BetTable[Outcome2]="Lose",0,IF(BetTable[Outcome2]="Void",BetTable[S2],)))))</f>
        <v>0</v>
      </c>
      <c r="AH267" s="176">
        <f>IF(BetTable[Outcome3]="Win",BetTable[WBA3-Commission],IF(BetTable[Outcome3]="Win Half Stake",(BetTable[S3]/2)+BetTable[WBA3-Commission]/2,IF(BetTable[Outcome3]="Lose Half Stake",BetTable[S3]/2,IF(BetTable[Outcome3]="Lose",0,IF(BetTable[Outcome3]="Void",BetTable[S3],)))))</f>
        <v>0</v>
      </c>
      <c r="AI267" s="180">
        <f>IF(BetTable[Outcome]="",AI266,BetTable[Result]+AI266)</f>
        <v>584.51825000000008</v>
      </c>
      <c r="AJ267" s="172"/>
    </row>
    <row r="268" spans="1:36" x14ac:dyDescent="0.2">
      <c r="A268" s="159" t="s">
        <v>936</v>
      </c>
      <c r="B268" s="160" t="s">
        <v>200</v>
      </c>
      <c r="C268" s="161" t="s">
        <v>234</v>
      </c>
      <c r="D268" s="161"/>
      <c r="E268" s="161"/>
      <c r="F268" s="162"/>
      <c r="G268" s="162"/>
      <c r="H268" s="162"/>
      <c r="I268" s="160" t="s">
        <v>917</v>
      </c>
      <c r="J268" s="163">
        <v>2.6</v>
      </c>
      <c r="K268" s="163"/>
      <c r="L268" s="163"/>
      <c r="M268" s="164">
        <v>13</v>
      </c>
      <c r="N268" s="164"/>
      <c r="O268" s="164"/>
      <c r="P268" s="159" t="s">
        <v>607</v>
      </c>
      <c r="Q268" s="159" t="s">
        <v>889</v>
      </c>
      <c r="R268" s="159" t="s">
        <v>959</v>
      </c>
      <c r="S268" s="165">
        <v>1.68816626991957E-2</v>
      </c>
      <c r="T268" s="166" t="s">
        <v>372</v>
      </c>
      <c r="U268" s="166"/>
      <c r="V268" s="166"/>
      <c r="W268" s="167">
        <f>IF(BetTable[Sport]="","",BetTable[Stake]+BetTable[S2]+BetTable[S3])</f>
        <v>13</v>
      </c>
      <c r="X268" s="164">
        <f>IF(BetTable[Odds]="","",(BetTable[WBA1-Commission])-BetTable[TS])</f>
        <v>20.799999999999997</v>
      </c>
      <c r="Y268" s="168">
        <f>IF(BetTable[Outcome]="","",BetTable[WBA1]+BetTable[WBA2]+BetTable[WBA3]-BetTable[TS])</f>
        <v>20.799999999999997</v>
      </c>
      <c r="Z268" s="164">
        <f>(((BetTable[Odds]-1)*BetTable[Stake])*(1-(BetTable[Comm %]))+BetTable[Stake])</f>
        <v>33.799999999999997</v>
      </c>
      <c r="AA268" s="164">
        <f>(((BetTable[O2]-1)*BetTable[S2])*(1-(BetTable[C% 2]))+BetTable[S2])</f>
        <v>0</v>
      </c>
      <c r="AB268" s="164">
        <f>(((BetTable[O3]-1)*BetTable[S3])*(1-(BetTable[C% 3]))+BetTable[S3])</f>
        <v>0</v>
      </c>
      <c r="AC268" s="165">
        <f>IFERROR(IF(BetTable[Sport]="","",BetTable[R1]/BetTable[TS]),"")</f>
        <v>1.5999999999999999</v>
      </c>
      <c r="AD268" s="165" t="str">
        <f>IF(BetTable[O2]="","",#REF!/BetTable[TS])</f>
        <v/>
      </c>
      <c r="AE268" s="165" t="str">
        <f>IFERROR(IF(BetTable[Sport]="","",#REF!/BetTable[TS]),"")</f>
        <v/>
      </c>
      <c r="AF268" s="164">
        <f>IF(BetTable[Outcome]="Win",BetTable[WBA1-Commission],IF(BetTable[Outcome]="Win Half Stake",(BetTable[Stake]/2)+BetTable[WBA1-Commission]/2,IF(BetTable[Outcome]="Lose Half Stake",BetTable[Stake]/2,IF(BetTable[Outcome]="Lose",0,IF(BetTable[Outcome]="Void",BetTable[Stake],)))))</f>
        <v>33.799999999999997</v>
      </c>
      <c r="AG268" s="164">
        <f>IF(BetTable[Outcome2]="Win",BetTable[WBA2-Commission],IF(BetTable[Outcome2]="Win Half Stake",(BetTable[S2]/2)+BetTable[WBA2-Commission]/2,IF(BetTable[Outcome2]="Lose Half Stake",BetTable[S2]/2,IF(BetTable[Outcome2]="Lose",0,IF(BetTable[Outcome2]="Void",BetTable[S2],)))))</f>
        <v>0</v>
      </c>
      <c r="AH268" s="164">
        <f>IF(BetTable[Outcome3]="Win",BetTable[WBA3-Commission],IF(BetTable[Outcome3]="Win Half Stake",(BetTable[S3]/2)+BetTable[WBA3-Commission]/2,IF(BetTable[Outcome3]="Lose Half Stake",BetTable[S3]/2,IF(BetTable[Outcome3]="Lose",0,IF(BetTable[Outcome3]="Void",BetTable[S3],)))))</f>
        <v>0</v>
      </c>
      <c r="AI268" s="168">
        <f>IF(BetTable[Outcome]="",AI267,BetTable[Result]+AI267)</f>
        <v>605.31825000000003</v>
      </c>
      <c r="AJ268" s="160"/>
    </row>
    <row r="269" spans="1:36" x14ac:dyDescent="0.2">
      <c r="A269" s="159" t="s">
        <v>936</v>
      </c>
      <c r="B269" s="160" t="s">
        <v>7</v>
      </c>
      <c r="C269" s="161" t="s">
        <v>216</v>
      </c>
      <c r="D269" s="161"/>
      <c r="E269" s="161"/>
      <c r="F269" s="162"/>
      <c r="G269" s="162"/>
      <c r="H269" s="162"/>
      <c r="I269" s="160" t="s">
        <v>951</v>
      </c>
      <c r="J269" s="163">
        <v>1.952</v>
      </c>
      <c r="K269" s="163"/>
      <c r="L269" s="163"/>
      <c r="M269" s="164">
        <v>31</v>
      </c>
      <c r="N269" s="164"/>
      <c r="O269" s="164"/>
      <c r="P269" s="159" t="s">
        <v>960</v>
      </c>
      <c r="Q269" s="159" t="s">
        <v>952</v>
      </c>
      <c r="R269" s="159" t="s">
        <v>961</v>
      </c>
      <c r="S269" s="165">
        <v>2.40502959792845E-2</v>
      </c>
      <c r="T269" s="166" t="s">
        <v>382</v>
      </c>
      <c r="U269" s="166"/>
      <c r="V269" s="166"/>
      <c r="W269" s="167">
        <f>IF(BetTable[Sport]="","",BetTable[Stake]+BetTable[S2]+BetTable[S3])</f>
        <v>31</v>
      </c>
      <c r="X269" s="164">
        <f>IF(BetTable[Odds]="","",(BetTable[WBA1-Commission])-BetTable[TS])</f>
        <v>29.512</v>
      </c>
      <c r="Y269" s="168">
        <f>IF(BetTable[Outcome]="","",BetTable[WBA1]+BetTable[WBA2]+BetTable[WBA3]-BetTable[TS])</f>
        <v>-31</v>
      </c>
      <c r="Z269" s="164">
        <f>(((BetTable[Odds]-1)*BetTable[Stake])*(1-(BetTable[Comm %]))+BetTable[Stake])</f>
        <v>60.512</v>
      </c>
      <c r="AA269" s="164">
        <f>(((BetTable[O2]-1)*BetTable[S2])*(1-(BetTable[C% 2]))+BetTable[S2])</f>
        <v>0</v>
      </c>
      <c r="AB269" s="164">
        <f>(((BetTable[O3]-1)*BetTable[S3])*(1-(BetTable[C% 3]))+BetTable[S3])</f>
        <v>0</v>
      </c>
      <c r="AC269" s="165">
        <f>IFERROR(IF(BetTable[Sport]="","",BetTable[R1]/BetTable[TS]),"")</f>
        <v>0.95200000000000007</v>
      </c>
      <c r="AD269" s="165" t="str">
        <f>IF(BetTable[O2]="","",#REF!/BetTable[TS])</f>
        <v/>
      </c>
      <c r="AE269" s="165" t="str">
        <f>IFERROR(IF(BetTable[Sport]="","",#REF!/BetTable[TS]),"")</f>
        <v/>
      </c>
      <c r="AF269" s="164">
        <f>IF(BetTable[Outcome]="Win",BetTable[WBA1-Commission],IF(BetTable[Outcome]="Win Half Stake",(BetTable[Stake]/2)+BetTable[WBA1-Commission]/2,IF(BetTable[Outcome]="Lose Half Stake",BetTable[Stake]/2,IF(BetTable[Outcome]="Lose",0,IF(BetTable[Outcome]="Void",BetTable[Stake],)))))</f>
        <v>0</v>
      </c>
      <c r="AG269" s="164">
        <f>IF(BetTable[Outcome2]="Win",BetTable[WBA2-Commission],IF(BetTable[Outcome2]="Win Half Stake",(BetTable[S2]/2)+BetTable[WBA2-Commission]/2,IF(BetTable[Outcome2]="Lose Half Stake",BetTable[S2]/2,IF(BetTable[Outcome2]="Lose",0,IF(BetTable[Outcome2]="Void",BetTable[S2],)))))</f>
        <v>0</v>
      </c>
      <c r="AH269" s="164">
        <f>IF(BetTable[Outcome3]="Win",BetTable[WBA3-Commission],IF(BetTable[Outcome3]="Win Half Stake",(BetTable[S3]/2)+BetTable[WBA3-Commission]/2,IF(BetTable[Outcome3]="Lose Half Stake",BetTable[S3]/2,IF(BetTable[Outcome3]="Lose",0,IF(BetTable[Outcome3]="Void",BetTable[S3],)))))</f>
        <v>0</v>
      </c>
      <c r="AI269" s="168">
        <f>IF(BetTable[Outcome]="",AI268,BetTable[Result]+AI268)</f>
        <v>574.31825000000003</v>
      </c>
      <c r="AJ269" s="160"/>
    </row>
    <row r="270" spans="1:36" x14ac:dyDescent="0.2">
      <c r="A270" s="159" t="s">
        <v>936</v>
      </c>
      <c r="B270" s="160" t="s">
        <v>201</v>
      </c>
      <c r="C270" s="161" t="s">
        <v>216</v>
      </c>
      <c r="D270" s="161"/>
      <c r="E270" s="161"/>
      <c r="F270" s="162"/>
      <c r="G270" s="162"/>
      <c r="H270" s="162"/>
      <c r="I270" s="160" t="s">
        <v>962</v>
      </c>
      <c r="J270" s="163">
        <v>1.98</v>
      </c>
      <c r="K270" s="163"/>
      <c r="L270" s="163"/>
      <c r="M270" s="164">
        <v>20</v>
      </c>
      <c r="N270" s="164"/>
      <c r="O270" s="164"/>
      <c r="P270" s="159" t="s">
        <v>963</v>
      </c>
      <c r="Q270" s="159" t="s">
        <v>949</v>
      </c>
      <c r="R270" s="159" t="s">
        <v>964</v>
      </c>
      <c r="S270" s="165">
        <v>1.58059340312483E-2</v>
      </c>
      <c r="T270" s="166" t="s">
        <v>372</v>
      </c>
      <c r="U270" s="166"/>
      <c r="V270" s="166"/>
      <c r="W270" s="167">
        <f>IF(BetTable[Sport]="","",BetTable[Stake]+BetTable[S2]+BetTable[S3])</f>
        <v>20</v>
      </c>
      <c r="X270" s="164">
        <f>IF(BetTable[Odds]="","",(BetTable[WBA1-Commission])-BetTable[TS])</f>
        <v>19.600000000000001</v>
      </c>
      <c r="Y270" s="168">
        <f>IF(BetTable[Outcome]="","",BetTable[WBA1]+BetTable[WBA2]+BetTable[WBA3]-BetTable[TS])</f>
        <v>19.600000000000001</v>
      </c>
      <c r="Z270" s="164">
        <f>(((BetTable[Odds]-1)*BetTable[Stake])*(1-(BetTable[Comm %]))+BetTable[Stake])</f>
        <v>39.6</v>
      </c>
      <c r="AA270" s="164">
        <f>(((BetTable[O2]-1)*BetTable[S2])*(1-(BetTable[C% 2]))+BetTable[S2])</f>
        <v>0</v>
      </c>
      <c r="AB270" s="164">
        <f>(((BetTable[O3]-1)*BetTable[S3])*(1-(BetTable[C% 3]))+BetTable[S3])</f>
        <v>0</v>
      </c>
      <c r="AC270" s="165">
        <f>IFERROR(IF(BetTable[Sport]="","",BetTable[R1]/BetTable[TS]),"")</f>
        <v>0.98000000000000009</v>
      </c>
      <c r="AD270" s="165" t="str">
        <f>IF(BetTable[O2]="","",#REF!/BetTable[TS])</f>
        <v/>
      </c>
      <c r="AE270" s="165" t="str">
        <f>IFERROR(IF(BetTable[Sport]="","",#REF!/BetTable[TS]),"")</f>
        <v/>
      </c>
      <c r="AF270" s="164">
        <f>IF(BetTable[Outcome]="Win",BetTable[WBA1-Commission],IF(BetTable[Outcome]="Win Half Stake",(BetTable[Stake]/2)+BetTable[WBA1-Commission]/2,IF(BetTable[Outcome]="Lose Half Stake",BetTable[Stake]/2,IF(BetTable[Outcome]="Lose",0,IF(BetTable[Outcome]="Void",BetTable[Stake],)))))</f>
        <v>39.6</v>
      </c>
      <c r="AG270" s="164">
        <f>IF(BetTable[Outcome2]="Win",BetTable[WBA2-Commission],IF(BetTable[Outcome2]="Win Half Stake",(BetTable[S2]/2)+BetTable[WBA2-Commission]/2,IF(BetTable[Outcome2]="Lose Half Stake",BetTable[S2]/2,IF(BetTable[Outcome2]="Lose",0,IF(BetTable[Outcome2]="Void",BetTable[S2],)))))</f>
        <v>0</v>
      </c>
      <c r="AH270" s="164">
        <f>IF(BetTable[Outcome3]="Win",BetTable[WBA3-Commission],IF(BetTable[Outcome3]="Win Half Stake",(BetTable[S3]/2)+BetTable[WBA3-Commission]/2,IF(BetTable[Outcome3]="Lose Half Stake",BetTable[S3]/2,IF(BetTable[Outcome3]="Lose",0,IF(BetTable[Outcome3]="Void",BetTable[S3],)))))</f>
        <v>0</v>
      </c>
      <c r="AI270" s="168">
        <f>IF(BetTable[Outcome]="",AI269,BetTable[Result]+AI269)</f>
        <v>593.91825000000006</v>
      </c>
      <c r="AJ270" s="160"/>
    </row>
    <row r="271" spans="1:36" x14ac:dyDescent="0.2">
      <c r="A271" s="159" t="s">
        <v>936</v>
      </c>
      <c r="B271" s="160" t="s">
        <v>7</v>
      </c>
      <c r="C271" s="161" t="s">
        <v>216</v>
      </c>
      <c r="D271" s="161"/>
      <c r="E271" s="161"/>
      <c r="F271" s="162"/>
      <c r="G271" s="162"/>
      <c r="H271" s="162"/>
      <c r="I271" s="160" t="s">
        <v>965</v>
      </c>
      <c r="J271" s="163">
        <v>1.952</v>
      </c>
      <c r="K271" s="163"/>
      <c r="L271" s="163"/>
      <c r="M271" s="164">
        <v>19</v>
      </c>
      <c r="N271" s="164"/>
      <c r="O271" s="164"/>
      <c r="P271" s="159" t="s">
        <v>655</v>
      </c>
      <c r="Q271" s="159" t="s">
        <v>966</v>
      </c>
      <c r="R271" s="159" t="s">
        <v>967</v>
      </c>
      <c r="S271" s="165">
        <v>1.51378823557073E-2</v>
      </c>
      <c r="T271" s="166" t="s">
        <v>372</v>
      </c>
      <c r="U271" s="166"/>
      <c r="V271" s="166"/>
      <c r="W271" s="167">
        <f>IF(BetTable[Sport]="","",BetTable[Stake]+BetTable[S2]+BetTable[S3])</f>
        <v>19</v>
      </c>
      <c r="X271" s="164">
        <f>IF(BetTable[Odds]="","",(BetTable[WBA1-Commission])-BetTable[TS])</f>
        <v>18.088000000000001</v>
      </c>
      <c r="Y271" s="168">
        <f>IF(BetTable[Outcome]="","",BetTable[WBA1]+BetTable[WBA2]+BetTable[WBA3]-BetTable[TS])</f>
        <v>18.088000000000001</v>
      </c>
      <c r="Z271" s="164">
        <f>(((BetTable[Odds]-1)*BetTable[Stake])*(1-(BetTable[Comm %]))+BetTable[Stake])</f>
        <v>37.088000000000001</v>
      </c>
      <c r="AA271" s="164">
        <f>(((BetTable[O2]-1)*BetTable[S2])*(1-(BetTable[C% 2]))+BetTable[S2])</f>
        <v>0</v>
      </c>
      <c r="AB271" s="164">
        <f>(((BetTable[O3]-1)*BetTable[S3])*(1-(BetTable[C% 3]))+BetTable[S3])</f>
        <v>0</v>
      </c>
      <c r="AC271" s="165">
        <f>IFERROR(IF(BetTable[Sport]="","",BetTable[R1]/BetTable[TS]),"")</f>
        <v>0.95200000000000007</v>
      </c>
      <c r="AD271" s="165" t="str">
        <f>IF(BetTable[O2]="","",#REF!/BetTable[TS])</f>
        <v/>
      </c>
      <c r="AE271" s="165" t="str">
        <f>IFERROR(IF(BetTable[Sport]="","",#REF!/BetTable[TS]),"")</f>
        <v/>
      </c>
      <c r="AF271" s="164">
        <f>IF(BetTable[Outcome]="Win",BetTable[WBA1-Commission],IF(BetTable[Outcome]="Win Half Stake",(BetTable[Stake]/2)+BetTable[WBA1-Commission]/2,IF(BetTable[Outcome]="Lose Half Stake",BetTable[Stake]/2,IF(BetTable[Outcome]="Lose",0,IF(BetTable[Outcome]="Void",BetTable[Stake],)))))</f>
        <v>37.088000000000001</v>
      </c>
      <c r="AG271" s="164">
        <f>IF(BetTable[Outcome2]="Win",BetTable[WBA2-Commission],IF(BetTable[Outcome2]="Win Half Stake",(BetTable[S2]/2)+BetTable[WBA2-Commission]/2,IF(BetTable[Outcome2]="Lose Half Stake",BetTable[S2]/2,IF(BetTable[Outcome2]="Lose",0,IF(BetTable[Outcome2]="Void",BetTable[S2],)))))</f>
        <v>0</v>
      </c>
      <c r="AH271" s="164">
        <f>IF(BetTable[Outcome3]="Win",BetTable[WBA3-Commission],IF(BetTable[Outcome3]="Win Half Stake",(BetTable[S3]/2)+BetTable[WBA3-Commission]/2,IF(BetTable[Outcome3]="Lose Half Stake",BetTable[S3]/2,IF(BetTable[Outcome3]="Lose",0,IF(BetTable[Outcome3]="Void",BetTable[S3],)))))</f>
        <v>0</v>
      </c>
      <c r="AI271" s="168">
        <f>IF(BetTable[Outcome]="",AI270,BetTable[Result]+AI270)</f>
        <v>612.00625000000002</v>
      </c>
      <c r="AJ271" s="160"/>
    </row>
    <row r="272" spans="1:36" x14ac:dyDescent="0.2">
      <c r="A272" s="159" t="s">
        <v>936</v>
      </c>
      <c r="B272" s="160" t="s">
        <v>200</v>
      </c>
      <c r="C272" s="161" t="s">
        <v>234</v>
      </c>
      <c r="D272" s="161"/>
      <c r="E272" s="161"/>
      <c r="F272" s="162"/>
      <c r="G272" s="162"/>
      <c r="H272" s="162"/>
      <c r="I272" s="160" t="s">
        <v>859</v>
      </c>
      <c r="J272" s="163">
        <v>2</v>
      </c>
      <c r="K272" s="163"/>
      <c r="L272" s="163"/>
      <c r="M272" s="164">
        <v>14</v>
      </c>
      <c r="N272" s="164"/>
      <c r="O272" s="164"/>
      <c r="P272" s="159" t="s">
        <v>368</v>
      </c>
      <c r="Q272" s="159" t="s">
        <v>968</v>
      </c>
      <c r="R272" s="159" t="s">
        <v>969</v>
      </c>
      <c r="S272" s="165">
        <v>1.1393026624883699E-2</v>
      </c>
      <c r="T272" s="166" t="s">
        <v>382</v>
      </c>
      <c r="U272" s="166"/>
      <c r="V272" s="166"/>
      <c r="W272" s="167">
        <f>IF(BetTable[Sport]="","",BetTable[Stake]+BetTable[S2]+BetTable[S3])</f>
        <v>14</v>
      </c>
      <c r="X272" s="164">
        <f>IF(BetTable[Odds]="","",(BetTable[WBA1-Commission])-BetTable[TS])</f>
        <v>14</v>
      </c>
      <c r="Y272" s="168">
        <f>IF(BetTable[Outcome]="","",BetTable[WBA1]+BetTable[WBA2]+BetTable[WBA3]-BetTable[TS])</f>
        <v>-14</v>
      </c>
      <c r="Z272" s="164">
        <f>(((BetTable[Odds]-1)*BetTable[Stake])*(1-(BetTable[Comm %]))+BetTable[Stake])</f>
        <v>28</v>
      </c>
      <c r="AA272" s="164">
        <f>(((BetTable[O2]-1)*BetTable[S2])*(1-(BetTable[C% 2]))+BetTable[S2])</f>
        <v>0</v>
      </c>
      <c r="AB272" s="164">
        <f>(((BetTable[O3]-1)*BetTable[S3])*(1-(BetTable[C% 3]))+BetTable[S3])</f>
        <v>0</v>
      </c>
      <c r="AC272" s="165">
        <f>IFERROR(IF(BetTable[Sport]="","",BetTable[R1]/BetTable[TS]),"")</f>
        <v>1</v>
      </c>
      <c r="AD272" s="165" t="str">
        <f>IF(BetTable[O2]="","",#REF!/BetTable[TS])</f>
        <v/>
      </c>
      <c r="AE272" s="165" t="str">
        <f>IFERROR(IF(BetTable[Sport]="","",#REF!/BetTable[TS]),"")</f>
        <v/>
      </c>
      <c r="AF272" s="164">
        <f>IF(BetTable[Outcome]="Win",BetTable[WBA1-Commission],IF(BetTable[Outcome]="Win Half Stake",(BetTable[Stake]/2)+BetTable[WBA1-Commission]/2,IF(BetTable[Outcome]="Lose Half Stake",BetTable[Stake]/2,IF(BetTable[Outcome]="Lose",0,IF(BetTable[Outcome]="Void",BetTable[Stake],)))))</f>
        <v>0</v>
      </c>
      <c r="AG272" s="164">
        <f>IF(BetTable[Outcome2]="Win",BetTable[WBA2-Commission],IF(BetTable[Outcome2]="Win Half Stake",(BetTable[S2]/2)+BetTable[WBA2-Commission]/2,IF(BetTable[Outcome2]="Lose Half Stake",BetTable[S2]/2,IF(BetTable[Outcome2]="Lose",0,IF(BetTable[Outcome2]="Void",BetTable[S2],)))))</f>
        <v>0</v>
      </c>
      <c r="AH272" s="164">
        <f>IF(BetTable[Outcome3]="Win",BetTable[WBA3-Commission],IF(BetTable[Outcome3]="Win Half Stake",(BetTable[S3]/2)+BetTable[WBA3-Commission]/2,IF(BetTable[Outcome3]="Lose Half Stake",BetTable[S3]/2,IF(BetTable[Outcome3]="Lose",0,IF(BetTable[Outcome3]="Void",BetTable[S3],)))))</f>
        <v>0</v>
      </c>
      <c r="AI272" s="168">
        <f>IF(BetTable[Outcome]="",AI271,BetTable[Result]+AI271)</f>
        <v>598.00625000000002</v>
      </c>
      <c r="AJ272" s="160"/>
    </row>
    <row r="273" spans="1:36" x14ac:dyDescent="0.2">
      <c r="A273" s="159" t="s">
        <v>936</v>
      </c>
      <c r="B273" s="160" t="s">
        <v>200</v>
      </c>
      <c r="C273" s="161" t="s">
        <v>91</v>
      </c>
      <c r="D273" s="161"/>
      <c r="E273" s="161"/>
      <c r="F273" s="162"/>
      <c r="G273" s="162"/>
      <c r="H273" s="162"/>
      <c r="I273" s="160" t="s">
        <v>938</v>
      </c>
      <c r="J273" s="163">
        <v>2.33</v>
      </c>
      <c r="K273" s="163"/>
      <c r="L273" s="163"/>
      <c r="M273" s="164">
        <v>13</v>
      </c>
      <c r="N273" s="164"/>
      <c r="O273" s="164"/>
      <c r="P273" s="159" t="s">
        <v>607</v>
      </c>
      <c r="Q273" s="159" t="s">
        <v>882</v>
      </c>
      <c r="R273" s="159" t="s">
        <v>970</v>
      </c>
      <c r="S273" s="165">
        <v>1.4542910354105799E-2</v>
      </c>
      <c r="T273" s="166" t="s">
        <v>382</v>
      </c>
      <c r="U273" s="166"/>
      <c r="V273" s="166"/>
      <c r="W273" s="167">
        <f>IF(BetTable[Sport]="","",BetTable[Stake]+BetTable[S2]+BetTable[S3])</f>
        <v>13</v>
      </c>
      <c r="X273" s="164">
        <f>IF(BetTable[Odds]="","",(BetTable[WBA1-Commission])-BetTable[TS])</f>
        <v>17.29</v>
      </c>
      <c r="Y273" s="168">
        <f>IF(BetTable[Outcome]="","",BetTable[WBA1]+BetTable[WBA2]+BetTable[WBA3]-BetTable[TS])</f>
        <v>-13</v>
      </c>
      <c r="Z273" s="164">
        <f>(((BetTable[Odds]-1)*BetTable[Stake])*(1-(BetTable[Comm %]))+BetTable[Stake])</f>
        <v>30.29</v>
      </c>
      <c r="AA273" s="164">
        <f>(((BetTable[O2]-1)*BetTable[S2])*(1-(BetTable[C% 2]))+BetTable[S2])</f>
        <v>0</v>
      </c>
      <c r="AB273" s="164">
        <f>(((BetTable[O3]-1)*BetTable[S3])*(1-(BetTable[C% 3]))+BetTable[S3])</f>
        <v>0</v>
      </c>
      <c r="AC273" s="165">
        <f>IFERROR(IF(BetTable[Sport]="","",BetTable[R1]/BetTable[TS]),"")</f>
        <v>1.3299999999999998</v>
      </c>
      <c r="AD273" s="165" t="str">
        <f>IF(BetTable[O2]="","",#REF!/BetTable[TS])</f>
        <v/>
      </c>
      <c r="AE273" s="165" t="str">
        <f>IFERROR(IF(BetTable[Sport]="","",#REF!/BetTable[TS]),"")</f>
        <v/>
      </c>
      <c r="AF273" s="164">
        <f>IF(BetTable[Outcome]="Win",BetTable[WBA1-Commission],IF(BetTable[Outcome]="Win Half Stake",(BetTable[Stake]/2)+BetTable[WBA1-Commission]/2,IF(BetTable[Outcome]="Lose Half Stake",BetTable[Stake]/2,IF(BetTable[Outcome]="Lose",0,IF(BetTable[Outcome]="Void",BetTable[Stake],)))))</f>
        <v>0</v>
      </c>
      <c r="AG273" s="164">
        <f>IF(BetTable[Outcome2]="Win",BetTable[WBA2-Commission],IF(BetTable[Outcome2]="Win Half Stake",(BetTable[S2]/2)+BetTable[WBA2-Commission]/2,IF(BetTable[Outcome2]="Lose Half Stake",BetTable[S2]/2,IF(BetTable[Outcome2]="Lose",0,IF(BetTable[Outcome2]="Void",BetTable[S2],)))))</f>
        <v>0</v>
      </c>
      <c r="AH273" s="164">
        <f>IF(BetTable[Outcome3]="Win",BetTable[WBA3-Commission],IF(BetTable[Outcome3]="Win Half Stake",(BetTable[S3]/2)+BetTable[WBA3-Commission]/2,IF(BetTable[Outcome3]="Lose Half Stake",BetTable[S3]/2,IF(BetTable[Outcome3]="Lose",0,IF(BetTable[Outcome3]="Void",BetTable[S3],)))))</f>
        <v>0</v>
      </c>
      <c r="AI273" s="168">
        <f>IF(BetTable[Outcome]="",AI272,BetTable[Result]+AI272)</f>
        <v>585.00625000000002</v>
      </c>
      <c r="AJ273" s="160"/>
    </row>
    <row r="274" spans="1:36" x14ac:dyDescent="0.2">
      <c r="A274" s="159" t="s">
        <v>936</v>
      </c>
      <c r="B274" s="160" t="s">
        <v>200</v>
      </c>
      <c r="C274" s="161" t="s">
        <v>91</v>
      </c>
      <c r="D274" s="161"/>
      <c r="E274" s="161"/>
      <c r="F274" s="162"/>
      <c r="G274" s="162"/>
      <c r="H274" s="162"/>
      <c r="I274" s="160" t="s">
        <v>971</v>
      </c>
      <c r="J274" s="163">
        <v>2.42</v>
      </c>
      <c r="K274" s="163"/>
      <c r="L274" s="163"/>
      <c r="M274" s="164">
        <v>15</v>
      </c>
      <c r="N274" s="164"/>
      <c r="O274" s="164"/>
      <c r="P274" s="159" t="s">
        <v>607</v>
      </c>
      <c r="Q274" s="159" t="s">
        <v>333</v>
      </c>
      <c r="R274" s="159" t="s">
        <v>972</v>
      </c>
      <c r="S274" s="165">
        <v>1.7701280430253E-2</v>
      </c>
      <c r="T274" s="166" t="s">
        <v>372</v>
      </c>
      <c r="U274" s="166"/>
      <c r="V274" s="166"/>
      <c r="W274" s="167">
        <f>IF(BetTable[Sport]="","",BetTable[Stake]+BetTable[S2]+BetTable[S3])</f>
        <v>15</v>
      </c>
      <c r="X274" s="164">
        <f>IF(BetTable[Odds]="","",(BetTable[WBA1-Commission])-BetTable[TS])</f>
        <v>21.299999999999997</v>
      </c>
      <c r="Y274" s="168">
        <f>IF(BetTable[Outcome]="","",BetTable[WBA1]+BetTable[WBA2]+BetTable[WBA3]-BetTable[TS])</f>
        <v>21.299999999999997</v>
      </c>
      <c r="Z274" s="164">
        <f>(((BetTable[Odds]-1)*BetTable[Stake])*(1-(BetTable[Comm %]))+BetTable[Stake])</f>
        <v>36.299999999999997</v>
      </c>
      <c r="AA274" s="164">
        <f>(((BetTable[O2]-1)*BetTable[S2])*(1-(BetTable[C% 2]))+BetTable[S2])</f>
        <v>0</v>
      </c>
      <c r="AB274" s="164">
        <f>(((BetTable[O3]-1)*BetTable[S3])*(1-(BetTable[C% 3]))+BetTable[S3])</f>
        <v>0</v>
      </c>
      <c r="AC274" s="165">
        <f>IFERROR(IF(BetTable[Sport]="","",BetTable[R1]/BetTable[TS]),"")</f>
        <v>1.4199999999999997</v>
      </c>
      <c r="AD274" s="165" t="str">
        <f>IF(BetTable[O2]="","",#REF!/BetTable[TS])</f>
        <v/>
      </c>
      <c r="AE274" s="165" t="str">
        <f>IFERROR(IF(BetTable[Sport]="","",#REF!/BetTable[TS]),"")</f>
        <v/>
      </c>
      <c r="AF274" s="164">
        <f>IF(BetTable[Outcome]="Win",BetTable[WBA1-Commission],IF(BetTable[Outcome]="Win Half Stake",(BetTable[Stake]/2)+BetTable[WBA1-Commission]/2,IF(BetTable[Outcome]="Lose Half Stake",BetTable[Stake]/2,IF(BetTable[Outcome]="Lose",0,IF(BetTable[Outcome]="Void",BetTable[Stake],)))))</f>
        <v>36.299999999999997</v>
      </c>
      <c r="AG274" s="164">
        <f>IF(BetTable[Outcome2]="Win",BetTable[WBA2-Commission],IF(BetTable[Outcome2]="Win Half Stake",(BetTable[S2]/2)+BetTable[WBA2-Commission]/2,IF(BetTable[Outcome2]="Lose Half Stake",BetTable[S2]/2,IF(BetTable[Outcome2]="Lose",0,IF(BetTable[Outcome2]="Void",BetTable[S2],)))))</f>
        <v>0</v>
      </c>
      <c r="AH274" s="164">
        <f>IF(BetTable[Outcome3]="Win",BetTable[WBA3-Commission],IF(BetTable[Outcome3]="Win Half Stake",(BetTable[S3]/2)+BetTable[WBA3-Commission]/2,IF(BetTable[Outcome3]="Lose Half Stake",BetTable[S3]/2,IF(BetTable[Outcome3]="Lose",0,IF(BetTable[Outcome3]="Void",BetTable[S3],)))))</f>
        <v>0</v>
      </c>
      <c r="AI274" s="168">
        <f>IF(BetTable[Outcome]="",AI273,BetTable[Result]+AI273)</f>
        <v>606.30624999999998</v>
      </c>
      <c r="AJ274" s="160"/>
    </row>
    <row r="275" spans="1:36" x14ac:dyDescent="0.2">
      <c r="A275" s="159" t="s">
        <v>936</v>
      </c>
      <c r="B275" s="160" t="s">
        <v>200</v>
      </c>
      <c r="C275" s="161" t="s">
        <v>234</v>
      </c>
      <c r="D275" s="161"/>
      <c r="E275" s="161"/>
      <c r="F275" s="162"/>
      <c r="G275" s="162"/>
      <c r="H275" s="162"/>
      <c r="I275" s="160" t="s">
        <v>973</v>
      </c>
      <c r="J275" s="163">
        <v>1.84</v>
      </c>
      <c r="K275" s="163"/>
      <c r="L275" s="163"/>
      <c r="M275" s="164">
        <v>14</v>
      </c>
      <c r="N275" s="164"/>
      <c r="O275" s="164"/>
      <c r="P275" s="159" t="s">
        <v>791</v>
      </c>
      <c r="Q275" s="159" t="s">
        <v>703</v>
      </c>
      <c r="R275" s="159" t="s">
        <v>974</v>
      </c>
      <c r="S275" s="165">
        <v>9.8063577302060501E-3</v>
      </c>
      <c r="T275" s="166" t="s">
        <v>382</v>
      </c>
      <c r="U275" s="166"/>
      <c r="V275" s="166"/>
      <c r="W275" s="167">
        <f>IF(BetTable[Sport]="","",BetTable[Stake]+BetTable[S2]+BetTable[S3])</f>
        <v>14</v>
      </c>
      <c r="X275" s="164">
        <f>IF(BetTable[Odds]="","",(BetTable[WBA1-Commission])-BetTable[TS])</f>
        <v>11.760000000000002</v>
      </c>
      <c r="Y275" s="168">
        <f>IF(BetTable[Outcome]="","",BetTable[WBA1]+BetTable[WBA2]+BetTable[WBA3]-BetTable[TS])</f>
        <v>-14</v>
      </c>
      <c r="Z275" s="164">
        <f>(((BetTable[Odds]-1)*BetTable[Stake])*(1-(BetTable[Comm %]))+BetTable[Stake])</f>
        <v>25.76</v>
      </c>
      <c r="AA275" s="164">
        <f>(((BetTable[O2]-1)*BetTable[S2])*(1-(BetTable[C% 2]))+BetTable[S2])</f>
        <v>0</v>
      </c>
      <c r="AB275" s="164">
        <f>(((BetTable[O3]-1)*BetTable[S3])*(1-(BetTable[C% 3]))+BetTable[S3])</f>
        <v>0</v>
      </c>
      <c r="AC275" s="165">
        <f>IFERROR(IF(BetTable[Sport]="","",BetTable[R1]/BetTable[TS]),"")</f>
        <v>0.84000000000000008</v>
      </c>
      <c r="AD275" s="165" t="str">
        <f>IF(BetTable[O2]="","",#REF!/BetTable[TS])</f>
        <v/>
      </c>
      <c r="AE275" s="165" t="str">
        <f>IFERROR(IF(BetTable[Sport]="","",#REF!/BetTable[TS]),"")</f>
        <v/>
      </c>
      <c r="AF275" s="164">
        <f>IF(BetTable[Outcome]="Win",BetTable[WBA1-Commission],IF(BetTable[Outcome]="Win Half Stake",(BetTable[Stake]/2)+BetTable[WBA1-Commission]/2,IF(BetTable[Outcome]="Lose Half Stake",BetTable[Stake]/2,IF(BetTable[Outcome]="Lose",0,IF(BetTable[Outcome]="Void",BetTable[Stake],)))))</f>
        <v>0</v>
      </c>
      <c r="AG275" s="164">
        <f>IF(BetTable[Outcome2]="Win",BetTable[WBA2-Commission],IF(BetTable[Outcome2]="Win Half Stake",(BetTable[S2]/2)+BetTable[WBA2-Commission]/2,IF(BetTable[Outcome2]="Lose Half Stake",BetTable[S2]/2,IF(BetTable[Outcome2]="Lose",0,IF(BetTable[Outcome2]="Void",BetTable[S2],)))))</f>
        <v>0</v>
      </c>
      <c r="AH275" s="164">
        <f>IF(BetTable[Outcome3]="Win",BetTable[WBA3-Commission],IF(BetTable[Outcome3]="Win Half Stake",(BetTable[S3]/2)+BetTable[WBA3-Commission]/2,IF(BetTable[Outcome3]="Lose Half Stake",BetTable[S3]/2,IF(BetTable[Outcome3]="Lose",0,IF(BetTable[Outcome3]="Void",BetTable[S3],)))))</f>
        <v>0</v>
      </c>
      <c r="AI275" s="168">
        <f>IF(BetTable[Outcome]="",AI274,BetTable[Result]+AI274)</f>
        <v>592.30624999999998</v>
      </c>
      <c r="AJ275" s="160"/>
    </row>
    <row r="276" spans="1:36" x14ac:dyDescent="0.2">
      <c r="A276" s="159" t="s">
        <v>936</v>
      </c>
      <c r="B276" s="160" t="s">
        <v>200</v>
      </c>
      <c r="C276" s="161" t="s">
        <v>234</v>
      </c>
      <c r="D276" s="161"/>
      <c r="E276" s="161"/>
      <c r="F276" s="162"/>
      <c r="G276" s="162"/>
      <c r="H276" s="162"/>
      <c r="I276" s="160" t="s">
        <v>975</v>
      </c>
      <c r="J276" s="163">
        <v>1.86</v>
      </c>
      <c r="K276" s="163"/>
      <c r="L276" s="163"/>
      <c r="M276" s="164">
        <v>13</v>
      </c>
      <c r="N276" s="164"/>
      <c r="O276" s="164"/>
      <c r="P276" s="159" t="s">
        <v>665</v>
      </c>
      <c r="Q276" s="159" t="s">
        <v>436</v>
      </c>
      <c r="R276" s="159" t="s">
        <v>976</v>
      </c>
      <c r="S276" s="165">
        <v>9.5505346270656002E-3</v>
      </c>
      <c r="T276" s="166" t="s">
        <v>383</v>
      </c>
      <c r="U276" s="166"/>
      <c r="V276" s="166"/>
      <c r="W276" s="167">
        <f>IF(BetTable[Sport]="","",BetTable[Stake]+BetTable[S2]+BetTable[S3])</f>
        <v>13</v>
      </c>
      <c r="X276" s="164">
        <f>IF(BetTable[Odds]="","",(BetTable[WBA1-Commission])-BetTable[TS])</f>
        <v>11.18</v>
      </c>
      <c r="Y276" s="168">
        <f>IF(BetTable[Outcome]="","",BetTable[WBA1]+BetTable[WBA2]+BetTable[WBA3]-BetTable[TS])</f>
        <v>0</v>
      </c>
      <c r="Z276" s="164">
        <f>(((BetTable[Odds]-1)*BetTable[Stake])*(1-(BetTable[Comm %]))+BetTable[Stake])</f>
        <v>24.18</v>
      </c>
      <c r="AA276" s="164">
        <f>(((BetTable[O2]-1)*BetTable[S2])*(1-(BetTable[C% 2]))+BetTable[S2])</f>
        <v>0</v>
      </c>
      <c r="AB276" s="164">
        <f>(((BetTable[O3]-1)*BetTable[S3])*(1-(BetTable[C% 3]))+BetTable[S3])</f>
        <v>0</v>
      </c>
      <c r="AC276" s="165">
        <f>IFERROR(IF(BetTable[Sport]="","",BetTable[R1]/BetTable[TS]),"")</f>
        <v>0.86</v>
      </c>
      <c r="AD276" s="165" t="str">
        <f>IF(BetTable[O2]="","",#REF!/BetTable[TS])</f>
        <v/>
      </c>
      <c r="AE276" s="165" t="str">
        <f>IFERROR(IF(BetTable[Sport]="","",#REF!/BetTable[TS]),"")</f>
        <v/>
      </c>
      <c r="AF276" s="164">
        <f>IF(BetTable[Outcome]="Win",BetTable[WBA1-Commission],IF(BetTable[Outcome]="Win Half Stake",(BetTable[Stake]/2)+BetTable[WBA1-Commission]/2,IF(BetTable[Outcome]="Lose Half Stake",BetTable[Stake]/2,IF(BetTable[Outcome]="Lose",0,IF(BetTable[Outcome]="Void",BetTable[Stake],)))))</f>
        <v>13</v>
      </c>
      <c r="AG276" s="164">
        <f>IF(BetTable[Outcome2]="Win",BetTable[WBA2-Commission],IF(BetTable[Outcome2]="Win Half Stake",(BetTable[S2]/2)+BetTable[WBA2-Commission]/2,IF(BetTable[Outcome2]="Lose Half Stake",BetTable[S2]/2,IF(BetTable[Outcome2]="Lose",0,IF(BetTable[Outcome2]="Void",BetTable[S2],)))))</f>
        <v>0</v>
      </c>
      <c r="AH276" s="164">
        <f>IF(BetTable[Outcome3]="Win",BetTable[WBA3-Commission],IF(BetTable[Outcome3]="Win Half Stake",(BetTable[S3]/2)+BetTable[WBA3-Commission]/2,IF(BetTable[Outcome3]="Lose Half Stake",BetTable[S3]/2,IF(BetTable[Outcome3]="Lose",0,IF(BetTable[Outcome3]="Void",BetTable[S3],)))))</f>
        <v>0</v>
      </c>
      <c r="AI276" s="168">
        <f>IF(BetTable[Outcome]="",AI275,BetTable[Result]+AI275)</f>
        <v>592.30624999999998</v>
      </c>
      <c r="AJ276" s="160"/>
    </row>
    <row r="277" spans="1:36" x14ac:dyDescent="0.2">
      <c r="A277" s="159" t="s">
        <v>936</v>
      </c>
      <c r="B277" s="160" t="s">
        <v>200</v>
      </c>
      <c r="C277" s="161" t="s">
        <v>91</v>
      </c>
      <c r="D277" s="161"/>
      <c r="E277" s="161"/>
      <c r="F277" s="162"/>
      <c r="G277" s="162"/>
      <c r="H277" s="162"/>
      <c r="I277" s="160" t="s">
        <v>904</v>
      </c>
      <c r="J277" s="163">
        <v>1.85</v>
      </c>
      <c r="K277" s="163"/>
      <c r="L277" s="163"/>
      <c r="M277" s="164">
        <v>32</v>
      </c>
      <c r="N277" s="164"/>
      <c r="O277" s="164"/>
      <c r="P277" s="159" t="s">
        <v>448</v>
      </c>
      <c r="Q277" s="159" t="s">
        <v>503</v>
      </c>
      <c r="R277" s="159" t="s">
        <v>977</v>
      </c>
      <c r="S277" s="165">
        <v>2.2771643061460602E-2</v>
      </c>
      <c r="T277" s="166" t="s">
        <v>382</v>
      </c>
      <c r="U277" s="166"/>
      <c r="V277" s="166"/>
      <c r="W277" s="167">
        <f>IF(BetTable[Sport]="","",BetTable[Stake]+BetTable[S2]+BetTable[S3])</f>
        <v>32</v>
      </c>
      <c r="X277" s="164">
        <f>IF(BetTable[Odds]="","",(BetTable[WBA1-Commission])-BetTable[TS])</f>
        <v>27.200000000000003</v>
      </c>
      <c r="Y277" s="168">
        <f>IF(BetTable[Outcome]="","",BetTable[WBA1]+BetTable[WBA2]+BetTable[WBA3]-BetTable[TS])</f>
        <v>-32</v>
      </c>
      <c r="Z277" s="164">
        <f>(((BetTable[Odds]-1)*BetTable[Stake])*(1-(BetTable[Comm %]))+BetTable[Stake])</f>
        <v>59.2</v>
      </c>
      <c r="AA277" s="164">
        <f>(((BetTable[O2]-1)*BetTable[S2])*(1-(BetTable[C% 2]))+BetTable[S2])</f>
        <v>0</v>
      </c>
      <c r="AB277" s="164">
        <f>(((BetTable[O3]-1)*BetTable[S3])*(1-(BetTable[C% 3]))+BetTable[S3])</f>
        <v>0</v>
      </c>
      <c r="AC277" s="165">
        <f>IFERROR(IF(BetTable[Sport]="","",BetTable[R1]/BetTable[TS]),"")</f>
        <v>0.85000000000000009</v>
      </c>
      <c r="AD277" s="165" t="str">
        <f>IF(BetTable[O2]="","",#REF!/BetTable[TS])</f>
        <v/>
      </c>
      <c r="AE277" s="165" t="str">
        <f>IFERROR(IF(BetTable[Sport]="","",#REF!/BetTable[TS]),"")</f>
        <v/>
      </c>
      <c r="AF277" s="164">
        <f>IF(BetTable[Outcome]="Win",BetTable[WBA1-Commission],IF(BetTable[Outcome]="Win Half Stake",(BetTable[Stake]/2)+BetTable[WBA1-Commission]/2,IF(BetTable[Outcome]="Lose Half Stake",BetTable[Stake]/2,IF(BetTable[Outcome]="Lose",0,IF(BetTable[Outcome]="Void",BetTable[Stake],)))))</f>
        <v>0</v>
      </c>
      <c r="AG277" s="164">
        <f>IF(BetTable[Outcome2]="Win",BetTable[WBA2-Commission],IF(BetTable[Outcome2]="Win Half Stake",(BetTable[S2]/2)+BetTable[WBA2-Commission]/2,IF(BetTable[Outcome2]="Lose Half Stake",BetTable[S2]/2,IF(BetTable[Outcome2]="Lose",0,IF(BetTable[Outcome2]="Void",BetTable[S2],)))))</f>
        <v>0</v>
      </c>
      <c r="AH277" s="164">
        <f>IF(BetTable[Outcome3]="Win",BetTable[WBA3-Commission],IF(BetTable[Outcome3]="Win Half Stake",(BetTable[S3]/2)+BetTable[WBA3-Commission]/2,IF(BetTable[Outcome3]="Lose Half Stake",BetTable[S3]/2,IF(BetTable[Outcome3]="Lose",0,IF(BetTable[Outcome3]="Void",BetTable[S3],)))))</f>
        <v>0</v>
      </c>
      <c r="AI277" s="168">
        <f>IF(BetTable[Outcome]="",AI276,BetTable[Result]+AI276)</f>
        <v>560.30624999999998</v>
      </c>
      <c r="AJ277" s="160"/>
    </row>
    <row r="278" spans="1:36" x14ac:dyDescent="0.2">
      <c r="A278" s="159" t="s">
        <v>936</v>
      </c>
      <c r="B278" s="160" t="s">
        <v>200</v>
      </c>
      <c r="C278" s="161" t="s">
        <v>234</v>
      </c>
      <c r="D278" s="161"/>
      <c r="E278" s="161"/>
      <c r="F278" s="162"/>
      <c r="G278" s="162"/>
      <c r="H278" s="162"/>
      <c r="I278" s="160" t="s">
        <v>978</v>
      </c>
      <c r="J278" s="163">
        <v>1.81</v>
      </c>
      <c r="K278" s="163"/>
      <c r="L278" s="163"/>
      <c r="M278" s="164">
        <v>18</v>
      </c>
      <c r="N278" s="164"/>
      <c r="O278" s="164"/>
      <c r="P278" s="159" t="s">
        <v>688</v>
      </c>
      <c r="Q278" s="159" t="s">
        <v>818</v>
      </c>
      <c r="R278" s="159" t="s">
        <v>979</v>
      </c>
      <c r="S278" s="165">
        <v>1.2212969120314899E-2</v>
      </c>
      <c r="T278" s="166" t="s">
        <v>372</v>
      </c>
      <c r="U278" s="166"/>
      <c r="V278" s="166"/>
      <c r="W278" s="167">
        <f>IF(BetTable[Sport]="","",BetTable[Stake]+BetTable[S2]+BetTable[S3])</f>
        <v>18</v>
      </c>
      <c r="X278" s="164">
        <f>IF(BetTable[Odds]="","",(BetTable[WBA1-Commission])-BetTable[TS])</f>
        <v>14.579999999999998</v>
      </c>
      <c r="Y278" s="168">
        <f>IF(BetTable[Outcome]="","",BetTable[WBA1]+BetTable[WBA2]+BetTable[WBA3]-BetTable[TS])</f>
        <v>14.579999999999998</v>
      </c>
      <c r="Z278" s="164">
        <f>(((BetTable[Odds]-1)*BetTable[Stake])*(1-(BetTable[Comm %]))+BetTable[Stake])</f>
        <v>32.58</v>
      </c>
      <c r="AA278" s="164">
        <f>(((BetTable[O2]-1)*BetTable[S2])*(1-(BetTable[C% 2]))+BetTable[S2])</f>
        <v>0</v>
      </c>
      <c r="AB278" s="164">
        <f>(((BetTable[O3]-1)*BetTable[S3])*(1-(BetTable[C% 3]))+BetTable[S3])</f>
        <v>0</v>
      </c>
      <c r="AC278" s="165">
        <f>IFERROR(IF(BetTable[Sport]="","",BetTable[R1]/BetTable[TS]),"")</f>
        <v>0.80999999999999994</v>
      </c>
      <c r="AD278" s="165" t="str">
        <f>IF(BetTable[O2]="","",#REF!/BetTable[TS])</f>
        <v/>
      </c>
      <c r="AE278" s="165" t="str">
        <f>IFERROR(IF(BetTable[Sport]="","",#REF!/BetTable[TS]),"")</f>
        <v/>
      </c>
      <c r="AF278" s="164">
        <f>IF(BetTable[Outcome]="Win",BetTable[WBA1-Commission],IF(BetTable[Outcome]="Win Half Stake",(BetTable[Stake]/2)+BetTable[WBA1-Commission]/2,IF(BetTable[Outcome]="Lose Half Stake",BetTable[Stake]/2,IF(BetTable[Outcome]="Lose",0,IF(BetTable[Outcome]="Void",BetTable[Stake],)))))</f>
        <v>32.58</v>
      </c>
      <c r="AG278" s="164">
        <f>IF(BetTable[Outcome2]="Win",BetTable[WBA2-Commission],IF(BetTable[Outcome2]="Win Half Stake",(BetTable[S2]/2)+BetTable[WBA2-Commission]/2,IF(BetTable[Outcome2]="Lose Half Stake",BetTable[S2]/2,IF(BetTable[Outcome2]="Lose",0,IF(BetTable[Outcome2]="Void",BetTable[S2],)))))</f>
        <v>0</v>
      </c>
      <c r="AH278" s="164">
        <f>IF(BetTable[Outcome3]="Win",BetTable[WBA3-Commission],IF(BetTable[Outcome3]="Win Half Stake",(BetTable[S3]/2)+BetTable[WBA3-Commission]/2,IF(BetTable[Outcome3]="Lose Half Stake",BetTable[S3]/2,IF(BetTable[Outcome3]="Lose",0,IF(BetTable[Outcome3]="Void",BetTable[S3],)))))</f>
        <v>0</v>
      </c>
      <c r="AI278" s="168">
        <f>IF(BetTable[Outcome]="",AI277,BetTable[Result]+AI277)</f>
        <v>574.88625000000002</v>
      </c>
      <c r="AJ278" s="160"/>
    </row>
    <row r="279" spans="1:36" x14ac:dyDescent="0.2">
      <c r="A279" s="159" t="s">
        <v>936</v>
      </c>
      <c r="B279" s="160" t="s">
        <v>200</v>
      </c>
      <c r="C279" s="161" t="s">
        <v>91</v>
      </c>
      <c r="D279" s="161"/>
      <c r="E279" s="161"/>
      <c r="F279" s="162"/>
      <c r="G279" s="162"/>
      <c r="H279" s="162"/>
      <c r="I279" s="160" t="s">
        <v>900</v>
      </c>
      <c r="J279" s="163">
        <v>1.61</v>
      </c>
      <c r="K279" s="163"/>
      <c r="L279" s="163"/>
      <c r="M279" s="164">
        <v>38</v>
      </c>
      <c r="N279" s="164"/>
      <c r="O279" s="164"/>
      <c r="P279" s="159" t="s">
        <v>385</v>
      </c>
      <c r="Q279" s="159" t="s">
        <v>980</v>
      </c>
      <c r="R279" s="159" t="s">
        <v>981</v>
      </c>
      <c r="S279" s="165">
        <v>1.9114924223963398E-2</v>
      </c>
      <c r="T279" s="166" t="s">
        <v>372</v>
      </c>
      <c r="U279" s="166"/>
      <c r="V279" s="166"/>
      <c r="W279" s="167">
        <f>IF(BetTable[Sport]="","",BetTable[Stake]+BetTable[S2]+BetTable[S3])</f>
        <v>38</v>
      </c>
      <c r="X279" s="164">
        <f>IF(BetTable[Odds]="","",(BetTable[WBA1-Commission])-BetTable[TS])</f>
        <v>23.180000000000007</v>
      </c>
      <c r="Y279" s="168">
        <f>IF(BetTable[Outcome]="","",BetTable[WBA1]+BetTable[WBA2]+BetTable[WBA3]-BetTable[TS])</f>
        <v>23.180000000000007</v>
      </c>
      <c r="Z279" s="164">
        <f>(((BetTable[Odds]-1)*BetTable[Stake])*(1-(BetTable[Comm %]))+BetTable[Stake])</f>
        <v>61.180000000000007</v>
      </c>
      <c r="AA279" s="164">
        <f>(((BetTable[O2]-1)*BetTable[S2])*(1-(BetTable[C% 2]))+BetTable[S2])</f>
        <v>0</v>
      </c>
      <c r="AB279" s="164">
        <f>(((BetTable[O3]-1)*BetTable[S3])*(1-(BetTable[C% 3]))+BetTable[S3])</f>
        <v>0</v>
      </c>
      <c r="AC279" s="165">
        <f>IFERROR(IF(BetTable[Sport]="","",BetTable[R1]/BetTable[TS]),"")</f>
        <v>0.61000000000000021</v>
      </c>
      <c r="AD279" s="165" t="str">
        <f>IF(BetTable[O2]="","",#REF!/BetTable[TS])</f>
        <v/>
      </c>
      <c r="AE279" s="165" t="str">
        <f>IFERROR(IF(BetTable[Sport]="","",#REF!/BetTable[TS]),"")</f>
        <v/>
      </c>
      <c r="AF279" s="164">
        <f>IF(BetTable[Outcome]="Win",BetTable[WBA1-Commission],IF(BetTable[Outcome]="Win Half Stake",(BetTable[Stake]/2)+BetTable[WBA1-Commission]/2,IF(BetTable[Outcome]="Lose Half Stake",BetTable[Stake]/2,IF(BetTable[Outcome]="Lose",0,IF(BetTable[Outcome]="Void",BetTable[Stake],)))))</f>
        <v>61.180000000000007</v>
      </c>
      <c r="AG279" s="164">
        <f>IF(BetTable[Outcome2]="Win",BetTable[WBA2-Commission],IF(BetTable[Outcome2]="Win Half Stake",(BetTable[S2]/2)+BetTable[WBA2-Commission]/2,IF(BetTable[Outcome2]="Lose Half Stake",BetTable[S2]/2,IF(BetTable[Outcome2]="Lose",0,IF(BetTable[Outcome2]="Void",BetTable[S2],)))))</f>
        <v>0</v>
      </c>
      <c r="AH279" s="164">
        <f>IF(BetTable[Outcome3]="Win",BetTable[WBA3-Commission],IF(BetTable[Outcome3]="Win Half Stake",(BetTable[S3]/2)+BetTable[WBA3-Commission]/2,IF(BetTable[Outcome3]="Lose Half Stake",BetTable[S3]/2,IF(BetTable[Outcome3]="Lose",0,IF(BetTable[Outcome3]="Void",BetTable[S3],)))))</f>
        <v>0</v>
      </c>
      <c r="AI279" s="168">
        <f>IF(BetTable[Outcome]="",AI278,BetTable[Result]+AI278)</f>
        <v>598.06625000000008</v>
      </c>
      <c r="AJ279" s="160"/>
    </row>
    <row r="280" spans="1:36" x14ac:dyDescent="0.2">
      <c r="A280" s="159" t="s">
        <v>936</v>
      </c>
      <c r="B280" s="160" t="s">
        <v>9</v>
      </c>
      <c r="C280" s="161" t="s">
        <v>234</v>
      </c>
      <c r="D280" s="161"/>
      <c r="E280" s="161"/>
      <c r="F280" s="162"/>
      <c r="G280" s="162"/>
      <c r="H280" s="162"/>
      <c r="I280" s="160" t="s">
        <v>982</v>
      </c>
      <c r="J280" s="163">
        <v>1.91</v>
      </c>
      <c r="K280" s="163"/>
      <c r="L280" s="163"/>
      <c r="M280" s="164">
        <v>14</v>
      </c>
      <c r="N280" s="164"/>
      <c r="O280" s="164"/>
      <c r="P280" s="159" t="s">
        <v>385</v>
      </c>
      <c r="Q280" s="159" t="s">
        <v>674</v>
      </c>
      <c r="R280" s="159" t="s">
        <v>983</v>
      </c>
      <c r="S280" s="165">
        <v>1.05732845581799E-2</v>
      </c>
      <c r="T280" s="166" t="s">
        <v>382</v>
      </c>
      <c r="U280" s="166"/>
      <c r="V280" s="166"/>
      <c r="W280" s="167">
        <f>IF(BetTable[Sport]="","",BetTable[Stake]+BetTable[S2]+BetTable[S3])</f>
        <v>14</v>
      </c>
      <c r="X280" s="164">
        <f>IF(BetTable[Odds]="","",(BetTable[WBA1-Commission])-BetTable[TS])</f>
        <v>12.739999999999998</v>
      </c>
      <c r="Y280" s="168">
        <f>IF(BetTable[Outcome]="","",BetTable[WBA1]+BetTable[WBA2]+BetTable[WBA3]-BetTable[TS])</f>
        <v>-14</v>
      </c>
      <c r="Z280" s="164">
        <f>(((BetTable[Odds]-1)*BetTable[Stake])*(1-(BetTable[Comm %]))+BetTable[Stake])</f>
        <v>26.74</v>
      </c>
      <c r="AA280" s="164">
        <f>(((BetTable[O2]-1)*BetTable[S2])*(1-(BetTable[C% 2]))+BetTable[S2])</f>
        <v>0</v>
      </c>
      <c r="AB280" s="164">
        <f>(((BetTable[O3]-1)*BetTable[S3])*(1-(BetTable[C% 3]))+BetTable[S3])</f>
        <v>0</v>
      </c>
      <c r="AC280" s="165">
        <f>IFERROR(IF(BetTable[Sport]="","",BetTable[R1]/BetTable[TS]),"")</f>
        <v>0.90999999999999992</v>
      </c>
      <c r="AD280" s="165" t="str">
        <f>IF(BetTable[O2]="","",#REF!/BetTable[TS])</f>
        <v/>
      </c>
      <c r="AE280" s="165" t="str">
        <f>IFERROR(IF(BetTable[Sport]="","",#REF!/BetTable[TS]),"")</f>
        <v/>
      </c>
      <c r="AF280" s="164">
        <f>IF(BetTable[Outcome]="Win",BetTable[WBA1-Commission],IF(BetTable[Outcome]="Win Half Stake",(BetTable[Stake]/2)+BetTable[WBA1-Commission]/2,IF(BetTable[Outcome]="Lose Half Stake",BetTable[Stake]/2,IF(BetTable[Outcome]="Lose",0,IF(BetTable[Outcome]="Void",BetTable[Stake],)))))</f>
        <v>0</v>
      </c>
      <c r="AG280" s="164">
        <f>IF(BetTable[Outcome2]="Win",BetTable[WBA2-Commission],IF(BetTable[Outcome2]="Win Half Stake",(BetTable[S2]/2)+BetTable[WBA2-Commission]/2,IF(BetTable[Outcome2]="Lose Half Stake",BetTable[S2]/2,IF(BetTable[Outcome2]="Lose",0,IF(BetTable[Outcome2]="Void",BetTable[S2],)))))</f>
        <v>0</v>
      </c>
      <c r="AH280" s="164">
        <f>IF(BetTable[Outcome3]="Win",BetTable[WBA3-Commission],IF(BetTable[Outcome3]="Win Half Stake",(BetTable[S3]/2)+BetTable[WBA3-Commission]/2,IF(BetTable[Outcome3]="Lose Half Stake",BetTable[S3]/2,IF(BetTable[Outcome3]="Lose",0,IF(BetTable[Outcome3]="Void",BetTable[S3],)))))</f>
        <v>0</v>
      </c>
      <c r="AI280" s="168">
        <f>IF(BetTable[Outcome]="",AI279,BetTable[Result]+AI279)</f>
        <v>584.06625000000008</v>
      </c>
      <c r="AJ280" s="160"/>
    </row>
    <row r="281" spans="1:36" x14ac:dyDescent="0.2">
      <c r="A281" s="159" t="s">
        <v>936</v>
      </c>
      <c r="B281" s="160" t="s">
        <v>200</v>
      </c>
      <c r="C281" s="161" t="s">
        <v>91</v>
      </c>
      <c r="D281" s="161"/>
      <c r="E281" s="161"/>
      <c r="F281" s="162"/>
      <c r="G281" s="162"/>
      <c r="H281" s="162"/>
      <c r="I281" s="160" t="s">
        <v>984</v>
      </c>
      <c r="J281" s="163">
        <v>1.74</v>
      </c>
      <c r="K281" s="163"/>
      <c r="L281" s="163"/>
      <c r="M281" s="164">
        <v>27</v>
      </c>
      <c r="N281" s="164"/>
      <c r="O281" s="164"/>
      <c r="P281" s="159" t="s">
        <v>448</v>
      </c>
      <c r="Q281" s="159" t="s">
        <v>488</v>
      </c>
      <c r="R281" s="159" t="s">
        <v>985</v>
      </c>
      <c r="S281" s="165">
        <v>1.67635988616587E-2</v>
      </c>
      <c r="T281" s="166" t="s">
        <v>372</v>
      </c>
      <c r="U281" s="166"/>
      <c r="V281" s="166"/>
      <c r="W281" s="167">
        <f>IF(BetTable[Sport]="","",BetTable[Stake]+BetTable[S2]+BetTable[S3])</f>
        <v>27</v>
      </c>
      <c r="X281" s="164">
        <f>IF(BetTable[Odds]="","",(BetTable[WBA1-Commission])-BetTable[TS])</f>
        <v>19.980000000000004</v>
      </c>
      <c r="Y281" s="168">
        <f>IF(BetTable[Outcome]="","",BetTable[WBA1]+BetTable[WBA2]+BetTable[WBA3]-BetTable[TS])</f>
        <v>19.980000000000004</v>
      </c>
      <c r="Z281" s="164">
        <f>(((BetTable[Odds]-1)*BetTable[Stake])*(1-(BetTable[Comm %]))+BetTable[Stake])</f>
        <v>46.980000000000004</v>
      </c>
      <c r="AA281" s="164">
        <f>(((BetTable[O2]-1)*BetTable[S2])*(1-(BetTable[C% 2]))+BetTable[S2])</f>
        <v>0</v>
      </c>
      <c r="AB281" s="164">
        <f>(((BetTable[O3]-1)*BetTable[S3])*(1-(BetTable[C% 3]))+BetTable[S3])</f>
        <v>0</v>
      </c>
      <c r="AC281" s="165">
        <f>IFERROR(IF(BetTable[Sport]="","",BetTable[R1]/BetTable[TS]),"")</f>
        <v>0.7400000000000001</v>
      </c>
      <c r="AD281" s="165" t="str">
        <f>IF(BetTable[O2]="","",#REF!/BetTable[TS])</f>
        <v/>
      </c>
      <c r="AE281" s="165" t="str">
        <f>IFERROR(IF(BetTable[Sport]="","",#REF!/BetTable[TS]),"")</f>
        <v/>
      </c>
      <c r="AF281" s="164">
        <f>IF(BetTable[Outcome]="Win",BetTable[WBA1-Commission],IF(BetTable[Outcome]="Win Half Stake",(BetTable[Stake]/2)+BetTable[WBA1-Commission]/2,IF(BetTable[Outcome]="Lose Half Stake",BetTable[Stake]/2,IF(BetTable[Outcome]="Lose",0,IF(BetTable[Outcome]="Void",BetTable[Stake],)))))</f>
        <v>46.980000000000004</v>
      </c>
      <c r="AG281" s="164">
        <f>IF(BetTable[Outcome2]="Win",BetTable[WBA2-Commission],IF(BetTable[Outcome2]="Win Half Stake",(BetTable[S2]/2)+BetTable[WBA2-Commission]/2,IF(BetTable[Outcome2]="Lose Half Stake",BetTable[S2]/2,IF(BetTable[Outcome2]="Lose",0,IF(BetTable[Outcome2]="Void",BetTable[S2],)))))</f>
        <v>0</v>
      </c>
      <c r="AH281" s="164">
        <f>IF(BetTable[Outcome3]="Win",BetTable[WBA3-Commission],IF(BetTable[Outcome3]="Win Half Stake",(BetTable[S3]/2)+BetTable[WBA3-Commission]/2,IF(BetTable[Outcome3]="Lose Half Stake",BetTable[S3]/2,IF(BetTable[Outcome3]="Lose",0,IF(BetTable[Outcome3]="Void",BetTable[S3],)))))</f>
        <v>0</v>
      </c>
      <c r="AI281" s="168">
        <f>IF(BetTable[Outcome]="",AI280,BetTable[Result]+AI280)</f>
        <v>604.0462500000001</v>
      </c>
      <c r="AJ281" s="160"/>
    </row>
    <row r="282" spans="1:36" x14ac:dyDescent="0.2">
      <c r="A282" s="159" t="s">
        <v>936</v>
      </c>
      <c r="B282" s="160" t="s">
        <v>200</v>
      </c>
      <c r="C282" s="161" t="s">
        <v>91</v>
      </c>
      <c r="D282" s="161"/>
      <c r="E282" s="161"/>
      <c r="F282" s="162"/>
      <c r="G282" s="162"/>
      <c r="H282" s="162"/>
      <c r="I282" s="160" t="s">
        <v>971</v>
      </c>
      <c r="J282" s="163">
        <v>1.63</v>
      </c>
      <c r="K282" s="163"/>
      <c r="L282" s="163"/>
      <c r="M282" s="164">
        <v>31</v>
      </c>
      <c r="N282" s="164"/>
      <c r="O282" s="164"/>
      <c r="P282" s="159" t="s">
        <v>351</v>
      </c>
      <c r="Q282" s="159" t="s">
        <v>333</v>
      </c>
      <c r="R282" s="159" t="s">
        <v>986</v>
      </c>
      <c r="S282" s="165">
        <v>1.6168912966695901E-2</v>
      </c>
      <c r="T282" s="166" t="s">
        <v>372</v>
      </c>
      <c r="U282" s="166"/>
      <c r="V282" s="166"/>
      <c r="W282" s="167">
        <f>IF(BetTable[Sport]="","",BetTable[Stake]+BetTable[S2]+BetTable[S3])</f>
        <v>31</v>
      </c>
      <c r="X282" s="164">
        <f>IF(BetTable[Odds]="","",(BetTable[WBA1-Commission])-BetTable[TS])</f>
        <v>19.53</v>
      </c>
      <c r="Y282" s="168">
        <f>IF(BetTable[Outcome]="","",BetTable[WBA1]+BetTable[WBA2]+BetTable[WBA3]-BetTable[TS])</f>
        <v>19.53</v>
      </c>
      <c r="Z282" s="164">
        <f>(((BetTable[Odds]-1)*BetTable[Stake])*(1-(BetTable[Comm %]))+BetTable[Stake])</f>
        <v>50.53</v>
      </c>
      <c r="AA282" s="164">
        <f>(((BetTable[O2]-1)*BetTable[S2])*(1-(BetTable[C% 2]))+BetTable[S2])</f>
        <v>0</v>
      </c>
      <c r="AB282" s="164">
        <f>(((BetTable[O3]-1)*BetTable[S3])*(1-(BetTable[C% 3]))+BetTable[S3])</f>
        <v>0</v>
      </c>
      <c r="AC282" s="165">
        <f>IFERROR(IF(BetTable[Sport]="","",BetTable[R1]/BetTable[TS]),"")</f>
        <v>0.63</v>
      </c>
      <c r="AD282" s="165" t="str">
        <f>IF(BetTable[O2]="","",#REF!/BetTable[TS])</f>
        <v/>
      </c>
      <c r="AE282" s="165" t="str">
        <f>IFERROR(IF(BetTable[Sport]="","",#REF!/BetTable[TS]),"")</f>
        <v/>
      </c>
      <c r="AF282" s="164">
        <f>IF(BetTable[Outcome]="Win",BetTable[WBA1-Commission],IF(BetTable[Outcome]="Win Half Stake",(BetTable[Stake]/2)+BetTable[WBA1-Commission]/2,IF(BetTable[Outcome]="Lose Half Stake",BetTable[Stake]/2,IF(BetTable[Outcome]="Lose",0,IF(BetTable[Outcome]="Void",BetTable[Stake],)))))</f>
        <v>50.53</v>
      </c>
      <c r="AG282" s="164">
        <f>IF(BetTable[Outcome2]="Win",BetTable[WBA2-Commission],IF(BetTable[Outcome2]="Win Half Stake",(BetTable[S2]/2)+BetTable[WBA2-Commission]/2,IF(BetTable[Outcome2]="Lose Half Stake",BetTable[S2]/2,IF(BetTable[Outcome2]="Lose",0,IF(BetTable[Outcome2]="Void",BetTable[S2],)))))</f>
        <v>0</v>
      </c>
      <c r="AH282" s="164">
        <f>IF(BetTable[Outcome3]="Win",BetTable[WBA3-Commission],IF(BetTable[Outcome3]="Win Half Stake",(BetTable[S3]/2)+BetTable[WBA3-Commission]/2,IF(BetTable[Outcome3]="Lose Half Stake",BetTable[S3]/2,IF(BetTable[Outcome3]="Lose",0,IF(BetTable[Outcome3]="Void",BetTable[S3],)))))</f>
        <v>0</v>
      </c>
      <c r="AI282" s="168">
        <f>IF(BetTable[Outcome]="",AI281,BetTable[Result]+AI281)</f>
        <v>623.57625000000007</v>
      </c>
      <c r="AJ282" s="160"/>
    </row>
    <row r="283" spans="1:36" x14ac:dyDescent="0.2">
      <c r="A283" s="181" t="s">
        <v>936</v>
      </c>
      <c r="B283" s="182" t="s">
        <v>200</v>
      </c>
      <c r="C283" s="183" t="s">
        <v>91</v>
      </c>
      <c r="D283" s="183"/>
      <c r="E283" s="183"/>
      <c r="F283" s="184"/>
      <c r="G283" s="184"/>
      <c r="H283" s="184"/>
      <c r="I283" s="182" t="s">
        <v>987</v>
      </c>
      <c r="J283" s="185">
        <v>1.72</v>
      </c>
      <c r="K283" s="185"/>
      <c r="L283" s="185"/>
      <c r="M283" s="186">
        <v>25</v>
      </c>
      <c r="N283" s="186"/>
      <c r="O283" s="186"/>
      <c r="P283" s="181" t="s">
        <v>348</v>
      </c>
      <c r="Q283" s="181" t="s">
        <v>488</v>
      </c>
      <c r="R283" s="181" t="s">
        <v>988</v>
      </c>
      <c r="S283" s="187">
        <v>1.5224140514325E-2</v>
      </c>
      <c r="T283" s="188" t="s">
        <v>372</v>
      </c>
      <c r="U283" s="188"/>
      <c r="V283" s="188"/>
      <c r="W283" s="189">
        <f>IF(BetTable[Sport]="","",BetTable[Stake]+BetTable[S2]+BetTable[S3])</f>
        <v>25</v>
      </c>
      <c r="X283" s="186">
        <f>IF(BetTable[Odds]="","",(BetTable[WBA1-Commission])-BetTable[TS])</f>
        <v>18</v>
      </c>
      <c r="Y283" s="190">
        <f>IF(BetTable[Outcome]="","",BetTable[WBA1]+BetTable[WBA2]+BetTable[WBA3]-BetTable[TS])</f>
        <v>18</v>
      </c>
      <c r="Z283" s="186">
        <f>(((BetTable[Odds]-1)*BetTable[Stake])*(1-(BetTable[Comm %]))+BetTable[Stake])</f>
        <v>43</v>
      </c>
      <c r="AA283" s="186">
        <f>(((BetTable[O2]-1)*BetTable[S2])*(1-(BetTable[C% 2]))+BetTable[S2])</f>
        <v>0</v>
      </c>
      <c r="AB283" s="186">
        <f>(((BetTable[O3]-1)*BetTable[S3])*(1-(BetTable[C% 3]))+BetTable[S3])</f>
        <v>0</v>
      </c>
      <c r="AC283" s="187">
        <f>IFERROR(IF(BetTable[Sport]="","",BetTable[R1]/BetTable[TS]),"")</f>
        <v>0.72</v>
      </c>
      <c r="AD283" s="187" t="str">
        <f>IF(BetTable[O2]="","",#REF!/BetTable[TS])</f>
        <v/>
      </c>
      <c r="AE283" s="187" t="str">
        <f>IFERROR(IF(BetTable[Sport]="","",#REF!/BetTable[TS]),"")</f>
        <v/>
      </c>
      <c r="AF283" s="186">
        <f>IF(BetTable[Outcome]="Win",BetTable[WBA1-Commission],IF(BetTable[Outcome]="Win Half Stake",(BetTable[Stake]/2)+BetTable[WBA1-Commission]/2,IF(BetTable[Outcome]="Lose Half Stake",BetTable[Stake]/2,IF(BetTable[Outcome]="Lose",0,IF(BetTable[Outcome]="Void",BetTable[Stake],)))))</f>
        <v>43</v>
      </c>
      <c r="AG283" s="186">
        <f>IF(BetTable[Outcome2]="Win",BetTable[WBA2-Commission],IF(BetTable[Outcome2]="Win Half Stake",(BetTable[S2]/2)+BetTable[WBA2-Commission]/2,IF(BetTable[Outcome2]="Lose Half Stake",BetTable[S2]/2,IF(BetTable[Outcome2]="Lose",0,IF(BetTable[Outcome2]="Void",BetTable[S2],)))))</f>
        <v>0</v>
      </c>
      <c r="AH283" s="186">
        <f>IF(BetTable[Outcome3]="Win",BetTable[WBA3-Commission],IF(BetTable[Outcome3]="Win Half Stake",(BetTable[S3]/2)+BetTable[WBA3-Commission]/2,IF(BetTable[Outcome3]="Lose Half Stake",BetTable[S3]/2,IF(BetTable[Outcome3]="Lose",0,IF(BetTable[Outcome3]="Void",BetTable[S3],)))))</f>
        <v>0</v>
      </c>
      <c r="AI283" s="190">
        <f>IF(BetTable[Outcome]="",AI282,BetTable[Result]+AI282)</f>
        <v>641.57625000000007</v>
      </c>
      <c r="AJ283" s="182"/>
    </row>
    <row r="284" spans="1:36" x14ac:dyDescent="0.2">
      <c r="A284" s="181" t="s">
        <v>936</v>
      </c>
      <c r="B284" s="182" t="s">
        <v>200</v>
      </c>
      <c r="C284" s="161" t="s">
        <v>234</v>
      </c>
      <c r="D284" s="183"/>
      <c r="E284" s="183"/>
      <c r="F284" s="184"/>
      <c r="G284" s="184"/>
      <c r="H284" s="184"/>
      <c r="I284" s="182" t="s">
        <v>915</v>
      </c>
      <c r="J284" s="185">
        <v>1.96</v>
      </c>
      <c r="K284" s="185"/>
      <c r="L284" s="185"/>
      <c r="M284" s="186">
        <v>12</v>
      </c>
      <c r="N284" s="186"/>
      <c r="O284" s="186"/>
      <c r="P284" s="181" t="s">
        <v>351</v>
      </c>
      <c r="Q284" s="181" t="s">
        <v>474</v>
      </c>
      <c r="R284" s="181" t="s">
        <v>989</v>
      </c>
      <c r="S284" s="187">
        <v>9.9049316696375508E-3</v>
      </c>
      <c r="T284" s="188" t="s">
        <v>549</v>
      </c>
      <c r="U284" s="188"/>
      <c r="V284" s="188"/>
      <c r="W284" s="189">
        <f>IF(BetTable[Sport]="","",BetTable[Stake]+BetTable[S2]+BetTable[S3])</f>
        <v>12</v>
      </c>
      <c r="X284" s="186">
        <f>IF(BetTable[Odds]="","",(BetTable[WBA1-Commission])-BetTable[TS])</f>
        <v>11.52</v>
      </c>
      <c r="Y284" s="190">
        <f>IF(BetTable[Outcome]="","",BetTable[WBA1]+BetTable[WBA2]+BetTable[WBA3]-BetTable[TS])</f>
        <v>-6</v>
      </c>
      <c r="Z284" s="186">
        <f>(((BetTable[Odds]-1)*BetTable[Stake])*(1-(BetTable[Comm %]))+BetTable[Stake])</f>
        <v>23.52</v>
      </c>
      <c r="AA284" s="186">
        <f>(((BetTable[O2]-1)*BetTable[S2])*(1-(BetTable[C% 2]))+BetTable[S2])</f>
        <v>0</v>
      </c>
      <c r="AB284" s="186">
        <f>(((BetTable[O3]-1)*BetTable[S3])*(1-(BetTable[C% 3]))+BetTable[S3])</f>
        <v>0</v>
      </c>
      <c r="AC284" s="187">
        <f>IFERROR(IF(BetTable[Sport]="","",BetTable[R1]/BetTable[TS]),"")</f>
        <v>0.96</v>
      </c>
      <c r="AD284" s="187" t="str">
        <f>IF(BetTable[O2]="","",#REF!/BetTable[TS])</f>
        <v/>
      </c>
      <c r="AE284" s="187" t="str">
        <f>IFERROR(IF(BetTable[Sport]="","",#REF!/BetTable[TS]),"")</f>
        <v/>
      </c>
      <c r="AF284" s="186">
        <f>IF(BetTable[Outcome]="Win",BetTable[WBA1-Commission],IF(BetTable[Outcome]="Win Half Stake",(BetTable[Stake]/2)+BetTable[WBA1-Commission]/2,IF(BetTable[Outcome]="Lose Half Stake",BetTable[Stake]/2,IF(BetTable[Outcome]="Lose",0,IF(BetTable[Outcome]="Void",BetTable[Stake],)))))</f>
        <v>6</v>
      </c>
      <c r="AG284" s="186">
        <f>IF(BetTable[Outcome2]="Win",BetTable[WBA2-Commission],IF(BetTable[Outcome2]="Win Half Stake",(BetTable[S2]/2)+BetTable[WBA2-Commission]/2,IF(BetTable[Outcome2]="Lose Half Stake",BetTable[S2]/2,IF(BetTable[Outcome2]="Lose",0,IF(BetTable[Outcome2]="Void",BetTable[S2],)))))</f>
        <v>0</v>
      </c>
      <c r="AH284" s="186">
        <f>IF(BetTable[Outcome3]="Win",BetTable[WBA3-Commission],IF(BetTable[Outcome3]="Win Half Stake",(BetTable[S3]/2)+BetTable[WBA3-Commission]/2,IF(BetTable[Outcome3]="Lose Half Stake",BetTable[S3]/2,IF(BetTable[Outcome3]="Lose",0,IF(BetTable[Outcome3]="Void",BetTable[S3],)))))</f>
        <v>0</v>
      </c>
      <c r="AI284" s="190">
        <f>IF(BetTable[Outcome]="",AI283,BetTable[Result]+AI283)</f>
        <v>635.57625000000007</v>
      </c>
      <c r="AJ284" s="182"/>
    </row>
    <row r="285" spans="1:36" x14ac:dyDescent="0.2">
      <c r="A285" s="181" t="s">
        <v>936</v>
      </c>
      <c r="B285" s="182" t="s">
        <v>200</v>
      </c>
      <c r="C285" s="183" t="s">
        <v>91</v>
      </c>
      <c r="D285" s="183"/>
      <c r="E285" s="183"/>
      <c r="F285" s="184"/>
      <c r="G285" s="184"/>
      <c r="H285" s="184"/>
      <c r="I285" s="182" t="s">
        <v>990</v>
      </c>
      <c r="J285" s="185">
        <v>1.88</v>
      </c>
      <c r="K285" s="185"/>
      <c r="L285" s="185"/>
      <c r="M285" s="186">
        <v>20</v>
      </c>
      <c r="N285" s="186"/>
      <c r="O285" s="186"/>
      <c r="P285" s="181" t="s">
        <v>991</v>
      </c>
      <c r="Q285" s="181" t="s">
        <v>436</v>
      </c>
      <c r="R285" s="181" t="s">
        <v>992</v>
      </c>
      <c r="S285" s="187">
        <v>1.43102627997733E-2</v>
      </c>
      <c r="T285" s="188" t="s">
        <v>372</v>
      </c>
      <c r="U285" s="188"/>
      <c r="V285" s="188"/>
      <c r="W285" s="189">
        <f>IF(BetTable[Sport]="","",BetTable[Stake]+BetTable[S2]+BetTable[S3])</f>
        <v>20</v>
      </c>
      <c r="X285" s="186">
        <f>IF(BetTable[Odds]="","",(BetTable[WBA1-Commission])-BetTable[TS])</f>
        <v>17.599999999999994</v>
      </c>
      <c r="Y285" s="190">
        <f>IF(BetTable[Outcome]="","",BetTable[WBA1]+BetTable[WBA2]+BetTable[WBA3]-BetTable[TS])</f>
        <v>17.599999999999994</v>
      </c>
      <c r="Z285" s="186">
        <f>(((BetTable[Odds]-1)*BetTable[Stake])*(1-(BetTable[Comm %]))+BetTable[Stake])</f>
        <v>37.599999999999994</v>
      </c>
      <c r="AA285" s="186">
        <f>(((BetTable[O2]-1)*BetTable[S2])*(1-(BetTable[C% 2]))+BetTable[S2])</f>
        <v>0</v>
      </c>
      <c r="AB285" s="186">
        <f>(((BetTable[O3]-1)*BetTable[S3])*(1-(BetTable[C% 3]))+BetTable[S3])</f>
        <v>0</v>
      </c>
      <c r="AC285" s="187">
        <f>IFERROR(IF(BetTable[Sport]="","",BetTable[R1]/BetTable[TS]),"")</f>
        <v>0.87999999999999967</v>
      </c>
      <c r="AD285" s="187" t="str">
        <f>IF(BetTable[O2]="","",#REF!/BetTable[TS])</f>
        <v/>
      </c>
      <c r="AE285" s="187" t="str">
        <f>IFERROR(IF(BetTable[Sport]="","",#REF!/BetTable[TS]),"")</f>
        <v/>
      </c>
      <c r="AF285" s="186">
        <f>IF(BetTable[Outcome]="Win",BetTable[WBA1-Commission],IF(BetTable[Outcome]="Win Half Stake",(BetTable[Stake]/2)+BetTable[WBA1-Commission]/2,IF(BetTable[Outcome]="Lose Half Stake",BetTable[Stake]/2,IF(BetTable[Outcome]="Lose",0,IF(BetTable[Outcome]="Void",BetTable[Stake],)))))</f>
        <v>37.599999999999994</v>
      </c>
      <c r="AG285" s="186">
        <f>IF(BetTable[Outcome2]="Win",BetTable[WBA2-Commission],IF(BetTable[Outcome2]="Win Half Stake",(BetTable[S2]/2)+BetTable[WBA2-Commission]/2,IF(BetTable[Outcome2]="Lose Half Stake",BetTable[S2]/2,IF(BetTable[Outcome2]="Lose",0,IF(BetTable[Outcome2]="Void",BetTable[S2],)))))</f>
        <v>0</v>
      </c>
      <c r="AH285" s="186">
        <f>IF(BetTable[Outcome3]="Win",BetTable[WBA3-Commission],IF(BetTable[Outcome3]="Win Half Stake",(BetTable[S3]/2)+BetTable[WBA3-Commission]/2,IF(BetTable[Outcome3]="Lose Half Stake",BetTable[S3]/2,IF(BetTable[Outcome3]="Lose",0,IF(BetTable[Outcome3]="Void",BetTable[S3],)))))</f>
        <v>0</v>
      </c>
      <c r="AI285" s="190">
        <f>IF(BetTable[Outcome]="",AI284,BetTable[Result]+AI284)</f>
        <v>653.1762500000001</v>
      </c>
      <c r="AJ285" s="182"/>
    </row>
    <row r="286" spans="1:36" x14ac:dyDescent="0.2">
      <c r="A286" s="159" t="s">
        <v>936</v>
      </c>
      <c r="B286" s="160" t="s">
        <v>200</v>
      </c>
      <c r="C286" s="161" t="s">
        <v>234</v>
      </c>
      <c r="D286" s="161"/>
      <c r="E286" s="161"/>
      <c r="F286" s="162"/>
      <c r="G286" s="162"/>
      <c r="H286" s="162"/>
      <c r="I286" s="160" t="s">
        <v>978</v>
      </c>
      <c r="J286" s="163">
        <v>1.54</v>
      </c>
      <c r="K286" s="163"/>
      <c r="L286" s="163"/>
      <c r="M286" s="164">
        <v>34</v>
      </c>
      <c r="N286" s="164"/>
      <c r="O286" s="164"/>
      <c r="P286" s="159" t="s">
        <v>435</v>
      </c>
      <c r="Q286" s="159" t="s">
        <v>818</v>
      </c>
      <c r="R286" s="159" t="s">
        <v>993</v>
      </c>
      <c r="S286" s="165">
        <v>1.52653497850166E-2</v>
      </c>
      <c r="T286" s="166" t="s">
        <v>372</v>
      </c>
      <c r="U286" s="166"/>
      <c r="V286" s="166"/>
      <c r="W286" s="167">
        <f>IF(BetTable[Sport]="","",BetTable[Stake]+BetTable[S2]+BetTable[S3])</f>
        <v>34</v>
      </c>
      <c r="X286" s="164">
        <f>IF(BetTable[Odds]="","",(BetTable[WBA1-Commission])-BetTable[TS])</f>
        <v>18.36</v>
      </c>
      <c r="Y286" s="168">
        <f>IF(BetTable[Outcome]="","",BetTable[WBA1]+BetTable[WBA2]+BetTable[WBA3]-BetTable[TS])</f>
        <v>18.36</v>
      </c>
      <c r="Z286" s="164">
        <f>(((BetTable[Odds]-1)*BetTable[Stake])*(1-(BetTable[Comm %]))+BetTable[Stake])</f>
        <v>52.36</v>
      </c>
      <c r="AA286" s="164">
        <f>(((BetTable[O2]-1)*BetTable[S2])*(1-(BetTable[C% 2]))+BetTable[S2])</f>
        <v>0</v>
      </c>
      <c r="AB286" s="164">
        <f>(((BetTable[O3]-1)*BetTable[S3])*(1-(BetTable[C% 3]))+BetTable[S3])</f>
        <v>0</v>
      </c>
      <c r="AC286" s="165">
        <f>IFERROR(IF(BetTable[Sport]="","",BetTable[R1]/BetTable[TS]),"")</f>
        <v>0.54</v>
      </c>
      <c r="AD286" s="165" t="str">
        <f>IF(BetTable[O2]="","",#REF!/BetTable[TS])</f>
        <v/>
      </c>
      <c r="AE286" s="165" t="str">
        <f>IFERROR(IF(BetTable[Sport]="","",#REF!/BetTable[TS]),"")</f>
        <v/>
      </c>
      <c r="AF286" s="164">
        <f>IF(BetTable[Outcome]="Win",BetTable[WBA1-Commission],IF(BetTable[Outcome]="Win Half Stake",(BetTable[Stake]/2)+BetTable[WBA1-Commission]/2,IF(BetTable[Outcome]="Lose Half Stake",BetTable[Stake]/2,IF(BetTable[Outcome]="Lose",0,IF(BetTable[Outcome]="Void",BetTable[Stake],)))))</f>
        <v>52.36</v>
      </c>
      <c r="AG286" s="164">
        <f>IF(BetTable[Outcome2]="Win",BetTable[WBA2-Commission],IF(BetTable[Outcome2]="Win Half Stake",(BetTable[S2]/2)+BetTable[WBA2-Commission]/2,IF(BetTable[Outcome2]="Lose Half Stake",BetTable[S2]/2,IF(BetTable[Outcome2]="Lose",0,IF(BetTable[Outcome2]="Void",BetTable[S2],)))))</f>
        <v>0</v>
      </c>
      <c r="AH286" s="164">
        <f>IF(BetTable[Outcome3]="Win",BetTable[WBA3-Commission],IF(BetTable[Outcome3]="Win Half Stake",(BetTable[S3]/2)+BetTable[WBA3-Commission]/2,IF(BetTable[Outcome3]="Lose Half Stake",BetTable[S3]/2,IF(BetTable[Outcome3]="Lose",0,IF(BetTable[Outcome3]="Void",BetTable[S3],)))))</f>
        <v>0</v>
      </c>
      <c r="AI286" s="168">
        <f>IF(BetTable[Outcome]="",AI285,BetTable[Result]+AI285)</f>
        <v>671.53625000000011</v>
      </c>
      <c r="AJ286" s="160"/>
    </row>
    <row r="287" spans="1:36" x14ac:dyDescent="0.2">
      <c r="A287" s="159" t="s">
        <v>936</v>
      </c>
      <c r="B287" s="160" t="s">
        <v>200</v>
      </c>
      <c r="C287" s="161" t="s">
        <v>185</v>
      </c>
      <c r="D287" s="161"/>
      <c r="E287" s="161"/>
      <c r="F287" s="162"/>
      <c r="G287" s="162"/>
      <c r="H287" s="162"/>
      <c r="I287" s="160" t="s">
        <v>994</v>
      </c>
      <c r="J287" s="163">
        <v>4.5</v>
      </c>
      <c r="K287" s="163"/>
      <c r="L287" s="163"/>
      <c r="M287" s="164">
        <v>6</v>
      </c>
      <c r="N287" s="164"/>
      <c r="O287" s="164"/>
      <c r="P287" s="159" t="s">
        <v>435</v>
      </c>
      <c r="Q287" s="159" t="s">
        <v>503</v>
      </c>
      <c r="R287" s="159" t="s">
        <v>995</v>
      </c>
      <c r="S287" s="165">
        <v>1.6976655170993601E-2</v>
      </c>
      <c r="T287" s="166" t="s">
        <v>372</v>
      </c>
      <c r="U287" s="166"/>
      <c r="V287" s="166"/>
      <c r="W287" s="167">
        <f>IF(BetTable[Sport]="","",BetTable[Stake]+BetTable[S2]+BetTable[S3])</f>
        <v>6</v>
      </c>
      <c r="X287" s="164">
        <f>IF(BetTable[Odds]="","",(BetTable[WBA1-Commission])-BetTable[TS])</f>
        <v>21</v>
      </c>
      <c r="Y287" s="168">
        <f>IF(BetTable[Outcome]="","",BetTable[WBA1]+BetTable[WBA2]+BetTable[WBA3]-BetTable[TS])</f>
        <v>21</v>
      </c>
      <c r="Z287" s="164">
        <f>(((BetTable[Odds]-1)*BetTable[Stake])*(1-(BetTable[Comm %]))+BetTable[Stake])</f>
        <v>27</v>
      </c>
      <c r="AA287" s="164">
        <f>(((BetTable[O2]-1)*BetTable[S2])*(1-(BetTable[C% 2]))+BetTable[S2])</f>
        <v>0</v>
      </c>
      <c r="AB287" s="164">
        <f>(((BetTable[O3]-1)*BetTable[S3])*(1-(BetTable[C% 3]))+BetTable[S3])</f>
        <v>0</v>
      </c>
      <c r="AC287" s="165">
        <f>IFERROR(IF(BetTable[Sport]="","",BetTable[R1]/BetTable[TS]),"")</f>
        <v>3.5</v>
      </c>
      <c r="AD287" s="165" t="str">
        <f>IF(BetTable[O2]="","",#REF!/BetTable[TS])</f>
        <v/>
      </c>
      <c r="AE287" s="165" t="str">
        <f>IFERROR(IF(BetTable[Sport]="","",#REF!/BetTable[TS]),"")</f>
        <v/>
      </c>
      <c r="AF287" s="164">
        <f>IF(BetTable[Outcome]="Win",BetTable[WBA1-Commission],IF(BetTable[Outcome]="Win Half Stake",(BetTable[Stake]/2)+BetTable[WBA1-Commission]/2,IF(BetTable[Outcome]="Lose Half Stake",BetTable[Stake]/2,IF(BetTable[Outcome]="Lose",0,IF(BetTable[Outcome]="Void",BetTable[Stake],)))))</f>
        <v>27</v>
      </c>
      <c r="AG287" s="164">
        <f>IF(BetTable[Outcome2]="Win",BetTable[WBA2-Commission],IF(BetTable[Outcome2]="Win Half Stake",(BetTable[S2]/2)+BetTable[WBA2-Commission]/2,IF(BetTable[Outcome2]="Lose Half Stake",BetTable[S2]/2,IF(BetTable[Outcome2]="Lose",0,IF(BetTable[Outcome2]="Void",BetTable[S2],)))))</f>
        <v>0</v>
      </c>
      <c r="AH287" s="164">
        <f>IF(BetTable[Outcome3]="Win",BetTable[WBA3-Commission],IF(BetTable[Outcome3]="Win Half Stake",(BetTable[S3]/2)+BetTable[WBA3-Commission]/2,IF(BetTable[Outcome3]="Lose Half Stake",BetTable[S3]/2,IF(BetTable[Outcome3]="Lose",0,IF(BetTable[Outcome3]="Void",BetTable[S3],)))))</f>
        <v>0</v>
      </c>
      <c r="AI287" s="168">
        <f>IF(BetTable[Outcome]="",AI286,BetTable[Result]+AI286)</f>
        <v>692.53625000000011</v>
      </c>
      <c r="AJ287" s="160"/>
    </row>
    <row r="288" spans="1:36" x14ac:dyDescent="0.2">
      <c r="A288" s="159" t="s">
        <v>936</v>
      </c>
      <c r="B288" s="160" t="s">
        <v>200</v>
      </c>
      <c r="C288" s="161" t="s">
        <v>234</v>
      </c>
      <c r="D288" s="161"/>
      <c r="E288" s="161"/>
      <c r="F288" s="162"/>
      <c r="G288" s="162"/>
      <c r="H288" s="162"/>
      <c r="I288" s="160" t="s">
        <v>996</v>
      </c>
      <c r="J288" s="163">
        <v>2.19</v>
      </c>
      <c r="K288" s="163"/>
      <c r="L288" s="163"/>
      <c r="M288" s="164">
        <v>11</v>
      </c>
      <c r="N288" s="164"/>
      <c r="O288" s="164"/>
      <c r="P288" s="159" t="s">
        <v>498</v>
      </c>
      <c r="Q288" s="159" t="s">
        <v>632</v>
      </c>
      <c r="R288" s="159" t="s">
        <v>997</v>
      </c>
      <c r="S288" s="165">
        <v>1.05901116427432E-2</v>
      </c>
      <c r="T288" s="166" t="s">
        <v>372</v>
      </c>
      <c r="U288" s="166"/>
      <c r="V288" s="166"/>
      <c r="W288" s="167">
        <f>IF(BetTable[Sport]="","",BetTable[Stake]+BetTable[S2]+BetTable[S3])</f>
        <v>11</v>
      </c>
      <c r="X288" s="164">
        <f>IF(BetTable[Odds]="","",(BetTable[WBA1-Commission])-BetTable[TS])</f>
        <v>13.09</v>
      </c>
      <c r="Y288" s="168">
        <f>IF(BetTable[Outcome]="","",BetTable[WBA1]+BetTable[WBA2]+BetTable[WBA3]-BetTable[TS])</f>
        <v>13.09</v>
      </c>
      <c r="Z288" s="164">
        <f>(((BetTable[Odds]-1)*BetTable[Stake])*(1-(BetTable[Comm %]))+BetTable[Stake])</f>
        <v>24.09</v>
      </c>
      <c r="AA288" s="164">
        <f>(((BetTable[O2]-1)*BetTable[S2])*(1-(BetTable[C% 2]))+BetTable[S2])</f>
        <v>0</v>
      </c>
      <c r="AB288" s="164">
        <f>(((BetTable[O3]-1)*BetTable[S3])*(1-(BetTable[C% 3]))+BetTable[S3])</f>
        <v>0</v>
      </c>
      <c r="AC288" s="165">
        <f>IFERROR(IF(BetTable[Sport]="","",BetTable[R1]/BetTable[TS]),"")</f>
        <v>1.19</v>
      </c>
      <c r="AD288" s="165" t="str">
        <f>IF(BetTable[O2]="","",#REF!/BetTable[TS])</f>
        <v/>
      </c>
      <c r="AE288" s="165" t="str">
        <f>IFERROR(IF(BetTable[Sport]="","",#REF!/BetTable[TS]),"")</f>
        <v/>
      </c>
      <c r="AF288" s="164">
        <f>IF(BetTable[Outcome]="Win",BetTable[WBA1-Commission],IF(BetTable[Outcome]="Win Half Stake",(BetTable[Stake]/2)+BetTable[WBA1-Commission]/2,IF(BetTable[Outcome]="Lose Half Stake",BetTable[Stake]/2,IF(BetTable[Outcome]="Lose",0,IF(BetTable[Outcome]="Void",BetTable[Stake],)))))</f>
        <v>24.09</v>
      </c>
      <c r="AG288" s="164">
        <f>IF(BetTable[Outcome2]="Win",BetTable[WBA2-Commission],IF(BetTable[Outcome2]="Win Half Stake",(BetTable[S2]/2)+BetTable[WBA2-Commission]/2,IF(BetTable[Outcome2]="Lose Half Stake",BetTable[S2]/2,IF(BetTable[Outcome2]="Lose",0,IF(BetTable[Outcome2]="Void",BetTable[S2],)))))</f>
        <v>0</v>
      </c>
      <c r="AH288" s="164">
        <f>IF(BetTable[Outcome3]="Win",BetTable[WBA3-Commission],IF(BetTable[Outcome3]="Win Half Stake",(BetTable[S3]/2)+BetTable[WBA3-Commission]/2,IF(BetTable[Outcome3]="Lose Half Stake",BetTable[S3]/2,IF(BetTable[Outcome3]="Lose",0,IF(BetTable[Outcome3]="Void",BetTable[S3],)))))</f>
        <v>0</v>
      </c>
      <c r="AI288" s="168">
        <f>IF(BetTable[Outcome]="",AI287,BetTable[Result]+AI287)</f>
        <v>705.62625000000014</v>
      </c>
      <c r="AJ288" s="160"/>
    </row>
    <row r="289" spans="1:36" x14ac:dyDescent="0.2">
      <c r="A289" s="159" t="s">
        <v>936</v>
      </c>
      <c r="B289" s="160" t="s">
        <v>200</v>
      </c>
      <c r="C289" s="161" t="s">
        <v>234</v>
      </c>
      <c r="D289" s="161"/>
      <c r="E289" s="161"/>
      <c r="F289" s="162"/>
      <c r="G289" s="162"/>
      <c r="H289" s="162"/>
      <c r="I289" s="160" t="s">
        <v>978</v>
      </c>
      <c r="J289" s="163">
        <v>2.04</v>
      </c>
      <c r="K289" s="163"/>
      <c r="L289" s="163"/>
      <c r="M289" s="164">
        <v>44</v>
      </c>
      <c r="N289" s="164"/>
      <c r="O289" s="164"/>
      <c r="P289" s="159" t="s">
        <v>448</v>
      </c>
      <c r="Q289" s="159" t="s">
        <v>818</v>
      </c>
      <c r="R289" s="159" t="s">
        <v>998</v>
      </c>
      <c r="S289" s="165">
        <v>3.8333775692468798E-2</v>
      </c>
      <c r="T289" s="166" t="s">
        <v>382</v>
      </c>
      <c r="U289" s="166"/>
      <c r="V289" s="166"/>
      <c r="W289" s="167">
        <f>IF(BetTable[Sport]="","",BetTable[Stake]+BetTable[S2]+BetTable[S3])</f>
        <v>44</v>
      </c>
      <c r="X289" s="164">
        <f>IF(BetTable[Odds]="","",(BetTable[WBA1-Commission])-BetTable[TS])</f>
        <v>45.760000000000005</v>
      </c>
      <c r="Y289" s="168">
        <f>IF(BetTable[Outcome]="","",BetTable[WBA1]+BetTable[WBA2]+BetTable[WBA3]-BetTable[TS])</f>
        <v>-44</v>
      </c>
      <c r="Z289" s="164">
        <f>(((BetTable[Odds]-1)*BetTable[Stake])*(1-(BetTable[Comm %]))+BetTable[Stake])</f>
        <v>89.76</v>
      </c>
      <c r="AA289" s="164">
        <f>(((BetTable[O2]-1)*BetTable[S2])*(1-(BetTable[C% 2]))+BetTable[S2])</f>
        <v>0</v>
      </c>
      <c r="AB289" s="164">
        <f>(((BetTable[O3]-1)*BetTable[S3])*(1-(BetTable[C% 3]))+BetTable[S3])</f>
        <v>0</v>
      </c>
      <c r="AC289" s="165">
        <f>IFERROR(IF(BetTable[Sport]="","",BetTable[R1]/BetTable[TS]),"")</f>
        <v>1.04</v>
      </c>
      <c r="AD289" s="165" t="str">
        <f>IF(BetTable[O2]="","",#REF!/BetTable[TS])</f>
        <v/>
      </c>
      <c r="AE289" s="165" t="str">
        <f>IFERROR(IF(BetTable[Sport]="","",#REF!/BetTable[TS]),"")</f>
        <v/>
      </c>
      <c r="AF289" s="164">
        <f>IF(BetTable[Outcome]="Win",BetTable[WBA1-Commission],IF(BetTable[Outcome]="Win Half Stake",(BetTable[Stake]/2)+BetTable[WBA1-Commission]/2,IF(BetTable[Outcome]="Lose Half Stake",BetTable[Stake]/2,IF(BetTable[Outcome]="Lose",0,IF(BetTable[Outcome]="Void",BetTable[Stake],)))))</f>
        <v>0</v>
      </c>
      <c r="AG289" s="164">
        <f>IF(BetTable[Outcome2]="Win",BetTable[WBA2-Commission],IF(BetTable[Outcome2]="Win Half Stake",(BetTable[S2]/2)+BetTable[WBA2-Commission]/2,IF(BetTable[Outcome2]="Lose Half Stake",BetTable[S2]/2,IF(BetTable[Outcome2]="Lose",0,IF(BetTable[Outcome2]="Void",BetTable[S2],)))))</f>
        <v>0</v>
      </c>
      <c r="AH289" s="164">
        <f>IF(BetTable[Outcome3]="Win",BetTable[WBA3-Commission],IF(BetTable[Outcome3]="Win Half Stake",(BetTable[S3]/2)+BetTable[WBA3-Commission]/2,IF(BetTable[Outcome3]="Lose Half Stake",BetTable[S3]/2,IF(BetTable[Outcome3]="Lose",0,IF(BetTable[Outcome3]="Void",BetTable[S3],)))))</f>
        <v>0</v>
      </c>
      <c r="AI289" s="168">
        <f>IF(BetTable[Outcome]="",AI288,BetTable[Result]+AI288)</f>
        <v>661.62625000000014</v>
      </c>
      <c r="AJ289" s="160"/>
    </row>
    <row r="290" spans="1:36" x14ac:dyDescent="0.2">
      <c r="A290" s="159" t="s">
        <v>936</v>
      </c>
      <c r="B290" s="160" t="s">
        <v>200</v>
      </c>
      <c r="C290" s="161" t="s">
        <v>91</v>
      </c>
      <c r="D290" s="161"/>
      <c r="E290" s="161"/>
      <c r="F290" s="162"/>
      <c r="G290" s="162"/>
      <c r="H290" s="162"/>
      <c r="I290" s="160" t="s">
        <v>954</v>
      </c>
      <c r="J290" s="163">
        <v>1.71</v>
      </c>
      <c r="K290" s="163"/>
      <c r="L290" s="163"/>
      <c r="M290" s="164">
        <v>26</v>
      </c>
      <c r="N290" s="164"/>
      <c r="O290" s="164"/>
      <c r="P290" s="159" t="s">
        <v>343</v>
      </c>
      <c r="Q290" s="159" t="s">
        <v>436</v>
      </c>
      <c r="R290" s="159" t="s">
        <v>999</v>
      </c>
      <c r="S290" s="165">
        <v>1.5462592486726E-2</v>
      </c>
      <c r="T290" s="166" t="s">
        <v>510</v>
      </c>
      <c r="U290" s="166"/>
      <c r="V290" s="166"/>
      <c r="W290" s="167">
        <f>IF(BetTable[Sport]="","",BetTable[Stake]+BetTable[S2]+BetTable[S3])</f>
        <v>26</v>
      </c>
      <c r="X290" s="164">
        <f>IF(BetTable[Odds]="","",(BetTable[WBA1-Commission])-BetTable[TS])</f>
        <v>18.46</v>
      </c>
      <c r="Y290" s="168">
        <f>IF(BetTable[Outcome]="","",BetTable[WBA1]+BetTable[WBA2]+BetTable[WBA3]-BetTable[TS])</f>
        <v>9.230000000000004</v>
      </c>
      <c r="Z290" s="164">
        <f>(((BetTable[Odds]-1)*BetTable[Stake])*(1-(BetTable[Comm %]))+BetTable[Stake])</f>
        <v>44.46</v>
      </c>
      <c r="AA290" s="164">
        <f>(((BetTable[O2]-1)*BetTable[S2])*(1-(BetTable[C% 2]))+BetTable[S2])</f>
        <v>0</v>
      </c>
      <c r="AB290" s="164">
        <f>(((BetTable[O3]-1)*BetTable[S3])*(1-(BetTable[C% 3]))+BetTable[S3])</f>
        <v>0</v>
      </c>
      <c r="AC290" s="165">
        <f>IFERROR(IF(BetTable[Sport]="","",BetTable[R1]/BetTable[TS]),"")</f>
        <v>0.71000000000000008</v>
      </c>
      <c r="AD290" s="165" t="str">
        <f>IF(BetTable[O2]="","",#REF!/BetTable[TS])</f>
        <v/>
      </c>
      <c r="AE290" s="165" t="str">
        <f>IFERROR(IF(BetTable[Sport]="","",#REF!/BetTable[TS]),"")</f>
        <v/>
      </c>
      <c r="AF290" s="164">
        <f>IF(BetTable[Outcome]="Win",BetTable[WBA1-Commission],IF(BetTable[Outcome]="Win Half Stake",(BetTable[Stake]/2)+BetTable[WBA1-Commission]/2,IF(BetTable[Outcome]="Lose Half Stake",BetTable[Stake]/2,IF(BetTable[Outcome]="Lose",0,IF(BetTable[Outcome]="Void",BetTable[Stake],)))))</f>
        <v>35.230000000000004</v>
      </c>
      <c r="AG290" s="164">
        <f>IF(BetTable[Outcome2]="Win",BetTable[WBA2-Commission],IF(BetTable[Outcome2]="Win Half Stake",(BetTable[S2]/2)+BetTable[WBA2-Commission]/2,IF(BetTable[Outcome2]="Lose Half Stake",BetTable[S2]/2,IF(BetTable[Outcome2]="Lose",0,IF(BetTable[Outcome2]="Void",BetTable[S2],)))))</f>
        <v>0</v>
      </c>
      <c r="AH290" s="164">
        <f>IF(BetTable[Outcome3]="Win",BetTable[WBA3-Commission],IF(BetTable[Outcome3]="Win Half Stake",(BetTable[S3]/2)+BetTable[WBA3-Commission]/2,IF(BetTable[Outcome3]="Lose Half Stake",BetTable[S3]/2,IF(BetTable[Outcome3]="Lose",0,IF(BetTable[Outcome3]="Void",BetTable[S3],)))))</f>
        <v>0</v>
      </c>
      <c r="AI290" s="168">
        <f>IF(BetTable[Outcome]="",AI289,BetTable[Result]+AI289)</f>
        <v>670.85625000000016</v>
      </c>
      <c r="AJ290" s="160"/>
    </row>
    <row r="291" spans="1:36" x14ac:dyDescent="0.2">
      <c r="A291" s="159" t="s">
        <v>936</v>
      </c>
      <c r="B291" s="160" t="s">
        <v>9</v>
      </c>
      <c r="C291" s="161" t="s">
        <v>91</v>
      </c>
      <c r="D291" s="161"/>
      <c r="E291" s="161"/>
      <c r="F291" s="162"/>
      <c r="G291" s="162"/>
      <c r="H291" s="162"/>
      <c r="I291" s="160" t="s">
        <v>1000</v>
      </c>
      <c r="J291" s="163">
        <v>1.8</v>
      </c>
      <c r="K291" s="163"/>
      <c r="L291" s="163"/>
      <c r="M291" s="164">
        <v>23</v>
      </c>
      <c r="N291" s="164"/>
      <c r="O291" s="164"/>
      <c r="P291" s="159" t="s">
        <v>791</v>
      </c>
      <c r="Q291" s="159" t="s">
        <v>818</v>
      </c>
      <c r="R291" s="159" t="s">
        <v>1001</v>
      </c>
      <c r="S291" s="165">
        <v>1.50578545341809E-2</v>
      </c>
      <c r="T291" s="166" t="s">
        <v>382</v>
      </c>
      <c r="U291" s="166"/>
      <c r="V291" s="166"/>
      <c r="W291" s="167">
        <f>IF(BetTable[Sport]="","",BetTable[Stake]+BetTable[S2]+BetTable[S3])</f>
        <v>23</v>
      </c>
      <c r="X291" s="164">
        <f>IF(BetTable[Odds]="","",(BetTable[WBA1-Commission])-BetTable[TS])</f>
        <v>18.400000000000006</v>
      </c>
      <c r="Y291" s="168">
        <f>IF(BetTable[Outcome]="","",BetTable[WBA1]+BetTable[WBA2]+BetTable[WBA3]-BetTable[TS])</f>
        <v>-23</v>
      </c>
      <c r="Z291" s="164">
        <f>(((BetTable[Odds]-1)*BetTable[Stake])*(1-(BetTable[Comm %]))+BetTable[Stake])</f>
        <v>41.400000000000006</v>
      </c>
      <c r="AA291" s="164">
        <f>(((BetTable[O2]-1)*BetTable[S2])*(1-(BetTable[C% 2]))+BetTable[S2])</f>
        <v>0</v>
      </c>
      <c r="AB291" s="164">
        <f>(((BetTable[O3]-1)*BetTable[S3])*(1-(BetTable[C% 3]))+BetTable[S3])</f>
        <v>0</v>
      </c>
      <c r="AC291" s="165">
        <f>IFERROR(IF(BetTable[Sport]="","",BetTable[R1]/BetTable[TS]),"")</f>
        <v>0.80000000000000027</v>
      </c>
      <c r="AD291" s="165" t="str">
        <f>IF(BetTable[O2]="","",#REF!/BetTable[TS])</f>
        <v/>
      </c>
      <c r="AE291" s="165" t="str">
        <f>IFERROR(IF(BetTable[Sport]="","",#REF!/BetTable[TS]),"")</f>
        <v/>
      </c>
      <c r="AF291" s="164">
        <f>IF(BetTable[Outcome]="Win",BetTable[WBA1-Commission],IF(BetTable[Outcome]="Win Half Stake",(BetTable[Stake]/2)+BetTable[WBA1-Commission]/2,IF(BetTable[Outcome]="Lose Half Stake",BetTable[Stake]/2,IF(BetTable[Outcome]="Lose",0,IF(BetTable[Outcome]="Void",BetTable[Stake],)))))</f>
        <v>0</v>
      </c>
      <c r="AG291" s="164">
        <f>IF(BetTable[Outcome2]="Win",BetTable[WBA2-Commission],IF(BetTable[Outcome2]="Win Half Stake",(BetTable[S2]/2)+BetTable[WBA2-Commission]/2,IF(BetTable[Outcome2]="Lose Half Stake",BetTable[S2]/2,IF(BetTable[Outcome2]="Lose",0,IF(BetTable[Outcome2]="Void",BetTable[S2],)))))</f>
        <v>0</v>
      </c>
      <c r="AH291" s="164">
        <f>IF(BetTable[Outcome3]="Win",BetTable[WBA3-Commission],IF(BetTable[Outcome3]="Win Half Stake",(BetTable[S3]/2)+BetTable[WBA3-Commission]/2,IF(BetTable[Outcome3]="Lose Half Stake",BetTable[S3]/2,IF(BetTable[Outcome3]="Lose",0,IF(BetTable[Outcome3]="Void",BetTable[S3],)))))</f>
        <v>0</v>
      </c>
      <c r="AI291" s="168">
        <f>IF(BetTable[Outcome]="",AI290,BetTable[Result]+AI290)</f>
        <v>647.85625000000016</v>
      </c>
      <c r="AJ291" s="160"/>
    </row>
    <row r="292" spans="1:36" x14ac:dyDescent="0.2">
      <c r="A292" s="159" t="s">
        <v>936</v>
      </c>
      <c r="B292" s="160" t="s">
        <v>200</v>
      </c>
      <c r="C292" s="161" t="s">
        <v>91</v>
      </c>
      <c r="D292" s="161"/>
      <c r="E292" s="161"/>
      <c r="F292" s="162"/>
      <c r="G292" s="162"/>
      <c r="H292" s="162"/>
      <c r="I292" s="160" t="s">
        <v>1002</v>
      </c>
      <c r="J292" s="163">
        <v>1.71</v>
      </c>
      <c r="K292" s="163"/>
      <c r="L292" s="163"/>
      <c r="M292" s="164">
        <v>70</v>
      </c>
      <c r="N292" s="164"/>
      <c r="O292" s="164"/>
      <c r="P292" s="159" t="s">
        <v>357</v>
      </c>
      <c r="Q292" s="159" t="s">
        <v>839</v>
      </c>
      <c r="R292" s="159" t="s">
        <v>1003</v>
      </c>
      <c r="S292" s="165">
        <v>4.1465711978289702E-2</v>
      </c>
      <c r="T292" s="166" t="s">
        <v>382</v>
      </c>
      <c r="U292" s="166"/>
      <c r="V292" s="166"/>
      <c r="W292" s="167">
        <f>IF(BetTable[Sport]="","",BetTable[Stake]+BetTable[S2]+BetTable[S3])</f>
        <v>70</v>
      </c>
      <c r="X292" s="164">
        <f>IF(BetTable[Odds]="","",(BetTable[WBA1-Commission])-BetTable[TS])</f>
        <v>49.699999999999989</v>
      </c>
      <c r="Y292" s="168">
        <f>IF(BetTable[Outcome]="","",BetTable[WBA1]+BetTable[WBA2]+BetTable[WBA3]-BetTable[TS])</f>
        <v>-70</v>
      </c>
      <c r="Z292" s="164">
        <f>(((BetTable[Odds]-1)*BetTable[Stake])*(1-(BetTable[Comm %]))+BetTable[Stake])</f>
        <v>119.69999999999999</v>
      </c>
      <c r="AA292" s="164">
        <f>(((BetTable[O2]-1)*BetTable[S2])*(1-(BetTable[C% 2]))+BetTable[S2])</f>
        <v>0</v>
      </c>
      <c r="AB292" s="164">
        <f>(((BetTable[O3]-1)*BetTable[S3])*(1-(BetTable[C% 3]))+BetTable[S3])</f>
        <v>0</v>
      </c>
      <c r="AC292" s="165">
        <f>IFERROR(IF(BetTable[Sport]="","",BetTable[R1]/BetTable[TS]),"")</f>
        <v>0.70999999999999985</v>
      </c>
      <c r="AD292" s="165" t="str">
        <f>IF(BetTable[O2]="","",#REF!/BetTable[TS])</f>
        <v/>
      </c>
      <c r="AE292" s="165" t="str">
        <f>IFERROR(IF(BetTable[Sport]="","",#REF!/BetTable[TS]),"")</f>
        <v/>
      </c>
      <c r="AF292" s="164">
        <f>IF(BetTable[Outcome]="Win",BetTable[WBA1-Commission],IF(BetTable[Outcome]="Win Half Stake",(BetTable[Stake]/2)+BetTable[WBA1-Commission]/2,IF(BetTable[Outcome]="Lose Half Stake",BetTable[Stake]/2,IF(BetTable[Outcome]="Lose",0,IF(BetTable[Outcome]="Void",BetTable[Stake],)))))</f>
        <v>0</v>
      </c>
      <c r="AG292" s="164">
        <f>IF(BetTable[Outcome2]="Win",BetTable[WBA2-Commission],IF(BetTable[Outcome2]="Win Half Stake",(BetTable[S2]/2)+BetTable[WBA2-Commission]/2,IF(BetTable[Outcome2]="Lose Half Stake",BetTable[S2]/2,IF(BetTable[Outcome2]="Lose",0,IF(BetTable[Outcome2]="Void",BetTable[S2],)))))</f>
        <v>0</v>
      </c>
      <c r="AH292" s="164">
        <f>IF(BetTable[Outcome3]="Win",BetTable[WBA3-Commission],IF(BetTable[Outcome3]="Win Half Stake",(BetTable[S3]/2)+BetTable[WBA3-Commission]/2,IF(BetTable[Outcome3]="Lose Half Stake",BetTable[S3]/2,IF(BetTable[Outcome3]="Lose",0,IF(BetTable[Outcome3]="Void",BetTable[S3],)))))</f>
        <v>0</v>
      </c>
      <c r="AI292" s="168">
        <f>IF(BetTable[Outcome]="",AI291,BetTable[Result]+AI291)</f>
        <v>577.85625000000016</v>
      </c>
      <c r="AJ292" s="160"/>
    </row>
    <row r="293" spans="1:36" x14ac:dyDescent="0.2">
      <c r="A293" s="159" t="s">
        <v>936</v>
      </c>
      <c r="B293" s="160" t="s">
        <v>201</v>
      </c>
      <c r="C293" s="161" t="s">
        <v>216</v>
      </c>
      <c r="D293" s="161"/>
      <c r="E293" s="161"/>
      <c r="F293" s="162"/>
      <c r="G293" s="162"/>
      <c r="H293" s="162"/>
      <c r="I293" s="160" t="s">
        <v>944</v>
      </c>
      <c r="J293" s="163">
        <v>2.14</v>
      </c>
      <c r="K293" s="163"/>
      <c r="L293" s="163"/>
      <c r="M293" s="164">
        <v>29</v>
      </c>
      <c r="N293" s="164"/>
      <c r="O293" s="164"/>
      <c r="P293" s="159" t="s">
        <v>1004</v>
      </c>
      <c r="Q293" s="159" t="s">
        <v>945</v>
      </c>
      <c r="R293" s="159" t="s">
        <v>1005</v>
      </c>
      <c r="S293" s="165">
        <v>2.7092690450197798E-2</v>
      </c>
      <c r="T293" s="166" t="s">
        <v>372</v>
      </c>
      <c r="U293" s="166"/>
      <c r="V293" s="166"/>
      <c r="W293" s="167">
        <f>IF(BetTable[Sport]="","",BetTable[Stake]+BetTable[S2]+BetTable[S3])</f>
        <v>29</v>
      </c>
      <c r="X293" s="164">
        <f>IF(BetTable[Odds]="","",(BetTable[WBA1-Commission])-BetTable[TS])</f>
        <v>33.06</v>
      </c>
      <c r="Y293" s="168">
        <f>IF(BetTable[Outcome]="","",BetTable[WBA1]+BetTable[WBA2]+BetTable[WBA3]-BetTable[TS])</f>
        <v>33.06</v>
      </c>
      <c r="Z293" s="164">
        <f>(((BetTable[Odds]-1)*BetTable[Stake])*(1-(BetTable[Comm %]))+BetTable[Stake])</f>
        <v>62.06</v>
      </c>
      <c r="AA293" s="164">
        <f>(((BetTable[O2]-1)*BetTable[S2])*(1-(BetTable[C% 2]))+BetTable[S2])</f>
        <v>0</v>
      </c>
      <c r="AB293" s="164">
        <f>(((BetTable[O3]-1)*BetTable[S3])*(1-(BetTable[C% 3]))+BetTable[S3])</f>
        <v>0</v>
      </c>
      <c r="AC293" s="165">
        <f>IFERROR(IF(BetTable[Sport]="","",BetTable[R1]/BetTable[TS]),"")</f>
        <v>1.1400000000000001</v>
      </c>
      <c r="AD293" s="165" t="str">
        <f>IF(BetTable[O2]="","",#REF!/BetTable[TS])</f>
        <v/>
      </c>
      <c r="AE293" s="165" t="str">
        <f>IFERROR(IF(BetTable[Sport]="","",#REF!/BetTable[TS]),"")</f>
        <v/>
      </c>
      <c r="AF293" s="164">
        <f>IF(BetTable[Outcome]="Win",BetTable[WBA1-Commission],IF(BetTable[Outcome]="Win Half Stake",(BetTable[Stake]/2)+BetTable[WBA1-Commission]/2,IF(BetTable[Outcome]="Lose Half Stake",BetTable[Stake]/2,IF(BetTable[Outcome]="Lose",0,IF(BetTable[Outcome]="Void",BetTable[Stake],)))))</f>
        <v>62.06</v>
      </c>
      <c r="AG293" s="164">
        <f>IF(BetTable[Outcome2]="Win",BetTable[WBA2-Commission],IF(BetTable[Outcome2]="Win Half Stake",(BetTable[S2]/2)+BetTable[WBA2-Commission]/2,IF(BetTable[Outcome2]="Lose Half Stake",BetTable[S2]/2,IF(BetTable[Outcome2]="Lose",0,IF(BetTable[Outcome2]="Void",BetTable[S2],)))))</f>
        <v>0</v>
      </c>
      <c r="AH293" s="164">
        <f>IF(BetTable[Outcome3]="Win",BetTable[WBA3-Commission],IF(BetTable[Outcome3]="Win Half Stake",(BetTable[S3]/2)+BetTable[WBA3-Commission]/2,IF(BetTable[Outcome3]="Lose Half Stake",BetTable[S3]/2,IF(BetTable[Outcome3]="Lose",0,IF(BetTable[Outcome3]="Void",BetTable[S3],)))))</f>
        <v>0</v>
      </c>
      <c r="AI293" s="168">
        <f>IF(BetTable[Outcome]="",AI292,BetTable[Result]+AI292)</f>
        <v>610.91625000000022</v>
      </c>
      <c r="AJ293" s="160"/>
    </row>
    <row r="294" spans="1:36" x14ac:dyDescent="0.2">
      <c r="A294" s="159" t="s">
        <v>936</v>
      </c>
      <c r="B294" s="160" t="s">
        <v>200</v>
      </c>
      <c r="C294" s="161" t="s">
        <v>216</v>
      </c>
      <c r="D294" s="161"/>
      <c r="E294" s="161"/>
      <c r="F294" s="162"/>
      <c r="G294" s="162"/>
      <c r="H294" s="162"/>
      <c r="I294" s="160" t="s">
        <v>1006</v>
      </c>
      <c r="J294" s="163">
        <v>3.18</v>
      </c>
      <c r="K294" s="163"/>
      <c r="L294" s="163"/>
      <c r="M294" s="164">
        <v>11</v>
      </c>
      <c r="N294" s="164"/>
      <c r="O294" s="164"/>
      <c r="P294" s="159" t="s">
        <v>428</v>
      </c>
      <c r="Q294" s="159" t="s">
        <v>703</v>
      </c>
      <c r="R294" s="159" t="s">
        <v>1007</v>
      </c>
      <c r="S294" s="165">
        <v>2.0405822247927499E-2</v>
      </c>
      <c r="T294" s="166" t="s">
        <v>372</v>
      </c>
      <c r="U294" s="166"/>
      <c r="V294" s="166"/>
      <c r="W294" s="167">
        <f>IF(BetTable[Sport]="","",BetTable[Stake]+BetTable[S2]+BetTable[S3])</f>
        <v>11</v>
      </c>
      <c r="X294" s="164">
        <f>IF(BetTable[Odds]="","",(BetTable[WBA1-Commission])-BetTable[TS])</f>
        <v>23.980000000000004</v>
      </c>
      <c r="Y294" s="168">
        <f>IF(BetTable[Outcome]="","",BetTable[WBA1]+BetTable[WBA2]+BetTable[WBA3]-BetTable[TS])</f>
        <v>23.980000000000004</v>
      </c>
      <c r="Z294" s="164">
        <f>(((BetTable[Odds]-1)*BetTable[Stake])*(1-(BetTable[Comm %]))+BetTable[Stake])</f>
        <v>34.980000000000004</v>
      </c>
      <c r="AA294" s="164">
        <f>(((BetTable[O2]-1)*BetTable[S2])*(1-(BetTable[C% 2]))+BetTable[S2])</f>
        <v>0</v>
      </c>
      <c r="AB294" s="164">
        <f>(((BetTable[O3]-1)*BetTable[S3])*(1-(BetTable[C% 3]))+BetTable[S3])</f>
        <v>0</v>
      </c>
      <c r="AC294" s="165">
        <f>IFERROR(IF(BetTable[Sport]="","",BetTable[R1]/BetTable[TS]),"")</f>
        <v>2.1800000000000002</v>
      </c>
      <c r="AD294" s="165" t="str">
        <f>IF(BetTable[O2]="","",#REF!/BetTable[TS])</f>
        <v/>
      </c>
      <c r="AE294" s="165" t="str">
        <f>IFERROR(IF(BetTable[Sport]="","",#REF!/BetTable[TS]),"")</f>
        <v/>
      </c>
      <c r="AF294" s="164">
        <f>IF(BetTable[Outcome]="Win",BetTable[WBA1-Commission],IF(BetTable[Outcome]="Win Half Stake",(BetTable[Stake]/2)+BetTable[WBA1-Commission]/2,IF(BetTable[Outcome]="Lose Half Stake",BetTable[Stake]/2,IF(BetTable[Outcome]="Lose",0,IF(BetTable[Outcome]="Void",BetTable[Stake],)))))</f>
        <v>34.980000000000004</v>
      </c>
      <c r="AG294" s="164">
        <f>IF(BetTable[Outcome2]="Win",BetTable[WBA2-Commission],IF(BetTable[Outcome2]="Win Half Stake",(BetTable[S2]/2)+BetTable[WBA2-Commission]/2,IF(BetTable[Outcome2]="Lose Half Stake",BetTable[S2]/2,IF(BetTable[Outcome2]="Lose",0,IF(BetTable[Outcome2]="Void",BetTable[S2],)))))</f>
        <v>0</v>
      </c>
      <c r="AH294" s="164">
        <f>IF(BetTable[Outcome3]="Win",BetTable[WBA3-Commission],IF(BetTable[Outcome3]="Win Half Stake",(BetTable[S3]/2)+BetTable[WBA3-Commission]/2,IF(BetTable[Outcome3]="Lose Half Stake",BetTable[S3]/2,IF(BetTable[Outcome3]="Lose",0,IF(BetTable[Outcome3]="Void",BetTable[S3],)))))</f>
        <v>0</v>
      </c>
      <c r="AI294" s="168">
        <f>IF(BetTable[Outcome]="",AI293,BetTable[Result]+AI293)</f>
        <v>634.89625000000024</v>
      </c>
      <c r="AJ294" s="160"/>
    </row>
    <row r="295" spans="1:36" x14ac:dyDescent="0.2">
      <c r="A295" s="181" t="s">
        <v>936</v>
      </c>
      <c r="B295" s="182" t="s">
        <v>200</v>
      </c>
      <c r="C295" s="183" t="s">
        <v>91</v>
      </c>
      <c r="D295" s="183"/>
      <c r="E295" s="183"/>
      <c r="F295" s="184"/>
      <c r="G295" s="184"/>
      <c r="H295" s="184"/>
      <c r="I295" s="182" t="s">
        <v>1008</v>
      </c>
      <c r="J295" s="185">
        <v>1.98</v>
      </c>
      <c r="K295" s="185"/>
      <c r="L295" s="185"/>
      <c r="M295" s="186">
        <v>64</v>
      </c>
      <c r="N295" s="186"/>
      <c r="O295" s="186"/>
      <c r="P295" s="181" t="s">
        <v>406</v>
      </c>
      <c r="Q295" s="181" t="s">
        <v>458</v>
      </c>
      <c r="R295" s="181" t="s">
        <v>1009</v>
      </c>
      <c r="S295" s="187">
        <v>5.2103021607221599E-2</v>
      </c>
      <c r="T295" s="188" t="s">
        <v>382</v>
      </c>
      <c r="U295" s="188"/>
      <c r="V295" s="188"/>
      <c r="W295" s="189">
        <f>IF(BetTable[Sport]="","",BetTable[Stake]+BetTable[S2]+BetTable[S3])</f>
        <v>64</v>
      </c>
      <c r="X295" s="186">
        <f>IF(BetTable[Odds]="","",(BetTable[WBA1-Commission])-BetTable[TS])</f>
        <v>62.72</v>
      </c>
      <c r="Y295" s="190">
        <f>IF(BetTable[Outcome]="","",BetTable[WBA1]+BetTable[WBA2]+BetTable[WBA3]-BetTable[TS])</f>
        <v>-64</v>
      </c>
      <c r="Z295" s="186">
        <f>(((BetTable[Odds]-1)*BetTable[Stake])*(1-(BetTable[Comm %]))+BetTable[Stake])</f>
        <v>126.72</v>
      </c>
      <c r="AA295" s="186">
        <f>(((BetTable[O2]-1)*BetTable[S2])*(1-(BetTable[C% 2]))+BetTable[S2])</f>
        <v>0</v>
      </c>
      <c r="AB295" s="186">
        <f>(((BetTable[O3]-1)*BetTable[S3])*(1-(BetTable[C% 3]))+BetTable[S3])</f>
        <v>0</v>
      </c>
      <c r="AC295" s="187">
        <f>IFERROR(IF(BetTable[Sport]="","",BetTable[R1]/BetTable[TS]),"")</f>
        <v>0.98</v>
      </c>
      <c r="AD295" s="187" t="str">
        <f>IF(BetTable[O2]="","",#REF!/BetTable[TS])</f>
        <v/>
      </c>
      <c r="AE295" s="187" t="str">
        <f>IFERROR(IF(BetTable[Sport]="","",#REF!/BetTable[TS]),"")</f>
        <v/>
      </c>
      <c r="AF295" s="186">
        <f>IF(BetTable[Outcome]="Win",BetTable[WBA1-Commission],IF(BetTable[Outcome]="Win Half Stake",(BetTable[Stake]/2)+BetTable[WBA1-Commission]/2,IF(BetTable[Outcome]="Lose Half Stake",BetTable[Stake]/2,IF(BetTable[Outcome]="Lose",0,IF(BetTable[Outcome]="Void",BetTable[Stake],)))))</f>
        <v>0</v>
      </c>
      <c r="AG295" s="186">
        <f>IF(BetTable[Outcome2]="Win",BetTable[WBA2-Commission],IF(BetTable[Outcome2]="Win Half Stake",(BetTable[S2]/2)+BetTable[WBA2-Commission]/2,IF(BetTable[Outcome2]="Lose Half Stake",BetTable[S2]/2,IF(BetTable[Outcome2]="Lose",0,IF(BetTable[Outcome2]="Void",BetTable[S2],)))))</f>
        <v>0</v>
      </c>
      <c r="AH295" s="186">
        <f>IF(BetTable[Outcome3]="Win",BetTable[WBA3-Commission],IF(BetTable[Outcome3]="Win Half Stake",(BetTable[S3]/2)+BetTable[WBA3-Commission]/2,IF(BetTable[Outcome3]="Lose Half Stake",BetTable[S3]/2,IF(BetTable[Outcome3]="Lose",0,IF(BetTable[Outcome3]="Void",BetTable[S3],)))))</f>
        <v>0</v>
      </c>
      <c r="AI295" s="190">
        <f>IF(BetTable[Outcome]="",AI294,BetTable[Result]+AI294)</f>
        <v>570.89625000000024</v>
      </c>
      <c r="AJ295" s="182"/>
    </row>
    <row r="296" spans="1:36" x14ac:dyDescent="0.2">
      <c r="A296" s="181" t="s">
        <v>936</v>
      </c>
      <c r="B296" s="182" t="s">
        <v>200</v>
      </c>
      <c r="C296" s="183" t="s">
        <v>216</v>
      </c>
      <c r="D296" s="183"/>
      <c r="E296" s="183"/>
      <c r="F296" s="184"/>
      <c r="G296" s="184"/>
      <c r="H296" s="184"/>
      <c r="I296" s="182" t="s">
        <v>1010</v>
      </c>
      <c r="J296" s="185">
        <v>2.5</v>
      </c>
      <c r="K296" s="185"/>
      <c r="L296" s="185"/>
      <c r="M296" s="186">
        <v>19</v>
      </c>
      <c r="N296" s="186"/>
      <c r="O296" s="186"/>
      <c r="P296" s="181" t="s">
        <v>435</v>
      </c>
      <c r="Q296" s="181" t="s">
        <v>703</v>
      </c>
      <c r="R296" s="181" t="s">
        <v>1011</v>
      </c>
      <c r="S296" s="187">
        <v>2.40612663113552E-2</v>
      </c>
      <c r="T296" s="188" t="s">
        <v>382</v>
      </c>
      <c r="U296" s="188"/>
      <c r="V296" s="188"/>
      <c r="W296" s="189">
        <f>IF(BetTable[Sport]="","",BetTable[Stake]+BetTable[S2]+BetTable[S3])</f>
        <v>19</v>
      </c>
      <c r="X296" s="186">
        <f>IF(BetTable[Odds]="","",(BetTable[WBA1-Commission])-BetTable[TS])</f>
        <v>28.5</v>
      </c>
      <c r="Y296" s="190">
        <f>IF(BetTable[Outcome]="","",BetTable[WBA1]+BetTable[WBA2]+BetTable[WBA3]-BetTable[TS])</f>
        <v>-19</v>
      </c>
      <c r="Z296" s="186">
        <f>(((BetTable[Odds]-1)*BetTable[Stake])*(1-(BetTable[Comm %]))+BetTable[Stake])</f>
        <v>47.5</v>
      </c>
      <c r="AA296" s="186">
        <f>(((BetTable[O2]-1)*BetTable[S2])*(1-(BetTable[C% 2]))+BetTable[S2])</f>
        <v>0</v>
      </c>
      <c r="AB296" s="186">
        <f>(((BetTable[O3]-1)*BetTable[S3])*(1-(BetTable[C% 3]))+BetTable[S3])</f>
        <v>0</v>
      </c>
      <c r="AC296" s="187">
        <f>IFERROR(IF(BetTable[Sport]="","",BetTable[R1]/BetTable[TS]),"")</f>
        <v>1.5</v>
      </c>
      <c r="AD296" s="187" t="str">
        <f>IF(BetTable[O2]="","",#REF!/BetTable[TS])</f>
        <v/>
      </c>
      <c r="AE296" s="187" t="str">
        <f>IFERROR(IF(BetTable[Sport]="","",#REF!/BetTable[TS]),"")</f>
        <v/>
      </c>
      <c r="AF296" s="186">
        <f>IF(BetTable[Outcome]="Win",BetTable[WBA1-Commission],IF(BetTable[Outcome]="Win Half Stake",(BetTable[Stake]/2)+BetTable[WBA1-Commission]/2,IF(BetTable[Outcome]="Lose Half Stake",BetTable[Stake]/2,IF(BetTable[Outcome]="Lose",0,IF(BetTable[Outcome]="Void",BetTable[Stake],)))))</f>
        <v>0</v>
      </c>
      <c r="AG296" s="186">
        <f>IF(BetTable[Outcome2]="Win",BetTable[WBA2-Commission],IF(BetTable[Outcome2]="Win Half Stake",(BetTable[S2]/2)+BetTable[WBA2-Commission]/2,IF(BetTable[Outcome2]="Lose Half Stake",BetTable[S2]/2,IF(BetTable[Outcome2]="Lose",0,IF(BetTable[Outcome2]="Void",BetTable[S2],)))))</f>
        <v>0</v>
      </c>
      <c r="AH296" s="186">
        <f>IF(BetTable[Outcome3]="Win",BetTable[WBA3-Commission],IF(BetTable[Outcome3]="Win Half Stake",(BetTable[S3]/2)+BetTable[WBA3-Commission]/2,IF(BetTable[Outcome3]="Lose Half Stake",BetTable[S3]/2,IF(BetTable[Outcome3]="Lose",0,IF(BetTable[Outcome3]="Void",BetTable[S3],)))))</f>
        <v>0</v>
      </c>
      <c r="AI296" s="190">
        <f>IF(BetTable[Outcome]="",AI295,BetTable[Result]+AI295)</f>
        <v>551.89625000000024</v>
      </c>
      <c r="AJ296" s="182"/>
    </row>
    <row r="297" spans="1:36" x14ac:dyDescent="0.2">
      <c r="A297" s="181" t="s">
        <v>936</v>
      </c>
      <c r="B297" s="182" t="s">
        <v>200</v>
      </c>
      <c r="C297" s="183" t="s">
        <v>216</v>
      </c>
      <c r="D297" s="183"/>
      <c r="E297" s="183"/>
      <c r="F297" s="184"/>
      <c r="G297" s="184"/>
      <c r="H297" s="184"/>
      <c r="I297" s="182" t="s">
        <v>973</v>
      </c>
      <c r="J297" s="185">
        <v>1.6140000000000001</v>
      </c>
      <c r="K297" s="185"/>
      <c r="L297" s="185"/>
      <c r="M297" s="186">
        <v>33</v>
      </c>
      <c r="N297" s="186"/>
      <c r="O297" s="186"/>
      <c r="P297" s="181" t="s">
        <v>646</v>
      </c>
      <c r="Q297" s="181" t="s">
        <v>703</v>
      </c>
      <c r="R297" s="181" t="s">
        <v>1012</v>
      </c>
      <c r="S297" s="187">
        <v>1.7044892858080699E-2</v>
      </c>
      <c r="T297" s="188" t="s">
        <v>549</v>
      </c>
      <c r="U297" s="188"/>
      <c r="V297" s="188"/>
      <c r="W297" s="189">
        <f>IF(BetTable[Sport]="","",BetTable[Stake]+BetTable[S2]+BetTable[S3])</f>
        <v>33</v>
      </c>
      <c r="X297" s="186">
        <f>IF(BetTable[Odds]="","",(BetTable[WBA1-Commission])-BetTable[TS])</f>
        <v>20.262</v>
      </c>
      <c r="Y297" s="190">
        <f>IF(BetTable[Outcome]="","",BetTable[WBA1]+BetTable[WBA2]+BetTable[WBA3]-BetTable[TS])</f>
        <v>-16.5</v>
      </c>
      <c r="Z297" s="186">
        <f>(((BetTable[Odds]-1)*BetTable[Stake])*(1-(BetTable[Comm %]))+BetTable[Stake])</f>
        <v>53.262</v>
      </c>
      <c r="AA297" s="186">
        <f>(((BetTable[O2]-1)*BetTable[S2])*(1-(BetTable[C% 2]))+BetTable[S2])</f>
        <v>0</v>
      </c>
      <c r="AB297" s="186">
        <f>(((BetTable[O3]-1)*BetTable[S3])*(1-(BetTable[C% 3]))+BetTable[S3])</f>
        <v>0</v>
      </c>
      <c r="AC297" s="187">
        <f>IFERROR(IF(BetTable[Sport]="","",BetTable[R1]/BetTable[TS]),"")</f>
        <v>0.61399999999999999</v>
      </c>
      <c r="AD297" s="187" t="str">
        <f>IF(BetTable[O2]="","",#REF!/BetTable[TS])</f>
        <v/>
      </c>
      <c r="AE297" s="187" t="str">
        <f>IFERROR(IF(BetTable[Sport]="","",#REF!/BetTable[TS]),"")</f>
        <v/>
      </c>
      <c r="AF297" s="186">
        <f>IF(BetTable[Outcome]="Win",BetTable[WBA1-Commission],IF(BetTable[Outcome]="Win Half Stake",(BetTable[Stake]/2)+BetTable[WBA1-Commission]/2,IF(BetTable[Outcome]="Lose Half Stake",BetTable[Stake]/2,IF(BetTable[Outcome]="Lose",0,IF(BetTable[Outcome]="Void",BetTable[Stake],)))))</f>
        <v>16.5</v>
      </c>
      <c r="AG297" s="186">
        <f>IF(BetTable[Outcome2]="Win",BetTable[WBA2-Commission],IF(BetTable[Outcome2]="Win Half Stake",(BetTable[S2]/2)+BetTable[WBA2-Commission]/2,IF(BetTable[Outcome2]="Lose Half Stake",BetTable[S2]/2,IF(BetTable[Outcome2]="Lose",0,IF(BetTable[Outcome2]="Void",BetTable[S2],)))))</f>
        <v>0</v>
      </c>
      <c r="AH297" s="186">
        <f>IF(BetTable[Outcome3]="Win",BetTable[WBA3-Commission],IF(BetTable[Outcome3]="Win Half Stake",(BetTable[S3]/2)+BetTable[WBA3-Commission]/2,IF(BetTable[Outcome3]="Lose Half Stake",BetTable[S3]/2,IF(BetTable[Outcome3]="Lose",0,IF(BetTable[Outcome3]="Void",BetTable[S3],)))))</f>
        <v>0</v>
      </c>
      <c r="AI297" s="190">
        <f>IF(BetTable[Outcome]="",AI296,BetTable[Result]+AI296)</f>
        <v>535.39625000000024</v>
      </c>
      <c r="AJ297" s="182"/>
    </row>
    <row r="298" spans="1:36" x14ac:dyDescent="0.2">
      <c r="A298" s="181" t="s">
        <v>936</v>
      </c>
      <c r="B298" s="182" t="s">
        <v>200</v>
      </c>
      <c r="C298" s="183" t="s">
        <v>91</v>
      </c>
      <c r="D298" s="183"/>
      <c r="E298" s="183"/>
      <c r="F298" s="184"/>
      <c r="G298" s="184"/>
      <c r="H298" s="184"/>
      <c r="I298" s="182" t="s">
        <v>984</v>
      </c>
      <c r="J298" s="185">
        <v>1.64</v>
      </c>
      <c r="K298" s="185"/>
      <c r="L298" s="185"/>
      <c r="M298" s="186">
        <v>27</v>
      </c>
      <c r="N298" s="186"/>
      <c r="O298" s="186"/>
      <c r="P298" s="181" t="s">
        <v>409</v>
      </c>
      <c r="Q298" s="181" t="s">
        <v>734</v>
      </c>
      <c r="R298" s="181" t="s">
        <v>1013</v>
      </c>
      <c r="S298" s="187">
        <v>1.42384160117663E-2</v>
      </c>
      <c r="T298" s="188" t="s">
        <v>510</v>
      </c>
      <c r="U298" s="188"/>
      <c r="V298" s="188"/>
      <c r="W298" s="189">
        <f>IF(BetTable[Sport]="","",BetTable[Stake]+BetTable[S2]+BetTable[S3])</f>
        <v>27</v>
      </c>
      <c r="X298" s="186">
        <f>IF(BetTable[Odds]="","",(BetTable[WBA1-Commission])-BetTable[TS])</f>
        <v>17.28</v>
      </c>
      <c r="Y298" s="190">
        <f>IF(BetTable[Outcome]="","",BetTable[WBA1]+BetTable[WBA2]+BetTable[WBA3]-BetTable[TS])</f>
        <v>8.64</v>
      </c>
      <c r="Z298" s="186">
        <f>(((BetTable[Odds]-1)*BetTable[Stake])*(1-(BetTable[Comm %]))+BetTable[Stake])</f>
        <v>44.28</v>
      </c>
      <c r="AA298" s="186">
        <f>(((BetTable[O2]-1)*BetTable[S2])*(1-(BetTable[C% 2]))+BetTable[S2])</f>
        <v>0</v>
      </c>
      <c r="AB298" s="186">
        <f>(((BetTable[O3]-1)*BetTable[S3])*(1-(BetTable[C% 3]))+BetTable[S3])</f>
        <v>0</v>
      </c>
      <c r="AC298" s="187">
        <f>IFERROR(IF(BetTable[Sport]="","",BetTable[R1]/BetTable[TS]),"")</f>
        <v>0.64</v>
      </c>
      <c r="AD298" s="187" t="str">
        <f>IF(BetTable[O2]="","",#REF!/BetTable[TS])</f>
        <v/>
      </c>
      <c r="AE298" s="187" t="str">
        <f>IFERROR(IF(BetTable[Sport]="","",#REF!/BetTable[TS]),"")</f>
        <v/>
      </c>
      <c r="AF298" s="186">
        <f>IF(BetTable[Outcome]="Win",BetTable[WBA1-Commission],IF(BetTable[Outcome]="Win Half Stake",(BetTable[Stake]/2)+BetTable[WBA1-Commission]/2,IF(BetTable[Outcome]="Lose Half Stake",BetTable[Stake]/2,IF(BetTable[Outcome]="Lose",0,IF(BetTable[Outcome]="Void",BetTable[Stake],)))))</f>
        <v>35.64</v>
      </c>
      <c r="AG298" s="186">
        <f>IF(BetTable[Outcome2]="Win",BetTable[WBA2-Commission],IF(BetTable[Outcome2]="Win Half Stake",(BetTable[S2]/2)+BetTable[WBA2-Commission]/2,IF(BetTable[Outcome2]="Lose Half Stake",BetTable[S2]/2,IF(BetTable[Outcome2]="Lose",0,IF(BetTable[Outcome2]="Void",BetTable[S2],)))))</f>
        <v>0</v>
      </c>
      <c r="AH298" s="186">
        <f>IF(BetTable[Outcome3]="Win",BetTable[WBA3-Commission],IF(BetTable[Outcome3]="Win Half Stake",(BetTable[S3]/2)+BetTable[WBA3-Commission]/2,IF(BetTable[Outcome3]="Lose Half Stake",BetTable[S3]/2,IF(BetTable[Outcome3]="Lose",0,IF(BetTable[Outcome3]="Void",BetTable[S3],)))))</f>
        <v>0</v>
      </c>
      <c r="AI298" s="190">
        <f>IF(BetTable[Outcome]="",AI297,BetTable[Result]+AI297)</f>
        <v>544.03625000000022</v>
      </c>
      <c r="AJ298" s="182"/>
    </row>
    <row r="299" spans="1:36" x14ac:dyDescent="0.2">
      <c r="A299" s="181" t="s">
        <v>936</v>
      </c>
      <c r="B299" s="182" t="s">
        <v>200</v>
      </c>
      <c r="C299" s="183" t="s">
        <v>185</v>
      </c>
      <c r="D299" s="183"/>
      <c r="E299" s="183"/>
      <c r="F299" s="184"/>
      <c r="G299" s="184"/>
      <c r="H299" s="184"/>
      <c r="I299" s="182" t="s">
        <v>1014</v>
      </c>
      <c r="J299" s="185">
        <v>4</v>
      </c>
      <c r="K299" s="185"/>
      <c r="L299" s="185"/>
      <c r="M299" s="186">
        <v>12</v>
      </c>
      <c r="N299" s="186"/>
      <c r="O299" s="186"/>
      <c r="P299" s="181" t="s">
        <v>494</v>
      </c>
      <c r="Q299" s="181" t="s">
        <v>485</v>
      </c>
      <c r="R299" s="181" t="s">
        <v>1015</v>
      </c>
      <c r="S299" s="187">
        <v>2.9864868840059899E-2</v>
      </c>
      <c r="T299" s="188" t="s">
        <v>382</v>
      </c>
      <c r="U299" s="188"/>
      <c r="V299" s="188"/>
      <c r="W299" s="189">
        <f>IF(BetTable[Sport]="","",BetTable[Stake]+BetTable[S2]+BetTable[S3])</f>
        <v>12</v>
      </c>
      <c r="X299" s="186">
        <f>IF(BetTable[Odds]="","",(BetTable[WBA1-Commission])-BetTable[TS])</f>
        <v>36</v>
      </c>
      <c r="Y299" s="190">
        <f>IF(BetTable[Outcome]="","",BetTable[WBA1]+BetTable[WBA2]+BetTable[WBA3]-BetTable[TS])</f>
        <v>-12</v>
      </c>
      <c r="Z299" s="186">
        <f>(((BetTable[Odds]-1)*BetTable[Stake])*(1-(BetTable[Comm %]))+BetTable[Stake])</f>
        <v>48</v>
      </c>
      <c r="AA299" s="186">
        <f>(((BetTable[O2]-1)*BetTable[S2])*(1-(BetTable[C% 2]))+BetTable[S2])</f>
        <v>0</v>
      </c>
      <c r="AB299" s="186">
        <f>(((BetTable[O3]-1)*BetTable[S3])*(1-(BetTable[C% 3]))+BetTable[S3])</f>
        <v>0</v>
      </c>
      <c r="AC299" s="187">
        <f>IFERROR(IF(BetTable[Sport]="","",BetTable[R1]/BetTable[TS]),"")</f>
        <v>3</v>
      </c>
      <c r="AD299" s="187" t="str">
        <f>IF(BetTable[O2]="","",#REF!/BetTable[TS])</f>
        <v/>
      </c>
      <c r="AE299" s="187" t="str">
        <f>IFERROR(IF(BetTable[Sport]="","",#REF!/BetTable[TS]),"")</f>
        <v/>
      </c>
      <c r="AF299" s="186">
        <f>IF(BetTable[Outcome]="Win",BetTable[WBA1-Commission],IF(BetTable[Outcome]="Win Half Stake",(BetTable[Stake]/2)+BetTable[WBA1-Commission]/2,IF(BetTable[Outcome]="Lose Half Stake",BetTable[Stake]/2,IF(BetTable[Outcome]="Lose",0,IF(BetTable[Outcome]="Void",BetTable[Stake],)))))</f>
        <v>0</v>
      </c>
      <c r="AG299" s="186">
        <f>IF(BetTable[Outcome2]="Win",BetTable[WBA2-Commission],IF(BetTable[Outcome2]="Win Half Stake",(BetTable[S2]/2)+BetTable[WBA2-Commission]/2,IF(BetTable[Outcome2]="Lose Half Stake",BetTable[S2]/2,IF(BetTable[Outcome2]="Lose",0,IF(BetTable[Outcome2]="Void",BetTable[S2],)))))</f>
        <v>0</v>
      </c>
      <c r="AH299" s="186">
        <f>IF(BetTable[Outcome3]="Win",BetTable[WBA3-Commission],IF(BetTable[Outcome3]="Win Half Stake",(BetTable[S3]/2)+BetTable[WBA3-Commission]/2,IF(BetTable[Outcome3]="Lose Half Stake",BetTable[S3]/2,IF(BetTable[Outcome3]="Lose",0,IF(BetTable[Outcome3]="Void",BetTable[S3],)))))</f>
        <v>0</v>
      </c>
      <c r="AI299" s="190">
        <f>IF(BetTable[Outcome]="",AI298,BetTable[Result]+AI298)</f>
        <v>532.03625000000022</v>
      </c>
      <c r="AJ299" s="182"/>
    </row>
    <row r="300" spans="1:36" x14ac:dyDescent="0.2">
      <c r="A300" s="181" t="s">
        <v>936</v>
      </c>
      <c r="B300" s="182" t="s">
        <v>9</v>
      </c>
      <c r="C300" s="161" t="s">
        <v>234</v>
      </c>
      <c r="D300" s="183"/>
      <c r="E300" s="183"/>
      <c r="F300" s="184"/>
      <c r="G300" s="184"/>
      <c r="H300" s="184"/>
      <c r="I300" s="182" t="s">
        <v>1016</v>
      </c>
      <c r="J300" s="185">
        <v>2.0299999999999998</v>
      </c>
      <c r="K300" s="185"/>
      <c r="L300" s="185"/>
      <c r="M300" s="186">
        <v>12</v>
      </c>
      <c r="N300" s="186"/>
      <c r="O300" s="186"/>
      <c r="P300" s="181" t="s">
        <v>791</v>
      </c>
      <c r="Q300" s="181" t="s">
        <v>581</v>
      </c>
      <c r="R300" s="181" t="s">
        <v>1017</v>
      </c>
      <c r="S300" s="187">
        <v>1.01700352874801E-2</v>
      </c>
      <c r="T300" s="188" t="s">
        <v>372</v>
      </c>
      <c r="U300" s="188"/>
      <c r="V300" s="188"/>
      <c r="W300" s="189">
        <f>IF(BetTable[Sport]="","",BetTable[Stake]+BetTable[S2]+BetTable[S3])</f>
        <v>12</v>
      </c>
      <c r="X300" s="186">
        <f>IF(BetTable[Odds]="","",(BetTable[WBA1-Commission])-BetTable[TS])</f>
        <v>12.36</v>
      </c>
      <c r="Y300" s="190">
        <f>IF(BetTable[Outcome]="","",BetTable[WBA1]+BetTable[WBA2]+BetTable[WBA3]-BetTable[TS])</f>
        <v>12.36</v>
      </c>
      <c r="Z300" s="186">
        <f>(((BetTable[Odds]-1)*BetTable[Stake])*(1-(BetTable[Comm %]))+BetTable[Stake])</f>
        <v>24.36</v>
      </c>
      <c r="AA300" s="186">
        <f>(((BetTable[O2]-1)*BetTable[S2])*(1-(BetTable[C% 2]))+BetTable[S2])</f>
        <v>0</v>
      </c>
      <c r="AB300" s="186">
        <f>(((BetTable[O3]-1)*BetTable[S3])*(1-(BetTable[C% 3]))+BetTable[S3])</f>
        <v>0</v>
      </c>
      <c r="AC300" s="187">
        <f>IFERROR(IF(BetTable[Sport]="","",BetTable[R1]/BetTable[TS]),"")</f>
        <v>1.03</v>
      </c>
      <c r="AD300" s="187" t="str">
        <f>IF(BetTable[O2]="","",#REF!/BetTable[TS])</f>
        <v/>
      </c>
      <c r="AE300" s="187" t="str">
        <f>IFERROR(IF(BetTable[Sport]="","",#REF!/BetTable[TS]),"")</f>
        <v/>
      </c>
      <c r="AF300" s="186">
        <f>IF(BetTable[Outcome]="Win",BetTable[WBA1-Commission],IF(BetTable[Outcome]="Win Half Stake",(BetTable[Stake]/2)+BetTable[WBA1-Commission]/2,IF(BetTable[Outcome]="Lose Half Stake",BetTable[Stake]/2,IF(BetTable[Outcome]="Lose",0,IF(BetTable[Outcome]="Void",BetTable[Stake],)))))</f>
        <v>24.36</v>
      </c>
      <c r="AG300" s="186">
        <f>IF(BetTable[Outcome2]="Win",BetTable[WBA2-Commission],IF(BetTable[Outcome2]="Win Half Stake",(BetTable[S2]/2)+BetTable[WBA2-Commission]/2,IF(BetTable[Outcome2]="Lose Half Stake",BetTable[S2]/2,IF(BetTable[Outcome2]="Lose",0,IF(BetTable[Outcome2]="Void",BetTable[S2],)))))</f>
        <v>0</v>
      </c>
      <c r="AH300" s="186">
        <f>IF(BetTable[Outcome3]="Win",BetTable[WBA3-Commission],IF(BetTable[Outcome3]="Win Half Stake",(BetTable[S3]/2)+BetTable[WBA3-Commission]/2,IF(BetTable[Outcome3]="Lose Half Stake",BetTable[S3]/2,IF(BetTable[Outcome3]="Lose",0,IF(BetTable[Outcome3]="Void",BetTable[S3],)))))</f>
        <v>0</v>
      </c>
      <c r="AI300" s="190">
        <f>IF(BetTable[Outcome]="",AI299,BetTable[Result]+AI299)</f>
        <v>544.39625000000024</v>
      </c>
      <c r="AJ300" s="182"/>
    </row>
    <row r="301" spans="1:36" x14ac:dyDescent="0.2">
      <c r="A301" s="181" t="s">
        <v>936</v>
      </c>
      <c r="B301" s="182" t="s">
        <v>200</v>
      </c>
      <c r="C301" s="183" t="s">
        <v>91</v>
      </c>
      <c r="D301" s="183"/>
      <c r="E301" s="183"/>
      <c r="F301" s="184"/>
      <c r="G301" s="184"/>
      <c r="H301" s="184"/>
      <c r="I301" s="182" t="s">
        <v>1018</v>
      </c>
      <c r="J301" s="185">
        <v>1.99</v>
      </c>
      <c r="K301" s="185"/>
      <c r="L301" s="185"/>
      <c r="M301" s="186">
        <v>27</v>
      </c>
      <c r="N301" s="186"/>
      <c r="O301" s="186"/>
      <c r="P301" s="181" t="s">
        <v>385</v>
      </c>
      <c r="Q301" s="181" t="s">
        <v>818</v>
      </c>
      <c r="R301" s="181" t="s">
        <v>1019</v>
      </c>
      <c r="S301" s="187">
        <v>2.2354754199649399E-2</v>
      </c>
      <c r="T301" s="188" t="s">
        <v>383</v>
      </c>
      <c r="U301" s="188"/>
      <c r="V301" s="188"/>
      <c r="W301" s="189">
        <f>IF(BetTable[Sport]="","",BetTable[Stake]+BetTable[S2]+BetTable[S3])</f>
        <v>27</v>
      </c>
      <c r="X301" s="186">
        <f>IF(BetTable[Odds]="","",(BetTable[WBA1-Commission])-BetTable[TS])</f>
        <v>26.730000000000004</v>
      </c>
      <c r="Y301" s="190">
        <f>IF(BetTable[Outcome]="","",BetTable[WBA1]+BetTable[WBA2]+BetTable[WBA3]-BetTable[TS])</f>
        <v>0</v>
      </c>
      <c r="Z301" s="186">
        <f>(((BetTable[Odds]-1)*BetTable[Stake])*(1-(BetTable[Comm %]))+BetTable[Stake])</f>
        <v>53.730000000000004</v>
      </c>
      <c r="AA301" s="186">
        <f>(((BetTable[O2]-1)*BetTable[S2])*(1-(BetTable[C% 2]))+BetTable[S2])</f>
        <v>0</v>
      </c>
      <c r="AB301" s="186">
        <f>(((BetTable[O3]-1)*BetTable[S3])*(1-(BetTable[C% 3]))+BetTable[S3])</f>
        <v>0</v>
      </c>
      <c r="AC301" s="187">
        <f>IFERROR(IF(BetTable[Sport]="","",BetTable[R1]/BetTable[TS]),"")</f>
        <v>0.9900000000000001</v>
      </c>
      <c r="AD301" s="187" t="str">
        <f>IF(BetTable[O2]="","",#REF!/BetTable[TS])</f>
        <v/>
      </c>
      <c r="AE301" s="187" t="str">
        <f>IFERROR(IF(BetTable[Sport]="","",#REF!/BetTable[TS]),"")</f>
        <v/>
      </c>
      <c r="AF301" s="186">
        <f>IF(BetTable[Outcome]="Win",BetTable[WBA1-Commission],IF(BetTable[Outcome]="Win Half Stake",(BetTable[Stake]/2)+BetTable[WBA1-Commission]/2,IF(BetTable[Outcome]="Lose Half Stake",BetTable[Stake]/2,IF(BetTable[Outcome]="Lose",0,IF(BetTable[Outcome]="Void",BetTable[Stake],)))))</f>
        <v>27</v>
      </c>
      <c r="AG301" s="186">
        <f>IF(BetTable[Outcome2]="Win",BetTable[WBA2-Commission],IF(BetTable[Outcome2]="Win Half Stake",(BetTable[S2]/2)+BetTable[WBA2-Commission]/2,IF(BetTable[Outcome2]="Lose Half Stake",BetTable[S2]/2,IF(BetTable[Outcome2]="Lose",0,IF(BetTable[Outcome2]="Void",BetTable[S2],)))))</f>
        <v>0</v>
      </c>
      <c r="AH301" s="186">
        <f>IF(BetTable[Outcome3]="Win",BetTable[WBA3-Commission],IF(BetTable[Outcome3]="Win Half Stake",(BetTable[S3]/2)+BetTable[WBA3-Commission]/2,IF(BetTable[Outcome3]="Lose Half Stake",BetTable[S3]/2,IF(BetTable[Outcome3]="Lose",0,IF(BetTable[Outcome3]="Void",BetTable[S3],)))))</f>
        <v>0</v>
      </c>
      <c r="AI301" s="190">
        <f>IF(BetTable[Outcome]="",AI300,BetTable[Result]+AI300)</f>
        <v>544.39625000000024</v>
      </c>
      <c r="AJ301" s="182"/>
    </row>
    <row r="302" spans="1:36" x14ac:dyDescent="0.2">
      <c r="A302" s="181" t="s">
        <v>936</v>
      </c>
      <c r="B302" s="182" t="s">
        <v>200</v>
      </c>
      <c r="C302" s="183" t="s">
        <v>91</v>
      </c>
      <c r="D302" s="183"/>
      <c r="E302" s="183"/>
      <c r="F302" s="184"/>
      <c r="G302" s="184"/>
      <c r="H302" s="184"/>
      <c r="I302" s="182" t="s">
        <v>1020</v>
      </c>
      <c r="J302" s="185">
        <v>2</v>
      </c>
      <c r="K302" s="185"/>
      <c r="L302" s="185"/>
      <c r="M302" s="186">
        <v>17</v>
      </c>
      <c r="N302" s="186"/>
      <c r="O302" s="186"/>
      <c r="P302" s="181" t="s">
        <v>351</v>
      </c>
      <c r="Q302" s="181" t="s">
        <v>333</v>
      </c>
      <c r="R302" s="181" t="s">
        <v>1021</v>
      </c>
      <c r="S302" s="187">
        <v>1.4278625864123999E-2</v>
      </c>
      <c r="T302" s="188" t="s">
        <v>382</v>
      </c>
      <c r="U302" s="188"/>
      <c r="V302" s="188"/>
      <c r="W302" s="189">
        <f>IF(BetTable[Sport]="","",BetTable[Stake]+BetTable[S2]+BetTable[S3])</f>
        <v>17</v>
      </c>
      <c r="X302" s="186">
        <f>IF(BetTable[Odds]="","",(BetTable[WBA1-Commission])-BetTable[TS])</f>
        <v>17</v>
      </c>
      <c r="Y302" s="190">
        <f>IF(BetTable[Outcome]="","",BetTable[WBA1]+BetTable[WBA2]+BetTable[WBA3]-BetTable[TS])</f>
        <v>-17</v>
      </c>
      <c r="Z302" s="186">
        <f>(((BetTable[Odds]-1)*BetTable[Stake])*(1-(BetTable[Comm %]))+BetTable[Stake])</f>
        <v>34</v>
      </c>
      <c r="AA302" s="186">
        <f>(((BetTable[O2]-1)*BetTable[S2])*(1-(BetTable[C% 2]))+BetTable[S2])</f>
        <v>0</v>
      </c>
      <c r="AB302" s="186">
        <f>(((BetTable[O3]-1)*BetTable[S3])*(1-(BetTable[C% 3]))+BetTable[S3])</f>
        <v>0</v>
      </c>
      <c r="AC302" s="187">
        <f>IFERROR(IF(BetTable[Sport]="","",BetTable[R1]/BetTable[TS]),"")</f>
        <v>1</v>
      </c>
      <c r="AD302" s="187" t="str">
        <f>IF(BetTable[O2]="","",#REF!/BetTable[TS])</f>
        <v/>
      </c>
      <c r="AE302" s="187" t="str">
        <f>IFERROR(IF(BetTable[Sport]="","",#REF!/BetTable[TS]),"")</f>
        <v/>
      </c>
      <c r="AF302" s="186">
        <f>IF(BetTable[Outcome]="Win",BetTable[WBA1-Commission],IF(BetTable[Outcome]="Win Half Stake",(BetTable[Stake]/2)+BetTable[WBA1-Commission]/2,IF(BetTable[Outcome]="Lose Half Stake",BetTable[Stake]/2,IF(BetTable[Outcome]="Lose",0,IF(BetTable[Outcome]="Void",BetTable[Stake],)))))</f>
        <v>0</v>
      </c>
      <c r="AG302" s="186">
        <f>IF(BetTable[Outcome2]="Win",BetTable[WBA2-Commission],IF(BetTable[Outcome2]="Win Half Stake",(BetTable[S2]/2)+BetTable[WBA2-Commission]/2,IF(BetTable[Outcome2]="Lose Half Stake",BetTable[S2]/2,IF(BetTable[Outcome2]="Lose",0,IF(BetTable[Outcome2]="Void",BetTable[S2],)))))</f>
        <v>0</v>
      </c>
      <c r="AH302" s="186">
        <f>IF(BetTable[Outcome3]="Win",BetTable[WBA3-Commission],IF(BetTable[Outcome3]="Win Half Stake",(BetTable[S3]/2)+BetTable[WBA3-Commission]/2,IF(BetTable[Outcome3]="Lose Half Stake",BetTable[S3]/2,IF(BetTable[Outcome3]="Lose",0,IF(BetTable[Outcome3]="Void",BetTable[S3],)))))</f>
        <v>0</v>
      </c>
      <c r="AI302" s="190">
        <f>IF(BetTable[Outcome]="",AI301,BetTable[Result]+AI301)</f>
        <v>527.39625000000024</v>
      </c>
      <c r="AJ302" s="182"/>
    </row>
    <row r="303" spans="1:36" x14ac:dyDescent="0.2">
      <c r="A303" s="181" t="s">
        <v>936</v>
      </c>
      <c r="B303" s="182" t="s">
        <v>200</v>
      </c>
      <c r="C303" s="183" t="s">
        <v>91</v>
      </c>
      <c r="D303" s="183"/>
      <c r="E303" s="183"/>
      <c r="F303" s="184"/>
      <c r="G303" s="184"/>
      <c r="H303" s="184"/>
      <c r="I303" s="182" t="s">
        <v>996</v>
      </c>
      <c r="J303" s="185">
        <v>2.21</v>
      </c>
      <c r="K303" s="185"/>
      <c r="L303" s="185"/>
      <c r="M303" s="186">
        <v>25</v>
      </c>
      <c r="N303" s="186"/>
      <c r="O303" s="186"/>
      <c r="P303" s="181" t="s">
        <v>348</v>
      </c>
      <c r="Q303" s="181" t="s">
        <v>632</v>
      </c>
      <c r="R303" s="181" t="s">
        <v>1022</v>
      </c>
      <c r="S303" s="187">
        <v>2.4927536231884002E-2</v>
      </c>
      <c r="T303" s="188" t="s">
        <v>382</v>
      </c>
      <c r="U303" s="188"/>
      <c r="V303" s="188"/>
      <c r="W303" s="189">
        <f>IF(BetTable[Sport]="","",BetTable[Stake]+BetTable[S2]+BetTable[S3])</f>
        <v>25</v>
      </c>
      <c r="X303" s="186">
        <f>IF(BetTable[Odds]="","",(BetTable[WBA1-Commission])-BetTable[TS])</f>
        <v>30.25</v>
      </c>
      <c r="Y303" s="190">
        <f>IF(BetTable[Outcome]="","",BetTable[WBA1]+BetTable[WBA2]+BetTable[WBA3]-BetTable[TS])</f>
        <v>-25</v>
      </c>
      <c r="Z303" s="186">
        <f>(((BetTable[Odds]-1)*BetTable[Stake])*(1-(BetTable[Comm %]))+BetTable[Stake])</f>
        <v>55.25</v>
      </c>
      <c r="AA303" s="186">
        <f>(((BetTable[O2]-1)*BetTable[S2])*(1-(BetTable[C% 2]))+BetTable[S2])</f>
        <v>0</v>
      </c>
      <c r="AB303" s="186">
        <f>(((BetTable[O3]-1)*BetTable[S3])*(1-(BetTable[C% 3]))+BetTable[S3])</f>
        <v>0</v>
      </c>
      <c r="AC303" s="187">
        <f>IFERROR(IF(BetTable[Sport]="","",BetTable[R1]/BetTable[TS]),"")</f>
        <v>1.21</v>
      </c>
      <c r="AD303" s="187" t="str">
        <f>IF(BetTable[O2]="","",#REF!/BetTable[TS])</f>
        <v/>
      </c>
      <c r="AE303" s="187" t="str">
        <f>IFERROR(IF(BetTable[Sport]="","",#REF!/BetTable[TS]),"")</f>
        <v/>
      </c>
      <c r="AF303" s="186">
        <f>IF(BetTable[Outcome]="Win",BetTable[WBA1-Commission],IF(BetTable[Outcome]="Win Half Stake",(BetTable[Stake]/2)+BetTable[WBA1-Commission]/2,IF(BetTable[Outcome]="Lose Half Stake",BetTable[Stake]/2,IF(BetTable[Outcome]="Lose",0,IF(BetTable[Outcome]="Void",BetTable[Stake],)))))</f>
        <v>0</v>
      </c>
      <c r="AG303" s="186">
        <f>IF(BetTable[Outcome2]="Win",BetTable[WBA2-Commission],IF(BetTable[Outcome2]="Win Half Stake",(BetTable[S2]/2)+BetTable[WBA2-Commission]/2,IF(BetTable[Outcome2]="Lose Half Stake",BetTable[S2]/2,IF(BetTable[Outcome2]="Lose",0,IF(BetTable[Outcome2]="Void",BetTable[S2],)))))</f>
        <v>0</v>
      </c>
      <c r="AH303" s="186">
        <f>IF(BetTable[Outcome3]="Win",BetTable[WBA3-Commission],IF(BetTable[Outcome3]="Win Half Stake",(BetTable[S3]/2)+BetTable[WBA3-Commission]/2,IF(BetTable[Outcome3]="Lose Half Stake",BetTable[S3]/2,IF(BetTable[Outcome3]="Lose",0,IF(BetTable[Outcome3]="Void",BetTable[S3],)))))</f>
        <v>0</v>
      </c>
      <c r="AI303" s="190">
        <f>IF(BetTable[Outcome]="",AI302,BetTable[Result]+AI302)</f>
        <v>502.39625000000024</v>
      </c>
      <c r="AJ303" s="182"/>
    </row>
    <row r="304" spans="1:36" x14ac:dyDescent="0.2">
      <c r="A304" s="181" t="s">
        <v>936</v>
      </c>
      <c r="B304" s="182" t="s">
        <v>201</v>
      </c>
      <c r="C304" s="161" t="s">
        <v>234</v>
      </c>
      <c r="D304" s="183"/>
      <c r="E304" s="183"/>
      <c r="F304" s="184"/>
      <c r="G304" s="184"/>
      <c r="H304" s="184"/>
      <c r="I304" s="182" t="s">
        <v>1023</v>
      </c>
      <c r="J304" s="185">
        <v>1.95</v>
      </c>
      <c r="K304" s="185"/>
      <c r="L304" s="185"/>
      <c r="M304" s="186">
        <v>15</v>
      </c>
      <c r="N304" s="186"/>
      <c r="O304" s="186"/>
      <c r="P304" s="181" t="s">
        <v>1024</v>
      </c>
      <c r="Q304" s="181" t="s">
        <v>503</v>
      </c>
      <c r="R304" s="181" t="s">
        <v>1025</v>
      </c>
      <c r="S304" s="187">
        <v>1.1720081242138801E-2</v>
      </c>
      <c r="T304" s="188" t="s">
        <v>372</v>
      </c>
      <c r="U304" s="188"/>
      <c r="V304" s="188"/>
      <c r="W304" s="189">
        <f>IF(BetTable[Sport]="","",BetTable[Stake]+BetTable[S2]+BetTable[S3])</f>
        <v>15</v>
      </c>
      <c r="X304" s="186">
        <f>IF(BetTable[Odds]="","",(BetTable[WBA1-Commission])-BetTable[TS])</f>
        <v>14.25</v>
      </c>
      <c r="Y304" s="190">
        <f>IF(BetTable[Outcome]="","",BetTable[WBA1]+BetTable[WBA2]+BetTable[WBA3]-BetTable[TS])</f>
        <v>14.25</v>
      </c>
      <c r="Z304" s="186">
        <f>(((BetTable[Odds]-1)*BetTable[Stake])*(1-(BetTable[Comm %]))+BetTable[Stake])</f>
        <v>29.25</v>
      </c>
      <c r="AA304" s="186">
        <f>(((BetTable[O2]-1)*BetTable[S2])*(1-(BetTable[C% 2]))+BetTable[S2])</f>
        <v>0</v>
      </c>
      <c r="AB304" s="186">
        <f>(((BetTable[O3]-1)*BetTable[S3])*(1-(BetTable[C% 3]))+BetTable[S3])</f>
        <v>0</v>
      </c>
      <c r="AC304" s="187">
        <f>IFERROR(IF(BetTable[Sport]="","",BetTable[R1]/BetTable[TS]),"")</f>
        <v>0.95</v>
      </c>
      <c r="AD304" s="187" t="str">
        <f>IF(BetTable[O2]="","",#REF!/BetTable[TS])</f>
        <v/>
      </c>
      <c r="AE304" s="187" t="str">
        <f>IFERROR(IF(BetTable[Sport]="","",#REF!/BetTable[TS]),"")</f>
        <v/>
      </c>
      <c r="AF304" s="186">
        <f>IF(BetTable[Outcome]="Win",BetTable[WBA1-Commission],IF(BetTable[Outcome]="Win Half Stake",(BetTable[Stake]/2)+BetTable[WBA1-Commission]/2,IF(BetTable[Outcome]="Lose Half Stake",BetTable[Stake]/2,IF(BetTable[Outcome]="Lose",0,IF(BetTable[Outcome]="Void",BetTable[Stake],)))))</f>
        <v>29.25</v>
      </c>
      <c r="AG304" s="186">
        <f>IF(BetTable[Outcome2]="Win",BetTable[WBA2-Commission],IF(BetTable[Outcome2]="Win Half Stake",(BetTable[S2]/2)+BetTable[WBA2-Commission]/2,IF(BetTable[Outcome2]="Lose Half Stake",BetTable[S2]/2,IF(BetTable[Outcome2]="Lose",0,IF(BetTable[Outcome2]="Void",BetTable[S2],)))))</f>
        <v>0</v>
      </c>
      <c r="AH304" s="186">
        <f>IF(BetTable[Outcome3]="Win",BetTable[WBA3-Commission],IF(BetTable[Outcome3]="Win Half Stake",(BetTable[S3]/2)+BetTable[WBA3-Commission]/2,IF(BetTable[Outcome3]="Lose Half Stake",BetTable[S3]/2,IF(BetTable[Outcome3]="Lose",0,IF(BetTable[Outcome3]="Void",BetTable[S3],)))))</f>
        <v>0</v>
      </c>
      <c r="AI304" s="190">
        <f>IF(BetTable[Outcome]="",AI303,BetTable[Result]+AI303)</f>
        <v>516.64625000000024</v>
      </c>
      <c r="AJ304" s="182"/>
    </row>
    <row r="305" spans="1:36" x14ac:dyDescent="0.2">
      <c r="A305" s="181" t="s">
        <v>936</v>
      </c>
      <c r="B305" s="182" t="s">
        <v>200</v>
      </c>
      <c r="C305" s="161" t="s">
        <v>234</v>
      </c>
      <c r="D305" s="183"/>
      <c r="E305" s="183"/>
      <c r="F305" s="184"/>
      <c r="G305" s="184"/>
      <c r="H305" s="184"/>
      <c r="I305" s="182" t="s">
        <v>978</v>
      </c>
      <c r="J305" s="185">
        <v>1.79</v>
      </c>
      <c r="K305" s="185"/>
      <c r="L305" s="185"/>
      <c r="M305" s="186">
        <v>23</v>
      </c>
      <c r="N305" s="186"/>
      <c r="O305" s="186"/>
      <c r="P305" s="181" t="s">
        <v>1026</v>
      </c>
      <c r="Q305" s="181" t="s">
        <v>818</v>
      </c>
      <c r="R305" s="181" t="s">
        <v>1027</v>
      </c>
      <c r="S305" s="187">
        <v>1.52100940602068E-2</v>
      </c>
      <c r="T305" s="188" t="s">
        <v>549</v>
      </c>
      <c r="U305" s="188"/>
      <c r="V305" s="188"/>
      <c r="W305" s="189">
        <f>IF(BetTable[Sport]="","",BetTable[Stake]+BetTable[S2]+BetTable[S3])</f>
        <v>23</v>
      </c>
      <c r="X305" s="186">
        <f>IF(BetTable[Odds]="","",(BetTable[WBA1-Commission])-BetTable[TS])</f>
        <v>18.170000000000002</v>
      </c>
      <c r="Y305" s="190">
        <f>IF(BetTable[Outcome]="","",BetTable[WBA1]+BetTable[WBA2]+BetTable[WBA3]-BetTable[TS])</f>
        <v>-11.5</v>
      </c>
      <c r="Z305" s="186">
        <f>(((BetTable[Odds]-1)*BetTable[Stake])*(1-(BetTable[Comm %]))+BetTable[Stake])</f>
        <v>41.17</v>
      </c>
      <c r="AA305" s="186">
        <f>(((BetTable[O2]-1)*BetTable[S2])*(1-(BetTable[C% 2]))+BetTable[S2])</f>
        <v>0</v>
      </c>
      <c r="AB305" s="186">
        <f>(((BetTable[O3]-1)*BetTable[S3])*(1-(BetTable[C% 3]))+BetTable[S3])</f>
        <v>0</v>
      </c>
      <c r="AC305" s="187">
        <f>IFERROR(IF(BetTable[Sport]="","",BetTable[R1]/BetTable[TS]),"")</f>
        <v>0.79</v>
      </c>
      <c r="AD305" s="187" t="str">
        <f>IF(BetTable[O2]="","",#REF!/BetTable[TS])</f>
        <v/>
      </c>
      <c r="AE305" s="187" t="str">
        <f>IFERROR(IF(BetTable[Sport]="","",#REF!/BetTable[TS]),"")</f>
        <v/>
      </c>
      <c r="AF305" s="186">
        <f>IF(BetTable[Outcome]="Win",BetTable[WBA1-Commission],IF(BetTable[Outcome]="Win Half Stake",(BetTable[Stake]/2)+BetTable[WBA1-Commission]/2,IF(BetTable[Outcome]="Lose Half Stake",BetTable[Stake]/2,IF(BetTable[Outcome]="Lose",0,IF(BetTable[Outcome]="Void",BetTable[Stake],)))))</f>
        <v>11.5</v>
      </c>
      <c r="AG305" s="186">
        <f>IF(BetTable[Outcome2]="Win",BetTable[WBA2-Commission],IF(BetTable[Outcome2]="Win Half Stake",(BetTable[S2]/2)+BetTable[WBA2-Commission]/2,IF(BetTable[Outcome2]="Lose Half Stake",BetTable[S2]/2,IF(BetTable[Outcome2]="Lose",0,IF(BetTable[Outcome2]="Void",BetTable[S2],)))))</f>
        <v>0</v>
      </c>
      <c r="AH305" s="186">
        <f>IF(BetTable[Outcome3]="Win",BetTable[WBA3-Commission],IF(BetTable[Outcome3]="Win Half Stake",(BetTable[S3]/2)+BetTable[WBA3-Commission]/2,IF(BetTable[Outcome3]="Lose Half Stake",BetTable[S3]/2,IF(BetTable[Outcome3]="Lose",0,IF(BetTable[Outcome3]="Void",BetTable[S3],)))))</f>
        <v>0</v>
      </c>
      <c r="AI305" s="190">
        <f>IF(BetTable[Outcome]="",AI304,BetTable[Result]+AI304)</f>
        <v>505.14625000000024</v>
      </c>
      <c r="AJ305" s="182"/>
    </row>
    <row r="306" spans="1:36" x14ac:dyDescent="0.2">
      <c r="A306" s="181" t="s">
        <v>936</v>
      </c>
      <c r="B306" s="182" t="s">
        <v>9</v>
      </c>
      <c r="C306" s="183" t="s">
        <v>216</v>
      </c>
      <c r="D306" s="183"/>
      <c r="E306" s="183"/>
      <c r="F306" s="184"/>
      <c r="G306" s="184"/>
      <c r="H306" s="184"/>
      <c r="I306" s="182" t="s">
        <v>1016</v>
      </c>
      <c r="J306" s="185">
        <v>2.5099999999999998</v>
      </c>
      <c r="K306" s="185"/>
      <c r="L306" s="185"/>
      <c r="M306" s="186">
        <v>12</v>
      </c>
      <c r="N306" s="186"/>
      <c r="O306" s="186"/>
      <c r="P306" s="181" t="s">
        <v>428</v>
      </c>
      <c r="Q306" s="181" t="s">
        <v>581</v>
      </c>
      <c r="R306" s="181" t="s">
        <v>1028</v>
      </c>
      <c r="S306" s="187">
        <v>1.50729311029524E-2</v>
      </c>
      <c r="T306" s="188" t="s">
        <v>382</v>
      </c>
      <c r="U306" s="188"/>
      <c r="V306" s="188"/>
      <c r="W306" s="189">
        <f>IF(BetTable[Sport]="","",BetTable[Stake]+BetTable[S2]+BetTable[S3])</f>
        <v>12</v>
      </c>
      <c r="X306" s="186">
        <f>IF(BetTable[Odds]="","",(BetTable[WBA1-Commission])-BetTable[TS])</f>
        <v>18.119999999999997</v>
      </c>
      <c r="Y306" s="190">
        <f>IF(BetTable[Outcome]="","",BetTable[WBA1]+BetTable[WBA2]+BetTable[WBA3]-BetTable[TS])</f>
        <v>-12</v>
      </c>
      <c r="Z306" s="186">
        <f>(((BetTable[Odds]-1)*BetTable[Stake])*(1-(BetTable[Comm %]))+BetTable[Stake])</f>
        <v>30.119999999999997</v>
      </c>
      <c r="AA306" s="186">
        <f>(((BetTable[O2]-1)*BetTable[S2])*(1-(BetTable[C% 2]))+BetTable[S2])</f>
        <v>0</v>
      </c>
      <c r="AB306" s="186">
        <f>(((BetTable[O3]-1)*BetTable[S3])*(1-(BetTable[C% 3]))+BetTable[S3])</f>
        <v>0</v>
      </c>
      <c r="AC306" s="187">
        <f>IFERROR(IF(BetTable[Sport]="","",BetTable[R1]/BetTable[TS]),"")</f>
        <v>1.5099999999999998</v>
      </c>
      <c r="AD306" s="187" t="str">
        <f>IF(BetTable[O2]="","",#REF!/BetTable[TS])</f>
        <v/>
      </c>
      <c r="AE306" s="187" t="str">
        <f>IFERROR(IF(BetTable[Sport]="","",#REF!/BetTable[TS]),"")</f>
        <v/>
      </c>
      <c r="AF306" s="186">
        <f>IF(BetTable[Outcome]="Win",BetTable[WBA1-Commission],IF(BetTable[Outcome]="Win Half Stake",(BetTable[Stake]/2)+BetTable[WBA1-Commission]/2,IF(BetTable[Outcome]="Lose Half Stake",BetTable[Stake]/2,IF(BetTable[Outcome]="Lose",0,IF(BetTable[Outcome]="Void",BetTable[Stake],)))))</f>
        <v>0</v>
      </c>
      <c r="AG306" s="186">
        <f>IF(BetTable[Outcome2]="Win",BetTable[WBA2-Commission],IF(BetTable[Outcome2]="Win Half Stake",(BetTable[S2]/2)+BetTable[WBA2-Commission]/2,IF(BetTable[Outcome2]="Lose Half Stake",BetTable[S2]/2,IF(BetTable[Outcome2]="Lose",0,IF(BetTable[Outcome2]="Void",BetTable[S2],)))))</f>
        <v>0</v>
      </c>
      <c r="AH306" s="186">
        <f>IF(BetTable[Outcome3]="Win",BetTable[WBA3-Commission],IF(BetTable[Outcome3]="Win Half Stake",(BetTable[S3]/2)+BetTable[WBA3-Commission]/2,IF(BetTable[Outcome3]="Lose Half Stake",BetTable[S3]/2,IF(BetTable[Outcome3]="Lose",0,IF(BetTable[Outcome3]="Void",BetTable[S3],)))))</f>
        <v>0</v>
      </c>
      <c r="AI306" s="190">
        <f>IF(BetTable[Outcome]="",AI305,BetTable[Result]+AI305)</f>
        <v>493.14625000000024</v>
      </c>
      <c r="AJ306" s="182"/>
    </row>
    <row r="307" spans="1:36" x14ac:dyDescent="0.2">
      <c r="A307" s="181" t="s">
        <v>936</v>
      </c>
      <c r="B307" s="182" t="s">
        <v>9</v>
      </c>
      <c r="C307" s="183" t="s">
        <v>216</v>
      </c>
      <c r="D307" s="183"/>
      <c r="E307" s="183"/>
      <c r="F307" s="184"/>
      <c r="G307" s="184"/>
      <c r="H307" s="184"/>
      <c r="I307" s="182" t="s">
        <v>1029</v>
      </c>
      <c r="J307" s="185">
        <v>2.0499999999999998</v>
      </c>
      <c r="K307" s="185"/>
      <c r="L307" s="185"/>
      <c r="M307" s="186">
        <v>23</v>
      </c>
      <c r="N307" s="186"/>
      <c r="O307" s="186"/>
      <c r="P307" s="181" t="s">
        <v>769</v>
      </c>
      <c r="Q307" s="181" t="s">
        <v>1030</v>
      </c>
      <c r="R307" s="181" t="s">
        <v>1031</v>
      </c>
      <c r="S307" s="187">
        <v>2.01224494282435E-2</v>
      </c>
      <c r="T307" s="188" t="s">
        <v>372</v>
      </c>
      <c r="U307" s="188"/>
      <c r="V307" s="188"/>
      <c r="W307" s="189">
        <f>IF(BetTable[Sport]="","",BetTable[Stake]+BetTable[S2]+BetTable[S3])</f>
        <v>23</v>
      </c>
      <c r="X307" s="186">
        <f>IF(BetTable[Odds]="","",(BetTable[WBA1-Commission])-BetTable[TS])</f>
        <v>24.149999999999991</v>
      </c>
      <c r="Y307" s="190">
        <f>IF(BetTable[Outcome]="","",BetTable[WBA1]+BetTable[WBA2]+BetTable[WBA3]-BetTable[TS])</f>
        <v>24.149999999999991</v>
      </c>
      <c r="Z307" s="186">
        <f>(((BetTable[Odds]-1)*BetTable[Stake])*(1-(BetTable[Comm %]))+BetTable[Stake])</f>
        <v>47.149999999999991</v>
      </c>
      <c r="AA307" s="186">
        <f>(((BetTable[O2]-1)*BetTable[S2])*(1-(BetTable[C% 2]))+BetTable[S2])</f>
        <v>0</v>
      </c>
      <c r="AB307" s="186">
        <f>(((BetTable[O3]-1)*BetTable[S3])*(1-(BetTable[C% 3]))+BetTable[S3])</f>
        <v>0</v>
      </c>
      <c r="AC307" s="187">
        <f>IFERROR(IF(BetTable[Sport]="","",BetTable[R1]/BetTable[TS]),"")</f>
        <v>1.0499999999999996</v>
      </c>
      <c r="AD307" s="187" t="str">
        <f>IF(BetTable[O2]="","",#REF!/BetTable[TS])</f>
        <v/>
      </c>
      <c r="AE307" s="187" t="str">
        <f>IFERROR(IF(BetTable[Sport]="","",#REF!/BetTable[TS]),"")</f>
        <v/>
      </c>
      <c r="AF307" s="186">
        <f>IF(BetTable[Outcome]="Win",BetTable[WBA1-Commission],IF(BetTable[Outcome]="Win Half Stake",(BetTable[Stake]/2)+BetTable[WBA1-Commission]/2,IF(BetTable[Outcome]="Lose Half Stake",BetTable[Stake]/2,IF(BetTable[Outcome]="Lose",0,IF(BetTable[Outcome]="Void",BetTable[Stake],)))))</f>
        <v>47.149999999999991</v>
      </c>
      <c r="AG307" s="186">
        <f>IF(BetTable[Outcome2]="Win",BetTable[WBA2-Commission],IF(BetTable[Outcome2]="Win Half Stake",(BetTable[S2]/2)+BetTable[WBA2-Commission]/2,IF(BetTable[Outcome2]="Lose Half Stake",BetTable[S2]/2,IF(BetTable[Outcome2]="Lose",0,IF(BetTable[Outcome2]="Void",BetTable[S2],)))))</f>
        <v>0</v>
      </c>
      <c r="AH307" s="186">
        <f>IF(BetTable[Outcome3]="Win",BetTable[WBA3-Commission],IF(BetTable[Outcome3]="Win Half Stake",(BetTable[S3]/2)+BetTable[WBA3-Commission]/2,IF(BetTable[Outcome3]="Lose Half Stake",BetTable[S3]/2,IF(BetTable[Outcome3]="Lose",0,IF(BetTable[Outcome3]="Void",BetTable[S3],)))))</f>
        <v>0</v>
      </c>
      <c r="AI307" s="190">
        <f>IF(BetTable[Outcome]="",AI306,BetTable[Result]+AI306)</f>
        <v>517.29625000000021</v>
      </c>
      <c r="AJ307" s="182"/>
    </row>
    <row r="308" spans="1:36" x14ac:dyDescent="0.2">
      <c r="A308" s="181" t="s">
        <v>936</v>
      </c>
      <c r="B308" s="182" t="s">
        <v>200</v>
      </c>
      <c r="C308" s="183" t="s">
        <v>185</v>
      </c>
      <c r="D308" s="183"/>
      <c r="E308" s="183"/>
      <c r="F308" s="184"/>
      <c r="G308" s="184"/>
      <c r="H308" s="184"/>
      <c r="I308" s="182" t="s">
        <v>1032</v>
      </c>
      <c r="J308" s="185">
        <v>5</v>
      </c>
      <c r="K308" s="185"/>
      <c r="L308" s="185"/>
      <c r="M308" s="186">
        <v>7</v>
      </c>
      <c r="N308" s="186"/>
      <c r="O308" s="186"/>
      <c r="P308" s="181" t="s">
        <v>428</v>
      </c>
      <c r="Q308" s="181" t="s">
        <v>503</v>
      </c>
      <c r="R308" s="181" t="s">
        <v>1033</v>
      </c>
      <c r="S308" s="187">
        <v>5.30222896477201E-2</v>
      </c>
      <c r="T308" s="188" t="s">
        <v>382</v>
      </c>
      <c r="U308" s="188"/>
      <c r="V308" s="188"/>
      <c r="W308" s="189">
        <f>IF(BetTable[Sport]="","",BetTable[Stake]+BetTable[S2]+BetTable[S3])</f>
        <v>7</v>
      </c>
      <c r="X308" s="186">
        <f>IF(BetTable[Odds]="","",(BetTable[WBA1-Commission])-BetTable[TS])</f>
        <v>28</v>
      </c>
      <c r="Y308" s="190">
        <f>IF(BetTable[Outcome]="","",BetTable[WBA1]+BetTable[WBA2]+BetTable[WBA3]-BetTable[TS])</f>
        <v>-7</v>
      </c>
      <c r="Z308" s="186">
        <f>(((BetTable[Odds]-1)*BetTable[Stake])*(1-(BetTable[Comm %]))+BetTable[Stake])</f>
        <v>35</v>
      </c>
      <c r="AA308" s="186">
        <f>(((BetTable[O2]-1)*BetTable[S2])*(1-(BetTable[C% 2]))+BetTable[S2])</f>
        <v>0</v>
      </c>
      <c r="AB308" s="186">
        <f>(((BetTable[O3]-1)*BetTable[S3])*(1-(BetTable[C% 3]))+BetTable[S3])</f>
        <v>0</v>
      </c>
      <c r="AC308" s="187">
        <f>IFERROR(IF(BetTable[Sport]="","",BetTable[R1]/BetTable[TS]),"")</f>
        <v>4</v>
      </c>
      <c r="AD308" s="187" t="str">
        <f>IF(BetTable[O2]="","",#REF!/BetTable[TS])</f>
        <v/>
      </c>
      <c r="AE308" s="187" t="str">
        <f>IFERROR(IF(BetTable[Sport]="","",#REF!/BetTable[TS]),"")</f>
        <v/>
      </c>
      <c r="AF308" s="186">
        <f>IF(BetTable[Outcome]="Win",BetTable[WBA1-Commission],IF(BetTable[Outcome]="Win Half Stake",(BetTable[Stake]/2)+BetTable[WBA1-Commission]/2,IF(BetTable[Outcome]="Lose Half Stake",BetTable[Stake]/2,IF(BetTable[Outcome]="Lose",0,IF(BetTable[Outcome]="Void",BetTable[Stake],)))))</f>
        <v>0</v>
      </c>
      <c r="AG308" s="186">
        <f>IF(BetTable[Outcome2]="Win",BetTable[WBA2-Commission],IF(BetTable[Outcome2]="Win Half Stake",(BetTable[S2]/2)+BetTable[WBA2-Commission]/2,IF(BetTable[Outcome2]="Lose Half Stake",BetTable[S2]/2,IF(BetTable[Outcome2]="Lose",0,IF(BetTable[Outcome2]="Void",BetTable[S2],)))))</f>
        <v>0</v>
      </c>
      <c r="AH308" s="186">
        <f>IF(BetTable[Outcome3]="Win",BetTable[WBA3-Commission],IF(BetTable[Outcome3]="Win Half Stake",(BetTable[S3]/2)+BetTable[WBA3-Commission]/2,IF(BetTable[Outcome3]="Lose Half Stake",BetTable[S3]/2,IF(BetTable[Outcome3]="Lose",0,IF(BetTable[Outcome3]="Void",BetTable[S3],)))))</f>
        <v>0</v>
      </c>
      <c r="AI308" s="190">
        <f>IF(BetTable[Outcome]="",AI307,BetTable[Result]+AI307)</f>
        <v>510.29625000000021</v>
      </c>
      <c r="AJ308" s="182"/>
    </row>
    <row r="309" spans="1:36" x14ac:dyDescent="0.2">
      <c r="A309" s="181" t="s">
        <v>936</v>
      </c>
      <c r="B309" s="182" t="s">
        <v>200</v>
      </c>
      <c r="C309" s="161" t="s">
        <v>234</v>
      </c>
      <c r="D309" s="183"/>
      <c r="E309" s="183"/>
      <c r="F309" s="184"/>
      <c r="G309" s="184"/>
      <c r="H309" s="184"/>
      <c r="I309" s="182" t="s">
        <v>1018</v>
      </c>
      <c r="J309" s="185">
        <v>2.12</v>
      </c>
      <c r="K309" s="185"/>
      <c r="L309" s="185"/>
      <c r="M309" s="186">
        <v>21</v>
      </c>
      <c r="N309" s="186"/>
      <c r="O309" s="186"/>
      <c r="P309" s="181" t="s">
        <v>348</v>
      </c>
      <c r="Q309" s="181" t="s">
        <v>474</v>
      </c>
      <c r="R309" s="181" t="s">
        <v>1034</v>
      </c>
      <c r="S309" s="187">
        <v>1.9650676168141801E-2</v>
      </c>
      <c r="T309" s="188" t="s">
        <v>383</v>
      </c>
      <c r="U309" s="188"/>
      <c r="V309" s="188"/>
      <c r="W309" s="189">
        <f>IF(BetTable[Sport]="","",BetTable[Stake]+BetTable[S2]+BetTable[S3])</f>
        <v>21</v>
      </c>
      <c r="X309" s="186">
        <f>IF(BetTable[Odds]="","",(BetTable[WBA1-Commission])-BetTable[TS])</f>
        <v>23.520000000000003</v>
      </c>
      <c r="Y309" s="190">
        <f>IF(BetTable[Outcome]="","",BetTable[WBA1]+BetTable[WBA2]+BetTable[WBA3]-BetTable[TS])</f>
        <v>0</v>
      </c>
      <c r="Z309" s="186">
        <f>(((BetTable[Odds]-1)*BetTable[Stake])*(1-(BetTable[Comm %]))+BetTable[Stake])</f>
        <v>44.52</v>
      </c>
      <c r="AA309" s="186">
        <f>(((BetTable[O2]-1)*BetTable[S2])*(1-(BetTable[C% 2]))+BetTable[S2])</f>
        <v>0</v>
      </c>
      <c r="AB309" s="186">
        <f>(((BetTable[O3]-1)*BetTable[S3])*(1-(BetTable[C% 3]))+BetTable[S3])</f>
        <v>0</v>
      </c>
      <c r="AC309" s="187">
        <f>IFERROR(IF(BetTable[Sport]="","",BetTable[R1]/BetTable[TS]),"")</f>
        <v>1.1200000000000001</v>
      </c>
      <c r="AD309" s="187" t="str">
        <f>IF(BetTable[O2]="","",#REF!/BetTable[TS])</f>
        <v/>
      </c>
      <c r="AE309" s="187" t="str">
        <f>IFERROR(IF(BetTable[Sport]="","",#REF!/BetTable[TS]),"")</f>
        <v/>
      </c>
      <c r="AF309" s="186">
        <f>IF(BetTable[Outcome]="Win",BetTable[WBA1-Commission],IF(BetTable[Outcome]="Win Half Stake",(BetTable[Stake]/2)+BetTable[WBA1-Commission]/2,IF(BetTable[Outcome]="Lose Half Stake",BetTable[Stake]/2,IF(BetTable[Outcome]="Lose",0,IF(BetTable[Outcome]="Void",BetTable[Stake],)))))</f>
        <v>21</v>
      </c>
      <c r="AG309" s="186">
        <f>IF(BetTable[Outcome2]="Win",BetTable[WBA2-Commission],IF(BetTable[Outcome2]="Win Half Stake",(BetTable[S2]/2)+BetTable[WBA2-Commission]/2,IF(BetTable[Outcome2]="Lose Half Stake",BetTable[S2]/2,IF(BetTable[Outcome2]="Lose",0,IF(BetTable[Outcome2]="Void",BetTable[S2],)))))</f>
        <v>0</v>
      </c>
      <c r="AH309" s="186">
        <f>IF(BetTable[Outcome3]="Win",BetTable[WBA3-Commission],IF(BetTable[Outcome3]="Win Half Stake",(BetTable[S3]/2)+BetTable[WBA3-Commission]/2,IF(BetTable[Outcome3]="Lose Half Stake",BetTable[S3]/2,IF(BetTable[Outcome3]="Lose",0,IF(BetTable[Outcome3]="Void",BetTable[S3],)))))</f>
        <v>0</v>
      </c>
      <c r="AI309" s="190">
        <f>IF(BetTable[Outcome]="",AI308,BetTable[Result]+AI308)</f>
        <v>510.29625000000021</v>
      </c>
      <c r="AJ309" s="182"/>
    </row>
    <row r="310" spans="1:36" x14ac:dyDescent="0.2">
      <c r="A310" s="159" t="s">
        <v>936</v>
      </c>
      <c r="B310" s="160" t="s">
        <v>200</v>
      </c>
      <c r="C310" s="161" t="s">
        <v>234</v>
      </c>
      <c r="D310" s="161"/>
      <c r="E310" s="161"/>
      <c r="F310" s="162"/>
      <c r="G310" s="162"/>
      <c r="H310" s="162"/>
      <c r="I310" s="160" t="s">
        <v>938</v>
      </c>
      <c r="J310" s="163">
        <v>5.8</v>
      </c>
      <c r="K310" s="163"/>
      <c r="L310" s="163"/>
      <c r="M310" s="164">
        <v>5</v>
      </c>
      <c r="N310" s="164"/>
      <c r="O310" s="164"/>
      <c r="P310" s="159" t="s">
        <v>442</v>
      </c>
      <c r="Q310" s="159" t="s">
        <v>547</v>
      </c>
      <c r="R310" s="159" t="s">
        <v>1035</v>
      </c>
      <c r="S310" s="165">
        <v>2.01084476653384E-2</v>
      </c>
      <c r="T310" s="166" t="s">
        <v>372</v>
      </c>
      <c r="U310" s="166"/>
      <c r="V310" s="166"/>
      <c r="W310" s="167">
        <f>IF(BetTable[Sport]="","",BetTable[Stake]+BetTable[S2]+BetTable[S3])</f>
        <v>5</v>
      </c>
      <c r="X310" s="164">
        <f>IF(BetTable[Odds]="","",(BetTable[WBA1-Commission])-BetTable[TS])</f>
        <v>24</v>
      </c>
      <c r="Y310" s="168">
        <f>IF(BetTable[Outcome]="","",BetTable[WBA1]+BetTable[WBA2]+BetTable[WBA3]-BetTable[TS])</f>
        <v>24</v>
      </c>
      <c r="Z310" s="164">
        <f>(((BetTable[Odds]-1)*BetTable[Stake])*(1-(BetTable[Comm %]))+BetTable[Stake])</f>
        <v>29</v>
      </c>
      <c r="AA310" s="164">
        <f>(((BetTable[O2]-1)*BetTable[S2])*(1-(BetTable[C% 2]))+BetTable[S2])</f>
        <v>0</v>
      </c>
      <c r="AB310" s="164">
        <f>(((BetTable[O3]-1)*BetTable[S3])*(1-(BetTable[C% 3]))+BetTable[S3])</f>
        <v>0</v>
      </c>
      <c r="AC310" s="165">
        <f>IFERROR(IF(BetTable[Sport]="","",BetTable[R1]/BetTable[TS]),"")</f>
        <v>4.8</v>
      </c>
      <c r="AD310" s="165" t="str">
        <f>IF(BetTable[O2]="","",#REF!/BetTable[TS])</f>
        <v/>
      </c>
      <c r="AE310" s="165" t="str">
        <f>IFERROR(IF(BetTable[Sport]="","",#REF!/BetTable[TS]),"")</f>
        <v/>
      </c>
      <c r="AF310" s="164">
        <f>IF(BetTable[Outcome]="Win",BetTable[WBA1-Commission],IF(BetTable[Outcome]="Win Half Stake",(BetTable[Stake]/2)+BetTable[WBA1-Commission]/2,IF(BetTable[Outcome]="Lose Half Stake",BetTable[Stake]/2,IF(BetTable[Outcome]="Lose",0,IF(BetTable[Outcome]="Void",BetTable[Stake],)))))</f>
        <v>29</v>
      </c>
      <c r="AG310" s="164">
        <f>IF(BetTable[Outcome2]="Win",BetTable[WBA2-Commission],IF(BetTable[Outcome2]="Win Half Stake",(BetTable[S2]/2)+BetTable[WBA2-Commission]/2,IF(BetTable[Outcome2]="Lose Half Stake",BetTable[S2]/2,IF(BetTable[Outcome2]="Lose",0,IF(BetTable[Outcome2]="Void",BetTable[S2],)))))</f>
        <v>0</v>
      </c>
      <c r="AH310" s="164">
        <f>IF(BetTable[Outcome3]="Win",BetTable[WBA3-Commission],IF(BetTable[Outcome3]="Win Half Stake",(BetTable[S3]/2)+BetTable[WBA3-Commission]/2,IF(BetTable[Outcome3]="Lose Half Stake",BetTable[S3]/2,IF(BetTable[Outcome3]="Lose",0,IF(BetTable[Outcome3]="Void",BetTable[S3],)))))</f>
        <v>0</v>
      </c>
      <c r="AI310" s="168">
        <f>IF(BetTable[Outcome]="",AI309,BetTable[Result]+AI309)</f>
        <v>534.29625000000021</v>
      </c>
      <c r="AJ310" s="160"/>
    </row>
    <row r="311" spans="1:36" x14ac:dyDescent="0.2">
      <c r="A311" s="159" t="s">
        <v>936</v>
      </c>
      <c r="B311" s="160" t="s">
        <v>200</v>
      </c>
      <c r="C311" s="161" t="s">
        <v>234</v>
      </c>
      <c r="D311" s="161"/>
      <c r="E311" s="161"/>
      <c r="F311" s="162"/>
      <c r="G311" s="162"/>
      <c r="H311" s="162"/>
      <c r="I311" s="160" t="s">
        <v>938</v>
      </c>
      <c r="J311" s="163">
        <v>4.4000000000000004</v>
      </c>
      <c r="K311" s="163"/>
      <c r="L311" s="163"/>
      <c r="M311" s="164">
        <v>6</v>
      </c>
      <c r="N311" s="164"/>
      <c r="O311" s="164"/>
      <c r="P311" s="159" t="s">
        <v>494</v>
      </c>
      <c r="Q311" s="159" t="s">
        <v>547</v>
      </c>
      <c r="R311" s="159" t="s">
        <v>1036</v>
      </c>
      <c r="S311" s="165">
        <v>1.6248369207472999E-2</v>
      </c>
      <c r="T311" s="166" t="s">
        <v>372</v>
      </c>
      <c r="U311" s="166"/>
      <c r="V311" s="166"/>
      <c r="W311" s="167">
        <f>IF(BetTable[Sport]="","",BetTable[Stake]+BetTable[S2]+BetTable[S3])</f>
        <v>6</v>
      </c>
      <c r="X311" s="164">
        <f>IF(BetTable[Odds]="","",(BetTable[WBA1-Commission])-BetTable[TS])</f>
        <v>20.400000000000002</v>
      </c>
      <c r="Y311" s="168">
        <f>IF(BetTable[Outcome]="","",BetTable[WBA1]+BetTable[WBA2]+BetTable[WBA3]-BetTable[TS])</f>
        <v>20.400000000000002</v>
      </c>
      <c r="Z311" s="164">
        <f>(((BetTable[Odds]-1)*BetTable[Stake])*(1-(BetTable[Comm %]))+BetTable[Stake])</f>
        <v>26.400000000000002</v>
      </c>
      <c r="AA311" s="164">
        <f>(((BetTable[O2]-1)*BetTable[S2])*(1-(BetTable[C% 2]))+BetTable[S2])</f>
        <v>0</v>
      </c>
      <c r="AB311" s="164">
        <f>(((BetTable[O3]-1)*BetTable[S3])*(1-(BetTable[C% 3]))+BetTable[S3])</f>
        <v>0</v>
      </c>
      <c r="AC311" s="165">
        <f>IFERROR(IF(BetTable[Sport]="","",BetTable[R1]/BetTable[TS]),"")</f>
        <v>3.4000000000000004</v>
      </c>
      <c r="AD311" s="165" t="str">
        <f>IF(BetTable[O2]="","",#REF!/BetTable[TS])</f>
        <v/>
      </c>
      <c r="AE311" s="165" t="str">
        <f>IFERROR(IF(BetTable[Sport]="","",#REF!/BetTable[TS]),"")</f>
        <v/>
      </c>
      <c r="AF311" s="164">
        <f>IF(BetTable[Outcome]="Win",BetTable[WBA1-Commission],IF(BetTable[Outcome]="Win Half Stake",(BetTable[Stake]/2)+BetTable[WBA1-Commission]/2,IF(BetTable[Outcome]="Lose Half Stake",BetTable[Stake]/2,IF(BetTable[Outcome]="Lose",0,IF(BetTable[Outcome]="Void",BetTable[Stake],)))))</f>
        <v>26.400000000000002</v>
      </c>
      <c r="AG311" s="164">
        <f>IF(BetTable[Outcome2]="Win",BetTable[WBA2-Commission],IF(BetTable[Outcome2]="Win Half Stake",(BetTable[S2]/2)+BetTable[WBA2-Commission]/2,IF(BetTable[Outcome2]="Lose Half Stake",BetTable[S2]/2,IF(BetTable[Outcome2]="Lose",0,IF(BetTable[Outcome2]="Void",BetTable[S2],)))))</f>
        <v>0</v>
      </c>
      <c r="AH311" s="164">
        <f>IF(BetTable[Outcome3]="Win",BetTable[WBA3-Commission],IF(BetTable[Outcome3]="Win Half Stake",(BetTable[S3]/2)+BetTable[WBA3-Commission]/2,IF(BetTable[Outcome3]="Lose Half Stake",BetTable[S3]/2,IF(BetTable[Outcome3]="Lose",0,IF(BetTable[Outcome3]="Void",BetTable[S3],)))))</f>
        <v>0</v>
      </c>
      <c r="AI311" s="168">
        <f>IF(BetTable[Outcome]="",AI310,BetTable[Result]+AI310)</f>
        <v>554.69625000000019</v>
      </c>
      <c r="AJ311" s="160"/>
    </row>
    <row r="312" spans="1:36" x14ac:dyDescent="0.2">
      <c r="A312" s="159" t="s">
        <v>936</v>
      </c>
      <c r="B312" s="160" t="s">
        <v>9</v>
      </c>
      <c r="C312" s="161" t="s">
        <v>91</v>
      </c>
      <c r="D312" s="161"/>
      <c r="E312" s="161"/>
      <c r="F312" s="162"/>
      <c r="G312" s="162"/>
      <c r="H312" s="162"/>
      <c r="I312" s="160" t="s">
        <v>1037</v>
      </c>
      <c r="J312" s="163">
        <v>1.95</v>
      </c>
      <c r="K312" s="163"/>
      <c r="L312" s="163"/>
      <c r="M312" s="164">
        <v>33</v>
      </c>
      <c r="N312" s="164"/>
      <c r="O312" s="164"/>
      <c r="P312" s="159" t="s">
        <v>469</v>
      </c>
      <c r="Q312" s="159" t="s">
        <v>818</v>
      </c>
      <c r="R312" s="159" t="s">
        <v>1038</v>
      </c>
      <c r="S312" s="165">
        <v>2.5736811472048898E-2</v>
      </c>
      <c r="T312" s="166" t="s">
        <v>372</v>
      </c>
      <c r="U312" s="166"/>
      <c r="V312" s="166"/>
      <c r="W312" s="167">
        <f>IF(BetTable[Sport]="","",BetTable[Stake]+BetTable[S2]+BetTable[S3])</f>
        <v>33</v>
      </c>
      <c r="X312" s="164">
        <f>IF(BetTable[Odds]="","",(BetTable[WBA1-Commission])-BetTable[TS])</f>
        <v>31.349999999999994</v>
      </c>
      <c r="Y312" s="168">
        <f>IF(BetTable[Outcome]="","",BetTable[WBA1]+BetTable[WBA2]+BetTable[WBA3]-BetTable[TS])</f>
        <v>31.349999999999994</v>
      </c>
      <c r="Z312" s="164">
        <f>(((BetTable[Odds]-1)*BetTable[Stake])*(1-(BetTable[Comm %]))+BetTable[Stake])</f>
        <v>64.349999999999994</v>
      </c>
      <c r="AA312" s="164">
        <f>(((BetTable[O2]-1)*BetTable[S2])*(1-(BetTable[C% 2]))+BetTable[S2])</f>
        <v>0</v>
      </c>
      <c r="AB312" s="164">
        <f>(((BetTable[O3]-1)*BetTable[S3])*(1-(BetTable[C% 3]))+BetTable[S3])</f>
        <v>0</v>
      </c>
      <c r="AC312" s="165">
        <f>IFERROR(IF(BetTable[Sport]="","",BetTable[R1]/BetTable[TS]),"")</f>
        <v>0.94999999999999984</v>
      </c>
      <c r="AD312" s="165" t="str">
        <f>IF(BetTable[O2]="","",#REF!/BetTable[TS])</f>
        <v/>
      </c>
      <c r="AE312" s="165" t="str">
        <f>IFERROR(IF(BetTable[Sport]="","",#REF!/BetTable[TS]),"")</f>
        <v/>
      </c>
      <c r="AF312" s="164">
        <f>IF(BetTable[Outcome]="Win",BetTable[WBA1-Commission],IF(BetTable[Outcome]="Win Half Stake",(BetTable[Stake]/2)+BetTable[WBA1-Commission]/2,IF(BetTable[Outcome]="Lose Half Stake",BetTable[Stake]/2,IF(BetTable[Outcome]="Lose",0,IF(BetTable[Outcome]="Void",BetTable[Stake],)))))</f>
        <v>64.349999999999994</v>
      </c>
      <c r="AG312" s="164">
        <f>IF(BetTable[Outcome2]="Win",BetTable[WBA2-Commission],IF(BetTable[Outcome2]="Win Half Stake",(BetTable[S2]/2)+BetTable[WBA2-Commission]/2,IF(BetTable[Outcome2]="Lose Half Stake",BetTable[S2]/2,IF(BetTable[Outcome2]="Lose",0,IF(BetTable[Outcome2]="Void",BetTable[S2],)))))</f>
        <v>0</v>
      </c>
      <c r="AH312" s="164">
        <f>IF(BetTable[Outcome3]="Win",BetTable[WBA3-Commission],IF(BetTable[Outcome3]="Win Half Stake",(BetTable[S3]/2)+BetTable[WBA3-Commission]/2,IF(BetTable[Outcome3]="Lose Half Stake",BetTable[S3]/2,IF(BetTable[Outcome3]="Lose",0,IF(BetTable[Outcome3]="Void",BetTable[S3],)))))</f>
        <v>0</v>
      </c>
      <c r="AI312" s="168">
        <f>IF(BetTable[Outcome]="",AI311,BetTable[Result]+AI311)</f>
        <v>586.04625000000021</v>
      </c>
      <c r="AJ312" s="160"/>
    </row>
    <row r="313" spans="1:36" x14ac:dyDescent="0.2">
      <c r="A313" s="159" t="s">
        <v>936</v>
      </c>
      <c r="B313" s="160" t="s">
        <v>200</v>
      </c>
      <c r="C313" s="161" t="s">
        <v>234</v>
      </c>
      <c r="D313" s="161"/>
      <c r="E313" s="161"/>
      <c r="F313" s="162"/>
      <c r="G313" s="162"/>
      <c r="H313" s="162"/>
      <c r="I313" s="160" t="s">
        <v>1039</v>
      </c>
      <c r="J313" s="163">
        <v>1.88</v>
      </c>
      <c r="K313" s="163"/>
      <c r="L313" s="163"/>
      <c r="M313" s="164">
        <v>17</v>
      </c>
      <c r="N313" s="164"/>
      <c r="O313" s="164"/>
      <c r="P313" s="159" t="s">
        <v>348</v>
      </c>
      <c r="Q313" s="159" t="s">
        <v>581</v>
      </c>
      <c r="R313" s="159" t="s">
        <v>1040</v>
      </c>
      <c r="S313" s="165">
        <v>1.2767993462224E-2</v>
      </c>
      <c r="T313" s="166" t="s">
        <v>382</v>
      </c>
      <c r="U313" s="166"/>
      <c r="V313" s="166"/>
      <c r="W313" s="167">
        <f>IF(BetTable[Sport]="","",BetTable[Stake]+BetTable[S2]+BetTable[S3])</f>
        <v>17</v>
      </c>
      <c r="X313" s="164">
        <f>IF(BetTable[Odds]="","",(BetTable[WBA1-Commission])-BetTable[TS])</f>
        <v>14.959999999999997</v>
      </c>
      <c r="Y313" s="168">
        <f>IF(BetTable[Outcome]="","",BetTable[WBA1]+BetTable[WBA2]+BetTable[WBA3]-BetTable[TS])</f>
        <v>-17</v>
      </c>
      <c r="Z313" s="164">
        <f>(((BetTable[Odds]-1)*BetTable[Stake])*(1-(BetTable[Comm %]))+BetTable[Stake])</f>
        <v>31.959999999999997</v>
      </c>
      <c r="AA313" s="164">
        <f>(((BetTable[O2]-1)*BetTable[S2])*(1-(BetTable[C% 2]))+BetTable[S2])</f>
        <v>0</v>
      </c>
      <c r="AB313" s="164">
        <f>(((BetTable[O3]-1)*BetTable[S3])*(1-(BetTable[C% 3]))+BetTable[S3])</f>
        <v>0</v>
      </c>
      <c r="AC313" s="165">
        <f>IFERROR(IF(BetTable[Sport]="","",BetTable[R1]/BetTable[TS]),"")</f>
        <v>0.87999999999999989</v>
      </c>
      <c r="AD313" s="165" t="str">
        <f>IF(BetTable[O2]="","",#REF!/BetTable[TS])</f>
        <v/>
      </c>
      <c r="AE313" s="165" t="str">
        <f>IFERROR(IF(BetTable[Sport]="","",#REF!/BetTable[TS]),"")</f>
        <v/>
      </c>
      <c r="AF313" s="164">
        <f>IF(BetTable[Outcome]="Win",BetTable[WBA1-Commission],IF(BetTable[Outcome]="Win Half Stake",(BetTable[Stake]/2)+BetTable[WBA1-Commission]/2,IF(BetTable[Outcome]="Lose Half Stake",BetTable[Stake]/2,IF(BetTable[Outcome]="Lose",0,IF(BetTable[Outcome]="Void",BetTable[Stake],)))))</f>
        <v>0</v>
      </c>
      <c r="AG313" s="164">
        <f>IF(BetTable[Outcome2]="Win",BetTable[WBA2-Commission],IF(BetTable[Outcome2]="Win Half Stake",(BetTable[S2]/2)+BetTable[WBA2-Commission]/2,IF(BetTable[Outcome2]="Lose Half Stake",BetTable[S2]/2,IF(BetTable[Outcome2]="Lose",0,IF(BetTable[Outcome2]="Void",BetTable[S2],)))))</f>
        <v>0</v>
      </c>
      <c r="AH313" s="164">
        <f>IF(BetTable[Outcome3]="Win",BetTable[WBA3-Commission],IF(BetTable[Outcome3]="Win Half Stake",(BetTable[S3]/2)+BetTable[WBA3-Commission]/2,IF(BetTable[Outcome3]="Lose Half Stake",BetTable[S3]/2,IF(BetTable[Outcome3]="Lose",0,IF(BetTable[Outcome3]="Void",BetTable[S3],)))))</f>
        <v>0</v>
      </c>
      <c r="AI313" s="168">
        <f>IF(BetTable[Outcome]="",AI312,BetTable[Result]+AI312)</f>
        <v>569.04625000000021</v>
      </c>
      <c r="AJ313" s="160"/>
    </row>
    <row r="314" spans="1:36" x14ac:dyDescent="0.2">
      <c r="A314" s="181" t="s">
        <v>936</v>
      </c>
      <c r="B314" s="182" t="s">
        <v>201</v>
      </c>
      <c r="C314" s="183" t="s">
        <v>91</v>
      </c>
      <c r="D314" s="183"/>
      <c r="E314" s="183"/>
      <c r="F314" s="184"/>
      <c r="G314" s="184"/>
      <c r="H314" s="184"/>
      <c r="I314" s="182" t="s">
        <v>962</v>
      </c>
      <c r="J314" s="185">
        <v>1.85</v>
      </c>
      <c r="K314" s="185"/>
      <c r="L314" s="185"/>
      <c r="M314" s="186">
        <v>30</v>
      </c>
      <c r="N314" s="186"/>
      <c r="O314" s="186"/>
      <c r="P314" s="181" t="s">
        <v>1041</v>
      </c>
      <c r="Q314" s="181" t="s">
        <v>1042</v>
      </c>
      <c r="R314" s="181" t="s">
        <v>1043</v>
      </c>
      <c r="S314" s="187">
        <v>2.1325995490091301E-2</v>
      </c>
      <c r="T314" s="188" t="s">
        <v>382</v>
      </c>
      <c r="U314" s="188"/>
      <c r="V314" s="188"/>
      <c r="W314" s="189">
        <f>IF(BetTable[Sport]="","",BetTable[Stake]+BetTable[S2]+BetTable[S3])</f>
        <v>30</v>
      </c>
      <c r="X314" s="186">
        <f>IF(BetTable[Odds]="","",(BetTable[WBA1-Commission])-BetTable[TS])</f>
        <v>25.5</v>
      </c>
      <c r="Y314" s="190">
        <f>IF(BetTable[Outcome]="","",BetTable[WBA1]+BetTable[WBA2]+BetTable[WBA3]-BetTable[TS])</f>
        <v>-30</v>
      </c>
      <c r="Z314" s="186">
        <f>(((BetTable[Odds]-1)*BetTable[Stake])*(1-(BetTable[Comm %]))+BetTable[Stake])</f>
        <v>55.5</v>
      </c>
      <c r="AA314" s="186">
        <f>(((BetTable[O2]-1)*BetTable[S2])*(1-(BetTable[C% 2]))+BetTable[S2])</f>
        <v>0</v>
      </c>
      <c r="AB314" s="186">
        <f>(((BetTable[O3]-1)*BetTable[S3])*(1-(BetTable[C% 3]))+BetTable[S3])</f>
        <v>0</v>
      </c>
      <c r="AC314" s="187">
        <f>IFERROR(IF(BetTable[Sport]="","",BetTable[R1]/BetTable[TS]),"")</f>
        <v>0.85</v>
      </c>
      <c r="AD314" s="187" t="str">
        <f>IF(BetTable[O2]="","",#REF!/BetTable[TS])</f>
        <v/>
      </c>
      <c r="AE314" s="187" t="str">
        <f>IFERROR(IF(BetTable[Sport]="","",#REF!/BetTable[TS]),"")</f>
        <v/>
      </c>
      <c r="AF314" s="186">
        <f>IF(BetTable[Outcome]="Win",BetTable[WBA1-Commission],IF(BetTable[Outcome]="Win Half Stake",(BetTable[Stake]/2)+BetTable[WBA1-Commission]/2,IF(BetTable[Outcome]="Lose Half Stake",BetTable[Stake]/2,IF(BetTable[Outcome]="Lose",0,IF(BetTable[Outcome]="Void",BetTable[Stake],)))))</f>
        <v>0</v>
      </c>
      <c r="AG314" s="186">
        <f>IF(BetTable[Outcome2]="Win",BetTable[WBA2-Commission],IF(BetTable[Outcome2]="Win Half Stake",(BetTable[S2]/2)+BetTable[WBA2-Commission]/2,IF(BetTable[Outcome2]="Lose Half Stake",BetTable[S2]/2,IF(BetTable[Outcome2]="Lose",0,IF(BetTable[Outcome2]="Void",BetTable[S2],)))))</f>
        <v>0</v>
      </c>
      <c r="AH314" s="186">
        <f>IF(BetTable[Outcome3]="Win",BetTable[WBA3-Commission],IF(BetTable[Outcome3]="Win Half Stake",(BetTable[S3]/2)+BetTable[WBA3-Commission]/2,IF(BetTable[Outcome3]="Lose Half Stake",BetTable[S3]/2,IF(BetTable[Outcome3]="Lose",0,IF(BetTable[Outcome3]="Void",BetTable[S3],)))))</f>
        <v>0</v>
      </c>
      <c r="AI314" s="190">
        <f>IF(BetTable[Outcome]="",AI313,BetTable[Result]+AI313)</f>
        <v>539.04625000000021</v>
      </c>
      <c r="AJ314" s="182"/>
    </row>
    <row r="315" spans="1:36" x14ac:dyDescent="0.2">
      <c r="A315" s="181" t="s">
        <v>936</v>
      </c>
      <c r="B315" s="182" t="s">
        <v>9</v>
      </c>
      <c r="C315" s="183" t="s">
        <v>216</v>
      </c>
      <c r="D315" s="183"/>
      <c r="E315" s="183"/>
      <c r="F315" s="184"/>
      <c r="G315" s="184"/>
      <c r="H315" s="184"/>
      <c r="I315" s="182" t="s">
        <v>1029</v>
      </c>
      <c r="J315" s="185">
        <v>3.55</v>
      </c>
      <c r="K315" s="185"/>
      <c r="L315" s="185"/>
      <c r="M315" s="186">
        <v>22</v>
      </c>
      <c r="N315" s="186"/>
      <c r="O315" s="186"/>
      <c r="P315" s="181" t="s">
        <v>1044</v>
      </c>
      <c r="Q315" s="181" t="s">
        <v>1030</v>
      </c>
      <c r="R315" s="181" t="s">
        <v>1045</v>
      </c>
      <c r="S315" s="187">
        <v>4.6822031413777498E-2</v>
      </c>
      <c r="T315" s="188" t="s">
        <v>372</v>
      </c>
      <c r="U315" s="188"/>
      <c r="V315" s="188"/>
      <c r="W315" s="189">
        <f>IF(BetTable[Sport]="","",BetTable[Stake]+BetTable[S2]+BetTable[S3])</f>
        <v>22</v>
      </c>
      <c r="X315" s="186">
        <f>IF(BetTable[Odds]="","",(BetTable[WBA1-Commission])-BetTable[TS])</f>
        <v>56.099999999999994</v>
      </c>
      <c r="Y315" s="190">
        <f>IF(BetTable[Outcome]="","",BetTable[WBA1]+BetTable[WBA2]+BetTable[WBA3]-BetTable[TS])</f>
        <v>56.099999999999994</v>
      </c>
      <c r="Z315" s="186">
        <f>(((BetTable[Odds]-1)*BetTable[Stake])*(1-(BetTable[Comm %]))+BetTable[Stake])</f>
        <v>78.099999999999994</v>
      </c>
      <c r="AA315" s="186">
        <f>(((BetTable[O2]-1)*BetTable[S2])*(1-(BetTable[C% 2]))+BetTable[S2])</f>
        <v>0</v>
      </c>
      <c r="AB315" s="186">
        <f>(((BetTable[O3]-1)*BetTable[S3])*(1-(BetTable[C% 3]))+BetTable[S3])</f>
        <v>0</v>
      </c>
      <c r="AC315" s="187">
        <f>IFERROR(IF(BetTable[Sport]="","",BetTable[R1]/BetTable[TS]),"")</f>
        <v>2.5499999999999998</v>
      </c>
      <c r="AD315" s="187" t="str">
        <f>IF(BetTable[O2]="","",#REF!/BetTable[TS])</f>
        <v/>
      </c>
      <c r="AE315" s="187" t="str">
        <f>IFERROR(IF(BetTable[Sport]="","",#REF!/BetTable[TS]),"")</f>
        <v/>
      </c>
      <c r="AF315" s="186">
        <f>IF(BetTable[Outcome]="Win",BetTable[WBA1-Commission],IF(BetTable[Outcome]="Win Half Stake",(BetTable[Stake]/2)+BetTable[WBA1-Commission]/2,IF(BetTable[Outcome]="Lose Half Stake",BetTable[Stake]/2,IF(BetTable[Outcome]="Lose",0,IF(BetTable[Outcome]="Void",BetTable[Stake],)))))</f>
        <v>78.099999999999994</v>
      </c>
      <c r="AG315" s="186">
        <f>IF(BetTable[Outcome2]="Win",BetTable[WBA2-Commission],IF(BetTable[Outcome2]="Win Half Stake",(BetTable[S2]/2)+BetTable[WBA2-Commission]/2,IF(BetTable[Outcome2]="Lose Half Stake",BetTable[S2]/2,IF(BetTable[Outcome2]="Lose",0,IF(BetTable[Outcome2]="Void",BetTable[S2],)))))</f>
        <v>0</v>
      </c>
      <c r="AH315" s="186">
        <f>IF(BetTable[Outcome3]="Win",BetTable[WBA3-Commission],IF(BetTable[Outcome3]="Win Half Stake",(BetTable[S3]/2)+BetTable[WBA3-Commission]/2,IF(BetTable[Outcome3]="Lose Half Stake",BetTable[S3]/2,IF(BetTable[Outcome3]="Lose",0,IF(BetTable[Outcome3]="Void",BetTable[S3],)))))</f>
        <v>0</v>
      </c>
      <c r="AI315" s="190">
        <f>IF(BetTable[Outcome]="",AI314,BetTable[Result]+AI314)</f>
        <v>595.14625000000024</v>
      </c>
      <c r="AJ315" s="182"/>
    </row>
    <row r="316" spans="1:36" x14ac:dyDescent="0.2">
      <c r="A316" s="181" t="s">
        <v>936</v>
      </c>
      <c r="B316" s="182" t="s">
        <v>200</v>
      </c>
      <c r="C316" s="183" t="s">
        <v>216</v>
      </c>
      <c r="D316" s="183"/>
      <c r="E316" s="183"/>
      <c r="F316" s="184"/>
      <c r="G316" s="184"/>
      <c r="H316" s="184"/>
      <c r="I316" s="182" t="s">
        <v>1046</v>
      </c>
      <c r="J316" s="185">
        <v>1.746</v>
      </c>
      <c r="K316" s="185"/>
      <c r="L316" s="185"/>
      <c r="M316" s="186">
        <v>23</v>
      </c>
      <c r="N316" s="186"/>
      <c r="O316" s="186"/>
      <c r="P316" s="181" t="s">
        <v>791</v>
      </c>
      <c r="Q316" s="181" t="s">
        <v>474</v>
      </c>
      <c r="R316" s="181" t="s">
        <v>1047</v>
      </c>
      <c r="S316" s="187">
        <v>1.4175176655550801E-2</v>
      </c>
      <c r="T316" s="188" t="s">
        <v>372</v>
      </c>
      <c r="U316" s="188"/>
      <c r="V316" s="188"/>
      <c r="W316" s="189">
        <f>IF(BetTable[Sport]="","",BetTable[Stake]+BetTable[S2]+BetTable[S3])</f>
        <v>23</v>
      </c>
      <c r="X316" s="186">
        <f>IF(BetTable[Odds]="","",(BetTable[WBA1-Commission])-BetTable[TS])</f>
        <v>17.158000000000001</v>
      </c>
      <c r="Y316" s="190">
        <f>IF(BetTable[Outcome]="","",BetTable[WBA1]+BetTable[WBA2]+BetTable[WBA3]-BetTable[TS])</f>
        <v>17.158000000000001</v>
      </c>
      <c r="Z316" s="186">
        <f>(((BetTable[Odds]-1)*BetTable[Stake])*(1-(BetTable[Comm %]))+BetTable[Stake])</f>
        <v>40.158000000000001</v>
      </c>
      <c r="AA316" s="186">
        <f>(((BetTable[O2]-1)*BetTable[S2])*(1-(BetTable[C% 2]))+BetTable[S2])</f>
        <v>0</v>
      </c>
      <c r="AB316" s="186">
        <f>(((BetTable[O3]-1)*BetTable[S3])*(1-(BetTable[C% 3]))+BetTable[S3])</f>
        <v>0</v>
      </c>
      <c r="AC316" s="187">
        <f>IFERROR(IF(BetTable[Sport]="","",BetTable[R1]/BetTable[TS]),"")</f>
        <v>0.74600000000000011</v>
      </c>
      <c r="AD316" s="187" t="str">
        <f>IF(BetTable[O2]="","",#REF!/BetTable[TS])</f>
        <v/>
      </c>
      <c r="AE316" s="187" t="str">
        <f>IFERROR(IF(BetTable[Sport]="","",#REF!/BetTable[TS]),"")</f>
        <v/>
      </c>
      <c r="AF316" s="186">
        <f>IF(BetTable[Outcome]="Win",BetTable[WBA1-Commission],IF(BetTable[Outcome]="Win Half Stake",(BetTable[Stake]/2)+BetTable[WBA1-Commission]/2,IF(BetTable[Outcome]="Lose Half Stake",BetTable[Stake]/2,IF(BetTable[Outcome]="Lose",0,IF(BetTable[Outcome]="Void",BetTable[Stake],)))))</f>
        <v>40.158000000000001</v>
      </c>
      <c r="AG316" s="186">
        <f>IF(BetTable[Outcome2]="Win",BetTable[WBA2-Commission],IF(BetTable[Outcome2]="Win Half Stake",(BetTable[S2]/2)+BetTable[WBA2-Commission]/2,IF(BetTable[Outcome2]="Lose Half Stake",BetTable[S2]/2,IF(BetTable[Outcome2]="Lose",0,IF(BetTable[Outcome2]="Void",BetTable[S2],)))))</f>
        <v>0</v>
      </c>
      <c r="AH316" s="186">
        <f>IF(BetTable[Outcome3]="Win",BetTable[WBA3-Commission],IF(BetTable[Outcome3]="Win Half Stake",(BetTable[S3]/2)+BetTable[WBA3-Commission]/2,IF(BetTable[Outcome3]="Lose Half Stake",BetTable[S3]/2,IF(BetTable[Outcome3]="Lose",0,IF(BetTable[Outcome3]="Void",BetTable[S3],)))))</f>
        <v>0</v>
      </c>
      <c r="AI316" s="190">
        <f>IF(BetTable[Outcome]="",AI315,BetTable[Result]+AI315)</f>
        <v>612.30425000000025</v>
      </c>
      <c r="AJ316" s="182"/>
    </row>
    <row r="317" spans="1:36" x14ac:dyDescent="0.2">
      <c r="A317" s="181" t="s">
        <v>1048</v>
      </c>
      <c r="B317" s="182" t="s">
        <v>200</v>
      </c>
      <c r="C317" s="183" t="s">
        <v>91</v>
      </c>
      <c r="D317" s="183"/>
      <c r="E317" s="183"/>
      <c r="F317" s="184"/>
      <c r="G317" s="184"/>
      <c r="H317" s="184"/>
      <c r="I317" s="182" t="s">
        <v>1049</v>
      </c>
      <c r="J317" s="185">
        <v>1.89</v>
      </c>
      <c r="K317" s="185"/>
      <c r="L317" s="185"/>
      <c r="M317" s="186">
        <v>32</v>
      </c>
      <c r="N317" s="186"/>
      <c r="O317" s="186"/>
      <c r="P317" s="181" t="s">
        <v>406</v>
      </c>
      <c r="Q317" s="181" t="s">
        <v>458</v>
      </c>
      <c r="R317" s="181" t="s">
        <v>1050</v>
      </c>
      <c r="S317" s="187">
        <v>2.3700906344410799E-2</v>
      </c>
      <c r="T317" s="188" t="s">
        <v>382</v>
      </c>
      <c r="U317" s="188"/>
      <c r="V317" s="188"/>
      <c r="W317" s="189">
        <f>IF(BetTable[Sport]="","",BetTable[Stake]+BetTable[S2]+BetTable[S3])</f>
        <v>32</v>
      </c>
      <c r="X317" s="186">
        <f>IF(BetTable[Odds]="","",(BetTable[WBA1-Commission])-BetTable[TS])</f>
        <v>28.479999999999997</v>
      </c>
      <c r="Y317" s="190">
        <f>IF(BetTable[Outcome]="","",BetTable[WBA1]+BetTable[WBA2]+BetTable[WBA3]-BetTable[TS])</f>
        <v>-32</v>
      </c>
      <c r="Z317" s="186">
        <f>(((BetTable[Odds]-1)*BetTable[Stake])*(1-(BetTable[Comm %]))+BetTable[Stake])</f>
        <v>60.48</v>
      </c>
      <c r="AA317" s="186">
        <f>(((BetTable[O2]-1)*BetTable[S2])*(1-(BetTable[C% 2]))+BetTable[S2])</f>
        <v>0</v>
      </c>
      <c r="AB317" s="186">
        <f>(((BetTable[O3]-1)*BetTable[S3])*(1-(BetTable[C% 3]))+BetTable[S3])</f>
        <v>0</v>
      </c>
      <c r="AC317" s="187">
        <f>IFERROR(IF(BetTable[Sport]="","",BetTable[R1]/BetTable[TS]),"")</f>
        <v>0.8899999999999999</v>
      </c>
      <c r="AD317" s="187" t="str">
        <f>IF(BetTable[O2]="","",#REF!/BetTable[TS])</f>
        <v/>
      </c>
      <c r="AE317" s="187" t="str">
        <f>IFERROR(IF(BetTable[Sport]="","",#REF!/BetTable[TS]),"")</f>
        <v/>
      </c>
      <c r="AF317" s="186">
        <f>IF(BetTable[Outcome]="Win",BetTable[WBA1-Commission],IF(BetTable[Outcome]="Win Half Stake",(BetTable[Stake]/2)+BetTable[WBA1-Commission]/2,IF(BetTable[Outcome]="Lose Half Stake",BetTable[Stake]/2,IF(BetTable[Outcome]="Lose",0,IF(BetTable[Outcome]="Void",BetTable[Stake],)))))</f>
        <v>0</v>
      </c>
      <c r="AG317" s="186">
        <f>IF(BetTable[Outcome2]="Win",BetTable[WBA2-Commission],IF(BetTable[Outcome2]="Win Half Stake",(BetTable[S2]/2)+BetTable[WBA2-Commission]/2,IF(BetTable[Outcome2]="Lose Half Stake",BetTable[S2]/2,IF(BetTable[Outcome2]="Lose",0,IF(BetTable[Outcome2]="Void",BetTable[S2],)))))</f>
        <v>0</v>
      </c>
      <c r="AH317" s="186">
        <f>IF(BetTable[Outcome3]="Win",BetTable[WBA3-Commission],IF(BetTable[Outcome3]="Win Half Stake",(BetTable[S3]/2)+BetTable[WBA3-Commission]/2,IF(BetTable[Outcome3]="Lose Half Stake",BetTable[S3]/2,IF(BetTable[Outcome3]="Lose",0,IF(BetTable[Outcome3]="Void",BetTable[S3],)))))</f>
        <v>0</v>
      </c>
      <c r="AI317" s="190">
        <f>IF(BetTable[Outcome]="",AI316,BetTable[Result]+AI316)</f>
        <v>580.30425000000025</v>
      </c>
      <c r="AJ317" s="182"/>
    </row>
    <row r="318" spans="1:36" x14ac:dyDescent="0.2">
      <c r="A318" s="181" t="s">
        <v>1048</v>
      </c>
      <c r="B318" s="182" t="s">
        <v>9</v>
      </c>
      <c r="C318" s="183" t="s">
        <v>216</v>
      </c>
      <c r="D318" s="183"/>
      <c r="E318" s="183"/>
      <c r="F318" s="184"/>
      <c r="G318" s="184"/>
      <c r="H318" s="184"/>
      <c r="I318" s="182" t="s">
        <v>1051</v>
      </c>
      <c r="J318" s="185">
        <v>2.0499999999999998</v>
      </c>
      <c r="K318" s="185"/>
      <c r="L318" s="185"/>
      <c r="M318" s="186">
        <v>29</v>
      </c>
      <c r="N318" s="186"/>
      <c r="O318" s="186"/>
      <c r="P318" s="181" t="s">
        <v>1052</v>
      </c>
      <c r="Q318" s="181" t="s">
        <v>485</v>
      </c>
      <c r="R318" s="181" t="s">
        <v>1053</v>
      </c>
      <c r="S318" s="187">
        <v>2.5000000000000001E-2</v>
      </c>
      <c r="T318" s="188" t="s">
        <v>382</v>
      </c>
      <c r="U318" s="188"/>
      <c r="V318" s="188"/>
      <c r="W318" s="189">
        <f>IF(BetTable[Sport]="","",BetTable[Stake]+BetTable[S2]+BetTable[S3])</f>
        <v>29</v>
      </c>
      <c r="X318" s="186">
        <f>IF(BetTable[Odds]="","",(BetTable[WBA1-Commission])-BetTable[TS])</f>
        <v>30.449999999999996</v>
      </c>
      <c r="Y318" s="190">
        <f>IF(BetTable[Outcome]="","",BetTable[WBA1]+BetTable[WBA2]+BetTable[WBA3]-BetTable[TS])</f>
        <v>-29</v>
      </c>
      <c r="Z318" s="186">
        <f>(((BetTable[Odds]-1)*BetTable[Stake])*(1-(BetTable[Comm %]))+BetTable[Stake])</f>
        <v>59.449999999999996</v>
      </c>
      <c r="AA318" s="186">
        <f>(((BetTable[O2]-1)*BetTable[S2])*(1-(BetTable[C% 2]))+BetTable[S2])</f>
        <v>0</v>
      </c>
      <c r="AB318" s="186">
        <f>(((BetTable[O3]-1)*BetTable[S3])*(1-(BetTable[C% 3]))+BetTable[S3])</f>
        <v>0</v>
      </c>
      <c r="AC318" s="187">
        <f>IFERROR(IF(BetTable[Sport]="","",BetTable[R1]/BetTable[TS]),"")</f>
        <v>1.0499999999999998</v>
      </c>
      <c r="AD318" s="187" t="str">
        <f>IF(BetTable[O2]="","",#REF!/BetTable[TS])</f>
        <v/>
      </c>
      <c r="AE318" s="187" t="str">
        <f>IFERROR(IF(BetTable[Sport]="","",#REF!/BetTable[TS]),"")</f>
        <v/>
      </c>
      <c r="AF318" s="186">
        <f>IF(BetTable[Outcome]="Win",BetTable[WBA1-Commission],IF(BetTable[Outcome]="Win Half Stake",(BetTable[Stake]/2)+BetTable[WBA1-Commission]/2,IF(BetTable[Outcome]="Lose Half Stake",BetTable[Stake]/2,IF(BetTable[Outcome]="Lose",0,IF(BetTable[Outcome]="Void",BetTable[Stake],)))))</f>
        <v>0</v>
      </c>
      <c r="AG318" s="186">
        <f>IF(BetTable[Outcome2]="Win",BetTable[WBA2-Commission],IF(BetTable[Outcome2]="Win Half Stake",(BetTable[S2]/2)+BetTable[WBA2-Commission]/2,IF(BetTable[Outcome2]="Lose Half Stake",BetTable[S2]/2,IF(BetTable[Outcome2]="Lose",0,IF(BetTable[Outcome2]="Void",BetTable[S2],)))))</f>
        <v>0</v>
      </c>
      <c r="AH318" s="186">
        <f>IF(BetTable[Outcome3]="Win",BetTable[WBA3-Commission],IF(BetTable[Outcome3]="Win Half Stake",(BetTable[S3]/2)+BetTable[WBA3-Commission]/2,IF(BetTable[Outcome3]="Lose Half Stake",BetTable[S3]/2,IF(BetTable[Outcome3]="Lose",0,IF(BetTable[Outcome3]="Void",BetTable[S3],)))))</f>
        <v>0</v>
      </c>
      <c r="AI318" s="190">
        <f>IF(BetTable[Outcome]="",AI317,BetTable[Result]+AI317)</f>
        <v>551.30425000000025</v>
      </c>
      <c r="AJ318" s="182"/>
    </row>
    <row r="319" spans="1:36" x14ac:dyDescent="0.2">
      <c r="A319" s="159" t="s">
        <v>1048</v>
      </c>
      <c r="B319" s="160" t="s">
        <v>9</v>
      </c>
      <c r="C319" s="161" t="s">
        <v>216</v>
      </c>
      <c r="D319" s="161"/>
      <c r="E319" s="161"/>
      <c r="F319" s="162"/>
      <c r="G319" s="162"/>
      <c r="H319" s="162"/>
      <c r="I319" s="160" t="s">
        <v>1054</v>
      </c>
      <c r="J319" s="163">
        <v>1.952</v>
      </c>
      <c r="K319" s="163"/>
      <c r="L319" s="163"/>
      <c r="M319" s="164">
        <v>40</v>
      </c>
      <c r="N319" s="164"/>
      <c r="O319" s="164"/>
      <c r="P319" s="159" t="s">
        <v>1055</v>
      </c>
      <c r="Q319" s="159" t="s">
        <v>439</v>
      </c>
      <c r="R319" s="159" t="s">
        <v>1056</v>
      </c>
      <c r="S319" s="165">
        <v>3.1162966503764499E-2</v>
      </c>
      <c r="T319" s="166" t="s">
        <v>372</v>
      </c>
      <c r="U319" s="166"/>
      <c r="V319" s="166"/>
      <c r="W319" s="167">
        <f>IF(BetTable[Sport]="","",BetTable[Stake]+BetTable[S2]+BetTable[S3])</f>
        <v>40</v>
      </c>
      <c r="X319" s="164">
        <f>IF(BetTable[Odds]="","",(BetTable[WBA1-Commission])-BetTable[TS])</f>
        <v>38.08</v>
      </c>
      <c r="Y319" s="168">
        <f>IF(BetTable[Outcome]="","",BetTable[WBA1]+BetTable[WBA2]+BetTable[WBA3]-BetTable[TS])</f>
        <v>38.08</v>
      </c>
      <c r="Z319" s="164">
        <f>(((BetTable[Odds]-1)*BetTable[Stake])*(1-(BetTable[Comm %]))+BetTable[Stake])</f>
        <v>78.08</v>
      </c>
      <c r="AA319" s="164">
        <f>(((BetTable[O2]-1)*BetTable[S2])*(1-(BetTable[C% 2]))+BetTable[S2])</f>
        <v>0</v>
      </c>
      <c r="AB319" s="164">
        <f>(((BetTable[O3]-1)*BetTable[S3])*(1-(BetTable[C% 3]))+BetTable[S3])</f>
        <v>0</v>
      </c>
      <c r="AC319" s="165">
        <f>IFERROR(IF(BetTable[Sport]="","",BetTable[R1]/BetTable[TS]),"")</f>
        <v>0.95199999999999996</v>
      </c>
      <c r="AD319" s="165" t="str">
        <f>IF(BetTable[O2]="","",#REF!/BetTable[TS])</f>
        <v/>
      </c>
      <c r="AE319" s="165" t="str">
        <f>IFERROR(IF(BetTable[Sport]="","",#REF!/BetTable[TS]),"")</f>
        <v/>
      </c>
      <c r="AF319" s="164">
        <f>IF(BetTable[Outcome]="Win",BetTable[WBA1-Commission],IF(BetTable[Outcome]="Win Half Stake",(BetTable[Stake]/2)+BetTable[WBA1-Commission]/2,IF(BetTable[Outcome]="Lose Half Stake",BetTable[Stake]/2,IF(BetTable[Outcome]="Lose",0,IF(BetTable[Outcome]="Void",BetTable[Stake],)))))</f>
        <v>78.08</v>
      </c>
      <c r="AG319" s="164">
        <f>IF(BetTable[Outcome2]="Win",BetTable[WBA2-Commission],IF(BetTable[Outcome2]="Win Half Stake",(BetTable[S2]/2)+BetTable[WBA2-Commission]/2,IF(BetTable[Outcome2]="Lose Half Stake",BetTable[S2]/2,IF(BetTable[Outcome2]="Lose",0,IF(BetTable[Outcome2]="Void",BetTable[S2],)))))</f>
        <v>0</v>
      </c>
      <c r="AH319" s="164">
        <f>IF(BetTable[Outcome3]="Win",BetTable[WBA3-Commission],IF(BetTable[Outcome3]="Win Half Stake",(BetTable[S3]/2)+BetTable[WBA3-Commission]/2,IF(BetTable[Outcome3]="Lose Half Stake",BetTable[S3]/2,IF(BetTable[Outcome3]="Lose",0,IF(BetTable[Outcome3]="Void",BetTable[S3],)))))</f>
        <v>0</v>
      </c>
      <c r="AI319" s="168">
        <f>IF(BetTable[Outcome]="",AI318,BetTable[Result]+AI318)</f>
        <v>589.38425000000029</v>
      </c>
      <c r="AJ319" s="160"/>
    </row>
    <row r="320" spans="1:36" x14ac:dyDescent="0.2">
      <c r="A320" s="159" t="s">
        <v>1048</v>
      </c>
      <c r="B320" s="160" t="s">
        <v>7</v>
      </c>
      <c r="C320" s="161" t="s">
        <v>234</v>
      </c>
      <c r="D320" s="161"/>
      <c r="E320" s="161"/>
      <c r="F320" s="162"/>
      <c r="G320" s="162"/>
      <c r="H320" s="162"/>
      <c r="I320" s="160" t="s">
        <v>1057</v>
      </c>
      <c r="J320" s="163">
        <v>1.97</v>
      </c>
      <c r="K320" s="163"/>
      <c r="L320" s="163"/>
      <c r="M320" s="164">
        <v>24</v>
      </c>
      <c r="N320" s="164"/>
      <c r="O320" s="164"/>
      <c r="P320" s="159" t="s">
        <v>1058</v>
      </c>
      <c r="Q320" s="159" t="s">
        <v>1059</v>
      </c>
      <c r="R320" s="159" t="s">
        <v>1060</v>
      </c>
      <c r="S320" s="165">
        <v>1.9031185090607299E-2</v>
      </c>
      <c r="T320" s="166" t="s">
        <v>372</v>
      </c>
      <c r="U320" s="166"/>
      <c r="V320" s="166"/>
      <c r="W320" s="167">
        <f>IF(BetTable[Sport]="","",BetTable[Stake]+BetTable[S2]+BetTable[S3])</f>
        <v>24</v>
      </c>
      <c r="X320" s="164">
        <f>IF(BetTable[Odds]="","",(BetTable[WBA1-Commission])-BetTable[TS])</f>
        <v>23.28</v>
      </c>
      <c r="Y320" s="168">
        <f>IF(BetTable[Outcome]="","",BetTable[WBA1]+BetTable[WBA2]+BetTable[WBA3]-BetTable[TS])</f>
        <v>23.28</v>
      </c>
      <c r="Z320" s="164">
        <f>(((BetTable[Odds]-1)*BetTable[Stake])*(1-(BetTable[Comm %]))+BetTable[Stake])</f>
        <v>47.28</v>
      </c>
      <c r="AA320" s="164">
        <f>(((BetTable[O2]-1)*BetTable[S2])*(1-(BetTable[C% 2]))+BetTable[S2])</f>
        <v>0</v>
      </c>
      <c r="AB320" s="164">
        <f>(((BetTable[O3]-1)*BetTable[S3])*(1-(BetTable[C% 3]))+BetTable[S3])</f>
        <v>0</v>
      </c>
      <c r="AC320" s="165">
        <f>IFERROR(IF(BetTable[Sport]="","",BetTable[R1]/BetTable[TS]),"")</f>
        <v>0.97000000000000008</v>
      </c>
      <c r="AD320" s="165" t="str">
        <f>IF(BetTable[O2]="","",#REF!/BetTable[TS])</f>
        <v/>
      </c>
      <c r="AE320" s="165" t="str">
        <f>IFERROR(IF(BetTable[Sport]="","",#REF!/BetTable[TS]),"")</f>
        <v/>
      </c>
      <c r="AF320" s="164">
        <f>IF(BetTable[Outcome]="Win",BetTable[WBA1-Commission],IF(BetTable[Outcome]="Win Half Stake",(BetTable[Stake]/2)+BetTable[WBA1-Commission]/2,IF(BetTable[Outcome]="Lose Half Stake",BetTable[Stake]/2,IF(BetTable[Outcome]="Lose",0,IF(BetTable[Outcome]="Void",BetTable[Stake],)))))</f>
        <v>47.28</v>
      </c>
      <c r="AG320" s="164">
        <f>IF(BetTable[Outcome2]="Win",BetTable[WBA2-Commission],IF(BetTable[Outcome2]="Win Half Stake",(BetTable[S2]/2)+BetTable[WBA2-Commission]/2,IF(BetTable[Outcome2]="Lose Half Stake",BetTable[S2]/2,IF(BetTable[Outcome2]="Lose",0,IF(BetTable[Outcome2]="Void",BetTable[S2],)))))</f>
        <v>0</v>
      </c>
      <c r="AH320" s="164">
        <f>IF(BetTable[Outcome3]="Win",BetTable[WBA3-Commission],IF(BetTable[Outcome3]="Win Half Stake",(BetTable[S3]/2)+BetTable[WBA3-Commission]/2,IF(BetTable[Outcome3]="Lose Half Stake",BetTable[S3]/2,IF(BetTable[Outcome3]="Lose",0,IF(BetTable[Outcome3]="Void",BetTable[S3],)))))</f>
        <v>0</v>
      </c>
      <c r="AI320" s="168">
        <f>IF(BetTable[Outcome]="",AI319,BetTable[Result]+AI319)</f>
        <v>612.66425000000027</v>
      </c>
      <c r="AJ320" s="160"/>
    </row>
    <row r="321" spans="1:36" x14ac:dyDescent="0.2">
      <c r="A321" s="159" t="s">
        <v>1048</v>
      </c>
      <c r="B321" s="160" t="s">
        <v>9</v>
      </c>
      <c r="C321" s="161" t="s">
        <v>234</v>
      </c>
      <c r="D321" s="161"/>
      <c r="E321" s="161"/>
      <c r="F321" s="162"/>
      <c r="G321" s="162"/>
      <c r="H321" s="162"/>
      <c r="I321" s="160" t="s">
        <v>1051</v>
      </c>
      <c r="J321" s="163">
        <v>1.97</v>
      </c>
      <c r="K321" s="163"/>
      <c r="L321" s="163"/>
      <c r="M321" s="164">
        <v>25</v>
      </c>
      <c r="N321" s="164"/>
      <c r="O321" s="164"/>
      <c r="P321" s="159" t="s">
        <v>385</v>
      </c>
      <c r="Q321" s="159" t="s">
        <v>485</v>
      </c>
      <c r="R321" s="159" t="s">
        <v>1061</v>
      </c>
      <c r="S321" s="165">
        <v>1.9933745475387801E-2</v>
      </c>
      <c r="T321" s="166" t="s">
        <v>382</v>
      </c>
      <c r="U321" s="166"/>
      <c r="V321" s="166"/>
      <c r="W321" s="167">
        <f>IF(BetTable[Sport]="","",BetTable[Stake]+BetTable[S2]+BetTable[S3])</f>
        <v>25</v>
      </c>
      <c r="X321" s="164">
        <f>IF(BetTable[Odds]="","",(BetTable[WBA1-Commission])-BetTable[TS])</f>
        <v>24.25</v>
      </c>
      <c r="Y321" s="168">
        <f>IF(BetTable[Outcome]="","",BetTable[WBA1]+BetTable[WBA2]+BetTable[WBA3]-BetTable[TS])</f>
        <v>-25</v>
      </c>
      <c r="Z321" s="164">
        <f>(((BetTable[Odds]-1)*BetTable[Stake])*(1-(BetTable[Comm %]))+BetTable[Stake])</f>
        <v>49.25</v>
      </c>
      <c r="AA321" s="164">
        <f>(((BetTable[O2]-1)*BetTable[S2])*(1-(BetTable[C% 2]))+BetTable[S2])</f>
        <v>0</v>
      </c>
      <c r="AB321" s="164">
        <f>(((BetTable[O3]-1)*BetTable[S3])*(1-(BetTable[C% 3]))+BetTable[S3])</f>
        <v>0</v>
      </c>
      <c r="AC321" s="165">
        <f>IFERROR(IF(BetTable[Sport]="","",BetTable[R1]/BetTable[TS]),"")</f>
        <v>0.97</v>
      </c>
      <c r="AD321" s="165" t="str">
        <f>IF(BetTable[O2]="","",#REF!/BetTable[TS])</f>
        <v/>
      </c>
      <c r="AE321" s="165" t="str">
        <f>IFERROR(IF(BetTable[Sport]="","",#REF!/BetTable[TS]),"")</f>
        <v/>
      </c>
      <c r="AF321" s="164">
        <f>IF(BetTable[Outcome]="Win",BetTable[WBA1-Commission],IF(BetTable[Outcome]="Win Half Stake",(BetTable[Stake]/2)+BetTable[WBA1-Commission]/2,IF(BetTable[Outcome]="Lose Half Stake",BetTable[Stake]/2,IF(BetTable[Outcome]="Lose",0,IF(BetTable[Outcome]="Void",BetTable[Stake],)))))</f>
        <v>0</v>
      </c>
      <c r="AG321" s="164">
        <f>IF(BetTable[Outcome2]="Win",BetTable[WBA2-Commission],IF(BetTable[Outcome2]="Win Half Stake",(BetTable[S2]/2)+BetTable[WBA2-Commission]/2,IF(BetTable[Outcome2]="Lose Half Stake",BetTable[S2]/2,IF(BetTable[Outcome2]="Lose",0,IF(BetTable[Outcome2]="Void",BetTable[S2],)))))</f>
        <v>0</v>
      </c>
      <c r="AH321" s="164">
        <f>IF(BetTable[Outcome3]="Win",BetTable[WBA3-Commission],IF(BetTable[Outcome3]="Win Half Stake",(BetTable[S3]/2)+BetTable[WBA3-Commission]/2,IF(BetTable[Outcome3]="Lose Half Stake",BetTable[S3]/2,IF(BetTable[Outcome3]="Lose",0,IF(BetTable[Outcome3]="Void",BetTable[S3],)))))</f>
        <v>0</v>
      </c>
      <c r="AI321" s="168">
        <f>IF(BetTable[Outcome]="",AI320,BetTable[Result]+AI320)</f>
        <v>587.66425000000027</v>
      </c>
      <c r="AJ321" s="160"/>
    </row>
    <row r="322" spans="1:36" x14ac:dyDescent="0.2">
      <c r="A322" s="159" t="s">
        <v>1048</v>
      </c>
      <c r="B322" s="160" t="s">
        <v>200</v>
      </c>
      <c r="C322" s="161" t="s">
        <v>234</v>
      </c>
      <c r="D322" s="161"/>
      <c r="E322" s="161"/>
      <c r="F322" s="162"/>
      <c r="G322" s="162"/>
      <c r="H322" s="162"/>
      <c r="I322" s="160" t="s">
        <v>1062</v>
      </c>
      <c r="J322" s="163">
        <v>1.83</v>
      </c>
      <c r="K322" s="163"/>
      <c r="L322" s="163"/>
      <c r="M322" s="164">
        <v>14</v>
      </c>
      <c r="N322" s="164"/>
      <c r="O322" s="164"/>
      <c r="P322" s="159" t="s">
        <v>543</v>
      </c>
      <c r="Q322" s="159" t="s">
        <v>836</v>
      </c>
      <c r="R322" s="159" t="s">
        <v>1063</v>
      </c>
      <c r="S322" s="165">
        <v>9.7259542165543198E-3</v>
      </c>
      <c r="T322" s="166" t="s">
        <v>510</v>
      </c>
      <c r="U322" s="166"/>
      <c r="V322" s="166"/>
      <c r="W322" s="167">
        <f>IF(BetTable[Sport]="","",BetTable[Stake]+BetTable[S2]+BetTable[S3])</f>
        <v>14</v>
      </c>
      <c r="X322" s="164">
        <f>IF(BetTable[Odds]="","",(BetTable[WBA1-Commission])-BetTable[TS])</f>
        <v>11.620000000000001</v>
      </c>
      <c r="Y322" s="168">
        <f>IF(BetTable[Outcome]="","",BetTable[WBA1]+BetTable[WBA2]+BetTable[WBA3]-BetTable[TS])</f>
        <v>5.8100000000000023</v>
      </c>
      <c r="Z322" s="164">
        <f>(((BetTable[Odds]-1)*BetTable[Stake])*(1-(BetTable[Comm %]))+BetTable[Stake])</f>
        <v>25.62</v>
      </c>
      <c r="AA322" s="164">
        <f>(((BetTable[O2]-1)*BetTable[S2])*(1-(BetTable[C% 2]))+BetTable[S2])</f>
        <v>0</v>
      </c>
      <c r="AB322" s="164">
        <f>(((BetTable[O3]-1)*BetTable[S3])*(1-(BetTable[C% 3]))+BetTable[S3])</f>
        <v>0</v>
      </c>
      <c r="AC322" s="165">
        <f>IFERROR(IF(BetTable[Sport]="","",BetTable[R1]/BetTable[TS]),"")</f>
        <v>0.83000000000000007</v>
      </c>
      <c r="AD322" s="165" t="str">
        <f>IF(BetTable[O2]="","",#REF!/BetTable[TS])</f>
        <v/>
      </c>
      <c r="AE322" s="165" t="str">
        <f>IFERROR(IF(BetTable[Sport]="","",#REF!/BetTable[TS]),"")</f>
        <v/>
      </c>
      <c r="AF322" s="164">
        <f>IF(BetTable[Outcome]="Win",BetTable[WBA1-Commission],IF(BetTable[Outcome]="Win Half Stake",(BetTable[Stake]/2)+BetTable[WBA1-Commission]/2,IF(BetTable[Outcome]="Lose Half Stake",BetTable[Stake]/2,IF(BetTable[Outcome]="Lose",0,IF(BetTable[Outcome]="Void",BetTable[Stake],)))))</f>
        <v>19.810000000000002</v>
      </c>
      <c r="AG322" s="164">
        <f>IF(BetTable[Outcome2]="Win",BetTable[WBA2-Commission],IF(BetTable[Outcome2]="Win Half Stake",(BetTable[S2]/2)+BetTable[WBA2-Commission]/2,IF(BetTable[Outcome2]="Lose Half Stake",BetTable[S2]/2,IF(BetTable[Outcome2]="Lose",0,IF(BetTable[Outcome2]="Void",BetTable[S2],)))))</f>
        <v>0</v>
      </c>
      <c r="AH322" s="164">
        <f>IF(BetTable[Outcome3]="Win",BetTable[WBA3-Commission],IF(BetTable[Outcome3]="Win Half Stake",(BetTable[S3]/2)+BetTable[WBA3-Commission]/2,IF(BetTable[Outcome3]="Lose Half Stake",BetTable[S3]/2,IF(BetTable[Outcome3]="Lose",0,IF(BetTable[Outcome3]="Void",BetTable[S3],)))))</f>
        <v>0</v>
      </c>
      <c r="AI322" s="168">
        <f>IF(BetTable[Outcome]="",AI321,BetTable[Result]+AI321)</f>
        <v>593.47425000000021</v>
      </c>
      <c r="AJ322" s="160"/>
    </row>
    <row r="323" spans="1:36" x14ac:dyDescent="0.2">
      <c r="A323" s="159" t="s">
        <v>1048</v>
      </c>
      <c r="B323" s="160" t="s">
        <v>200</v>
      </c>
      <c r="C323" s="161" t="s">
        <v>91</v>
      </c>
      <c r="D323" s="161"/>
      <c r="E323" s="161"/>
      <c r="F323" s="162"/>
      <c r="G323" s="162"/>
      <c r="H323" s="162"/>
      <c r="I323" s="160" t="s">
        <v>1064</v>
      </c>
      <c r="J323" s="163">
        <v>1.77</v>
      </c>
      <c r="K323" s="163"/>
      <c r="L323" s="163"/>
      <c r="M323" s="164">
        <v>30</v>
      </c>
      <c r="N323" s="164"/>
      <c r="O323" s="164"/>
      <c r="P323" s="159" t="s">
        <v>406</v>
      </c>
      <c r="Q323" s="159" t="s">
        <v>544</v>
      </c>
      <c r="R323" s="159" t="s">
        <v>1065</v>
      </c>
      <c r="S323" s="165">
        <v>1.9143104954664199E-2</v>
      </c>
      <c r="T323" s="166" t="s">
        <v>372</v>
      </c>
      <c r="U323" s="166"/>
      <c r="V323" s="166"/>
      <c r="W323" s="167">
        <f>IF(BetTable[Sport]="","",BetTable[Stake]+BetTable[S2]+BetTable[S3])</f>
        <v>30</v>
      </c>
      <c r="X323" s="164">
        <f>IF(BetTable[Odds]="","",(BetTable[WBA1-Commission])-BetTable[TS])</f>
        <v>23.1</v>
      </c>
      <c r="Y323" s="168">
        <f>IF(BetTable[Outcome]="","",BetTable[WBA1]+BetTable[WBA2]+BetTable[WBA3]-BetTable[TS])</f>
        <v>23.1</v>
      </c>
      <c r="Z323" s="164">
        <f>(((BetTable[Odds]-1)*BetTable[Stake])*(1-(BetTable[Comm %]))+BetTable[Stake])</f>
        <v>53.1</v>
      </c>
      <c r="AA323" s="164">
        <f>(((BetTable[O2]-1)*BetTable[S2])*(1-(BetTable[C% 2]))+BetTable[S2])</f>
        <v>0</v>
      </c>
      <c r="AB323" s="164">
        <f>(((BetTable[O3]-1)*BetTable[S3])*(1-(BetTable[C% 3]))+BetTable[S3])</f>
        <v>0</v>
      </c>
      <c r="AC323" s="165">
        <f>IFERROR(IF(BetTable[Sport]="","",BetTable[R1]/BetTable[TS]),"")</f>
        <v>0.77</v>
      </c>
      <c r="AD323" s="165" t="str">
        <f>IF(BetTable[O2]="","",#REF!/BetTable[TS])</f>
        <v/>
      </c>
      <c r="AE323" s="165" t="str">
        <f>IFERROR(IF(BetTable[Sport]="","",#REF!/BetTable[TS]),"")</f>
        <v/>
      </c>
      <c r="AF323" s="164">
        <f>IF(BetTable[Outcome]="Win",BetTable[WBA1-Commission],IF(BetTable[Outcome]="Win Half Stake",(BetTable[Stake]/2)+BetTable[WBA1-Commission]/2,IF(BetTable[Outcome]="Lose Half Stake",BetTable[Stake]/2,IF(BetTable[Outcome]="Lose",0,IF(BetTable[Outcome]="Void",BetTable[Stake],)))))</f>
        <v>53.1</v>
      </c>
      <c r="AG323" s="164">
        <f>IF(BetTable[Outcome2]="Win",BetTable[WBA2-Commission],IF(BetTable[Outcome2]="Win Half Stake",(BetTable[S2]/2)+BetTable[WBA2-Commission]/2,IF(BetTable[Outcome2]="Lose Half Stake",BetTable[S2]/2,IF(BetTable[Outcome2]="Lose",0,IF(BetTable[Outcome2]="Void",BetTable[S2],)))))</f>
        <v>0</v>
      </c>
      <c r="AH323" s="164">
        <f>IF(BetTable[Outcome3]="Win",BetTable[WBA3-Commission],IF(BetTable[Outcome3]="Win Half Stake",(BetTable[S3]/2)+BetTable[WBA3-Commission]/2,IF(BetTable[Outcome3]="Lose Half Stake",BetTable[S3]/2,IF(BetTable[Outcome3]="Lose",0,IF(BetTable[Outcome3]="Void",BetTable[S3],)))))</f>
        <v>0</v>
      </c>
      <c r="AI323" s="168">
        <f>IF(BetTable[Outcome]="",AI322,BetTable[Result]+AI322)</f>
        <v>616.57425000000023</v>
      </c>
      <c r="AJ323" s="160"/>
    </row>
    <row r="324" spans="1:36" x14ac:dyDescent="0.2">
      <c r="A324" s="159" t="s">
        <v>1048</v>
      </c>
      <c r="B324" s="160" t="s">
        <v>8</v>
      </c>
      <c r="C324" s="161" t="s">
        <v>91</v>
      </c>
      <c r="D324" s="161"/>
      <c r="E324" s="161"/>
      <c r="F324" s="162"/>
      <c r="G324" s="162"/>
      <c r="H324" s="162"/>
      <c r="I324" s="160" t="s">
        <v>1066</v>
      </c>
      <c r="J324" s="163">
        <v>1.94</v>
      </c>
      <c r="K324" s="163"/>
      <c r="L324" s="163"/>
      <c r="M324" s="164">
        <v>45</v>
      </c>
      <c r="N324" s="164"/>
      <c r="O324" s="164"/>
      <c r="P324" s="159" t="s">
        <v>435</v>
      </c>
      <c r="Q324" s="159" t="s">
        <v>1067</v>
      </c>
      <c r="R324" s="159" t="s">
        <v>1068</v>
      </c>
      <c r="S324" s="165">
        <v>3.53065033891347E-2</v>
      </c>
      <c r="T324" s="166" t="s">
        <v>372</v>
      </c>
      <c r="U324" s="166"/>
      <c r="V324" s="166"/>
      <c r="W324" s="167">
        <f>IF(BetTable[Sport]="","",BetTable[Stake]+BetTable[S2]+BetTable[S3])</f>
        <v>45</v>
      </c>
      <c r="X324" s="164">
        <f>IF(BetTable[Odds]="","",(BetTable[WBA1-Commission])-BetTable[TS])</f>
        <v>42.3</v>
      </c>
      <c r="Y324" s="168">
        <f>IF(BetTable[Outcome]="","",BetTable[WBA1]+BetTable[WBA2]+BetTable[WBA3]-BetTable[TS])</f>
        <v>42.3</v>
      </c>
      <c r="Z324" s="164">
        <f>(((BetTable[Odds]-1)*BetTable[Stake])*(1-(BetTable[Comm %]))+BetTable[Stake])</f>
        <v>87.3</v>
      </c>
      <c r="AA324" s="164">
        <f>(((BetTable[O2]-1)*BetTable[S2])*(1-(BetTable[C% 2]))+BetTable[S2])</f>
        <v>0</v>
      </c>
      <c r="AB324" s="164">
        <f>(((BetTable[O3]-1)*BetTable[S3])*(1-(BetTable[C% 3]))+BetTable[S3])</f>
        <v>0</v>
      </c>
      <c r="AC324" s="165">
        <f>IFERROR(IF(BetTable[Sport]="","",BetTable[R1]/BetTable[TS]),"")</f>
        <v>0.94</v>
      </c>
      <c r="AD324" s="165" t="str">
        <f>IF(BetTable[O2]="","",#REF!/BetTable[TS])</f>
        <v/>
      </c>
      <c r="AE324" s="165" t="str">
        <f>IFERROR(IF(BetTable[Sport]="","",#REF!/BetTable[TS]),"")</f>
        <v/>
      </c>
      <c r="AF324" s="164">
        <f>IF(BetTable[Outcome]="Win",BetTable[WBA1-Commission],IF(BetTable[Outcome]="Win Half Stake",(BetTable[Stake]/2)+BetTable[WBA1-Commission]/2,IF(BetTable[Outcome]="Lose Half Stake",BetTable[Stake]/2,IF(BetTable[Outcome]="Lose",0,IF(BetTable[Outcome]="Void",BetTable[Stake],)))))</f>
        <v>87.3</v>
      </c>
      <c r="AG324" s="164">
        <f>IF(BetTable[Outcome2]="Win",BetTable[WBA2-Commission],IF(BetTable[Outcome2]="Win Half Stake",(BetTable[S2]/2)+BetTable[WBA2-Commission]/2,IF(BetTable[Outcome2]="Lose Half Stake",BetTable[S2]/2,IF(BetTable[Outcome2]="Lose",0,IF(BetTable[Outcome2]="Void",BetTable[S2],)))))</f>
        <v>0</v>
      </c>
      <c r="AH324" s="164">
        <f>IF(BetTable[Outcome3]="Win",BetTable[WBA3-Commission],IF(BetTable[Outcome3]="Win Half Stake",(BetTable[S3]/2)+BetTable[WBA3-Commission]/2,IF(BetTable[Outcome3]="Lose Half Stake",BetTable[S3]/2,IF(BetTable[Outcome3]="Lose",0,IF(BetTable[Outcome3]="Void",BetTable[S3],)))))</f>
        <v>0</v>
      </c>
      <c r="AI324" s="168">
        <f>IF(BetTable[Outcome]="",AI323,BetTable[Result]+AI323)</f>
        <v>658.87425000000019</v>
      </c>
      <c r="AJ324" s="160"/>
    </row>
    <row r="325" spans="1:36" x14ac:dyDescent="0.2">
      <c r="A325" s="159" t="s">
        <v>1048</v>
      </c>
      <c r="B325" s="160" t="s">
        <v>8</v>
      </c>
      <c r="C325" s="161" t="s">
        <v>91</v>
      </c>
      <c r="D325" s="161"/>
      <c r="E325" s="161"/>
      <c r="F325" s="162"/>
      <c r="G325" s="162"/>
      <c r="H325" s="162"/>
      <c r="I325" s="160" t="s">
        <v>1069</v>
      </c>
      <c r="J325" s="163">
        <v>1.7</v>
      </c>
      <c r="K325" s="163"/>
      <c r="L325" s="163"/>
      <c r="M325" s="164">
        <v>31</v>
      </c>
      <c r="N325" s="164"/>
      <c r="O325" s="164"/>
      <c r="P325" s="159" t="s">
        <v>435</v>
      </c>
      <c r="Q325" s="159" t="s">
        <v>779</v>
      </c>
      <c r="R325" s="159" t="s">
        <v>1070</v>
      </c>
      <c r="S325" s="165">
        <v>1.8021879566257799E-2</v>
      </c>
      <c r="T325" s="166" t="s">
        <v>372</v>
      </c>
      <c r="U325" s="166"/>
      <c r="V325" s="166"/>
      <c r="W325" s="167">
        <f>IF(BetTable[Sport]="","",BetTable[Stake]+BetTable[S2]+BetTable[S3])</f>
        <v>31</v>
      </c>
      <c r="X325" s="164">
        <f>IF(BetTable[Odds]="","",(BetTable[WBA1-Commission])-BetTable[TS])</f>
        <v>21.700000000000003</v>
      </c>
      <c r="Y325" s="168">
        <f>IF(BetTable[Outcome]="","",BetTable[WBA1]+BetTable[WBA2]+BetTable[WBA3]-BetTable[TS])</f>
        <v>21.700000000000003</v>
      </c>
      <c r="Z325" s="164">
        <f>(((BetTable[Odds]-1)*BetTable[Stake])*(1-(BetTable[Comm %]))+BetTable[Stake])</f>
        <v>52.7</v>
      </c>
      <c r="AA325" s="164">
        <f>(((BetTable[O2]-1)*BetTable[S2])*(1-(BetTable[C% 2]))+BetTable[S2])</f>
        <v>0</v>
      </c>
      <c r="AB325" s="164">
        <f>(((BetTable[O3]-1)*BetTable[S3])*(1-(BetTable[C% 3]))+BetTable[S3])</f>
        <v>0</v>
      </c>
      <c r="AC325" s="165">
        <f>IFERROR(IF(BetTable[Sport]="","",BetTable[R1]/BetTable[TS]),"")</f>
        <v>0.70000000000000007</v>
      </c>
      <c r="AD325" s="165" t="str">
        <f>IF(BetTable[O2]="","",#REF!/BetTable[TS])</f>
        <v/>
      </c>
      <c r="AE325" s="165" t="str">
        <f>IFERROR(IF(BetTable[Sport]="","",#REF!/BetTable[TS]),"")</f>
        <v/>
      </c>
      <c r="AF325" s="164">
        <f>IF(BetTable[Outcome]="Win",BetTable[WBA1-Commission],IF(BetTable[Outcome]="Win Half Stake",(BetTable[Stake]/2)+BetTable[WBA1-Commission]/2,IF(BetTable[Outcome]="Lose Half Stake",BetTable[Stake]/2,IF(BetTable[Outcome]="Lose",0,IF(BetTable[Outcome]="Void",BetTable[Stake],)))))</f>
        <v>52.7</v>
      </c>
      <c r="AG325" s="164">
        <f>IF(BetTable[Outcome2]="Win",BetTable[WBA2-Commission],IF(BetTable[Outcome2]="Win Half Stake",(BetTable[S2]/2)+BetTable[WBA2-Commission]/2,IF(BetTable[Outcome2]="Lose Half Stake",BetTable[S2]/2,IF(BetTable[Outcome2]="Lose",0,IF(BetTable[Outcome2]="Void",BetTable[S2],)))))</f>
        <v>0</v>
      </c>
      <c r="AH325" s="164">
        <f>IF(BetTable[Outcome3]="Win",BetTable[WBA3-Commission],IF(BetTable[Outcome3]="Win Half Stake",(BetTable[S3]/2)+BetTable[WBA3-Commission]/2,IF(BetTable[Outcome3]="Lose Half Stake",BetTable[S3]/2,IF(BetTable[Outcome3]="Lose",0,IF(BetTable[Outcome3]="Void",BetTable[S3],)))))</f>
        <v>0</v>
      </c>
      <c r="AI325" s="168">
        <f>IF(BetTable[Outcome]="",AI324,BetTable[Result]+AI324)</f>
        <v>680.57425000000023</v>
      </c>
      <c r="AJ325" s="160"/>
    </row>
    <row r="326" spans="1:36" x14ac:dyDescent="0.2">
      <c r="A326" s="191" t="s">
        <v>1048</v>
      </c>
      <c r="B326" s="192" t="s">
        <v>200</v>
      </c>
      <c r="C326" s="193" t="s">
        <v>91</v>
      </c>
      <c r="D326" s="193"/>
      <c r="E326" s="193"/>
      <c r="F326" s="194"/>
      <c r="G326" s="194"/>
      <c r="H326" s="194"/>
      <c r="I326" s="192" t="s">
        <v>1071</v>
      </c>
      <c r="J326" s="195">
        <v>1.9</v>
      </c>
      <c r="K326" s="195"/>
      <c r="L326" s="195"/>
      <c r="M326" s="196">
        <v>20</v>
      </c>
      <c r="N326" s="196"/>
      <c r="O326" s="196"/>
      <c r="P326" s="191" t="s">
        <v>357</v>
      </c>
      <c r="Q326" s="191" t="s">
        <v>503</v>
      </c>
      <c r="R326" s="191" t="s">
        <v>1072</v>
      </c>
      <c r="S326" s="197">
        <v>1.5053292883878701E-2</v>
      </c>
      <c r="T326" s="198" t="s">
        <v>382</v>
      </c>
      <c r="U326" s="198"/>
      <c r="V326" s="198"/>
      <c r="W326" s="199">
        <f>IF(BetTable[Sport]="","",BetTable[Stake]+BetTable[S2]+BetTable[S3])</f>
        <v>20</v>
      </c>
      <c r="X326" s="196">
        <f>IF(BetTable[Odds]="","",(BetTable[WBA1-Commission])-BetTable[TS])</f>
        <v>18</v>
      </c>
      <c r="Y326" s="200">
        <f>IF(BetTable[Outcome]="","",BetTable[WBA1]+BetTable[WBA2]+BetTable[WBA3]-BetTable[TS])</f>
        <v>-20</v>
      </c>
      <c r="Z326" s="196">
        <f>(((BetTable[Odds]-1)*BetTable[Stake])*(1-(BetTable[Comm %]))+BetTable[Stake])</f>
        <v>38</v>
      </c>
      <c r="AA326" s="196">
        <f>(((BetTable[O2]-1)*BetTable[S2])*(1-(BetTable[C% 2]))+BetTable[S2])</f>
        <v>0</v>
      </c>
      <c r="AB326" s="196">
        <f>(((BetTable[O3]-1)*BetTable[S3])*(1-(BetTable[C% 3]))+BetTable[S3])</f>
        <v>0</v>
      </c>
      <c r="AC326" s="197">
        <f>IFERROR(IF(BetTable[Sport]="","",BetTable[R1]/BetTable[TS]),"")</f>
        <v>0.9</v>
      </c>
      <c r="AD326" s="197" t="str">
        <f>IF(BetTable[O2]="","",#REF!/BetTable[TS])</f>
        <v/>
      </c>
      <c r="AE326" s="197" t="str">
        <f>IFERROR(IF(BetTable[Sport]="","",#REF!/BetTable[TS]),"")</f>
        <v/>
      </c>
      <c r="AF326" s="196">
        <f>IF(BetTable[Outcome]="Win",BetTable[WBA1-Commission],IF(BetTable[Outcome]="Win Half Stake",(BetTable[Stake]/2)+BetTable[WBA1-Commission]/2,IF(BetTable[Outcome]="Lose Half Stake",BetTable[Stake]/2,IF(BetTable[Outcome]="Lose",0,IF(BetTable[Outcome]="Void",BetTable[Stake],)))))</f>
        <v>0</v>
      </c>
      <c r="AG326" s="196">
        <f>IF(BetTable[Outcome2]="Win",BetTable[WBA2-Commission],IF(BetTable[Outcome2]="Win Half Stake",(BetTable[S2]/2)+BetTable[WBA2-Commission]/2,IF(BetTable[Outcome2]="Lose Half Stake",BetTable[S2]/2,IF(BetTable[Outcome2]="Lose",0,IF(BetTable[Outcome2]="Void",BetTable[S2],)))))</f>
        <v>0</v>
      </c>
      <c r="AH326" s="196">
        <f>IF(BetTable[Outcome3]="Win",BetTable[WBA3-Commission],IF(BetTable[Outcome3]="Win Half Stake",(BetTable[S3]/2)+BetTable[WBA3-Commission]/2,IF(BetTable[Outcome3]="Lose Half Stake",BetTable[S3]/2,IF(BetTable[Outcome3]="Lose",0,IF(BetTable[Outcome3]="Void",BetTable[S3],)))))</f>
        <v>0</v>
      </c>
      <c r="AI326" s="200">
        <f>IF(BetTable[Outcome]="",AI325,BetTable[Result]+AI325)</f>
        <v>660.57425000000023</v>
      </c>
      <c r="AJ326" s="192"/>
    </row>
    <row r="327" spans="1:36" x14ac:dyDescent="0.2">
      <c r="A327" s="191" t="s">
        <v>1048</v>
      </c>
      <c r="B327" s="192" t="s">
        <v>200</v>
      </c>
      <c r="C327" s="161" t="s">
        <v>234</v>
      </c>
      <c r="D327" s="193"/>
      <c r="E327" s="193"/>
      <c r="F327" s="194"/>
      <c r="G327" s="194"/>
      <c r="H327" s="194"/>
      <c r="I327" s="192" t="s">
        <v>1073</v>
      </c>
      <c r="J327" s="195">
        <v>1.69</v>
      </c>
      <c r="K327" s="195"/>
      <c r="L327" s="195"/>
      <c r="M327" s="196">
        <v>17</v>
      </c>
      <c r="N327" s="196"/>
      <c r="O327" s="196"/>
      <c r="P327" s="191" t="s">
        <v>791</v>
      </c>
      <c r="Q327" s="191" t="s">
        <v>547</v>
      </c>
      <c r="R327" s="191" t="s">
        <v>1074</v>
      </c>
      <c r="S327" s="197">
        <v>9.9579831932773092E-3</v>
      </c>
      <c r="T327" s="198" t="s">
        <v>372</v>
      </c>
      <c r="U327" s="198"/>
      <c r="V327" s="198"/>
      <c r="W327" s="199">
        <f>IF(BetTable[Sport]="","",BetTable[Stake]+BetTable[S2]+BetTable[S3])</f>
        <v>17</v>
      </c>
      <c r="X327" s="196">
        <f>IF(BetTable[Odds]="","",(BetTable[WBA1-Commission])-BetTable[TS])</f>
        <v>11.729999999999997</v>
      </c>
      <c r="Y327" s="200">
        <f>IF(BetTable[Outcome]="","",BetTable[WBA1]+BetTable[WBA2]+BetTable[WBA3]-BetTable[TS])</f>
        <v>11.729999999999997</v>
      </c>
      <c r="Z327" s="196">
        <f>(((BetTable[Odds]-1)*BetTable[Stake])*(1-(BetTable[Comm %]))+BetTable[Stake])</f>
        <v>28.729999999999997</v>
      </c>
      <c r="AA327" s="196">
        <f>(((BetTable[O2]-1)*BetTable[S2])*(1-(BetTable[C% 2]))+BetTable[S2])</f>
        <v>0</v>
      </c>
      <c r="AB327" s="196">
        <f>(((BetTable[O3]-1)*BetTable[S3])*(1-(BetTable[C% 3]))+BetTable[S3])</f>
        <v>0</v>
      </c>
      <c r="AC327" s="197">
        <f>IFERROR(IF(BetTable[Sport]="","",BetTable[R1]/BetTable[TS]),"")</f>
        <v>0.68999999999999984</v>
      </c>
      <c r="AD327" s="197" t="str">
        <f>IF(BetTable[O2]="","",#REF!/BetTable[TS])</f>
        <v/>
      </c>
      <c r="AE327" s="197" t="str">
        <f>IFERROR(IF(BetTable[Sport]="","",#REF!/BetTable[TS]),"")</f>
        <v/>
      </c>
      <c r="AF327" s="196">
        <f>IF(BetTable[Outcome]="Win",BetTable[WBA1-Commission],IF(BetTable[Outcome]="Win Half Stake",(BetTable[Stake]/2)+BetTable[WBA1-Commission]/2,IF(BetTable[Outcome]="Lose Half Stake",BetTable[Stake]/2,IF(BetTable[Outcome]="Lose",0,IF(BetTable[Outcome]="Void",BetTable[Stake],)))))</f>
        <v>28.729999999999997</v>
      </c>
      <c r="AG327" s="196">
        <f>IF(BetTable[Outcome2]="Win",BetTable[WBA2-Commission],IF(BetTable[Outcome2]="Win Half Stake",(BetTable[S2]/2)+BetTable[WBA2-Commission]/2,IF(BetTable[Outcome2]="Lose Half Stake",BetTable[S2]/2,IF(BetTable[Outcome2]="Lose",0,IF(BetTable[Outcome2]="Void",BetTable[S2],)))))</f>
        <v>0</v>
      </c>
      <c r="AH327" s="196">
        <f>IF(BetTable[Outcome3]="Win",BetTable[WBA3-Commission],IF(BetTable[Outcome3]="Win Half Stake",(BetTable[S3]/2)+BetTable[WBA3-Commission]/2,IF(BetTable[Outcome3]="Lose Half Stake",BetTable[S3]/2,IF(BetTable[Outcome3]="Lose",0,IF(BetTable[Outcome3]="Void",BetTable[S3],)))))</f>
        <v>0</v>
      </c>
      <c r="AI327" s="200">
        <f>IF(BetTable[Outcome]="",AI326,BetTable[Result]+AI326)</f>
        <v>672.30425000000025</v>
      </c>
      <c r="AJ327" s="192"/>
    </row>
    <row r="328" spans="1:36" x14ac:dyDescent="0.2">
      <c r="A328" s="191" t="s">
        <v>1048</v>
      </c>
      <c r="B328" s="192" t="s">
        <v>8</v>
      </c>
      <c r="C328" s="193" t="s">
        <v>91</v>
      </c>
      <c r="D328" s="193"/>
      <c r="E328" s="193"/>
      <c r="F328" s="194"/>
      <c r="G328" s="194"/>
      <c r="H328" s="194"/>
      <c r="I328" s="192" t="s">
        <v>1075</v>
      </c>
      <c r="J328" s="195">
        <v>2.31</v>
      </c>
      <c r="K328" s="195"/>
      <c r="L328" s="195"/>
      <c r="M328" s="196">
        <v>15</v>
      </c>
      <c r="N328" s="196"/>
      <c r="O328" s="196"/>
      <c r="P328" s="191" t="s">
        <v>428</v>
      </c>
      <c r="Q328" s="191" t="s">
        <v>703</v>
      </c>
      <c r="R328" s="191" t="s">
        <v>1076</v>
      </c>
      <c r="S328" s="197">
        <v>1.5973906593011199E-2</v>
      </c>
      <c r="T328" s="198" t="s">
        <v>372</v>
      </c>
      <c r="U328" s="198"/>
      <c r="V328" s="198"/>
      <c r="W328" s="199">
        <f>IF(BetTable[Sport]="","",BetTable[Stake]+BetTable[S2]+BetTable[S3])</f>
        <v>15</v>
      </c>
      <c r="X328" s="196">
        <f>IF(BetTable[Odds]="","",(BetTable[WBA1-Commission])-BetTable[TS])</f>
        <v>19.650000000000006</v>
      </c>
      <c r="Y328" s="200">
        <f>IF(BetTable[Outcome]="","",BetTable[WBA1]+BetTable[WBA2]+BetTable[WBA3]-BetTable[TS])</f>
        <v>19.650000000000006</v>
      </c>
      <c r="Z328" s="196">
        <f>(((BetTable[Odds]-1)*BetTable[Stake])*(1-(BetTable[Comm %]))+BetTable[Stake])</f>
        <v>34.650000000000006</v>
      </c>
      <c r="AA328" s="196">
        <f>(((BetTable[O2]-1)*BetTable[S2])*(1-(BetTable[C% 2]))+BetTable[S2])</f>
        <v>0</v>
      </c>
      <c r="AB328" s="196">
        <f>(((BetTable[O3]-1)*BetTable[S3])*(1-(BetTable[C% 3]))+BetTable[S3])</f>
        <v>0</v>
      </c>
      <c r="AC328" s="197">
        <f>IFERROR(IF(BetTable[Sport]="","",BetTable[R1]/BetTable[TS]),"")</f>
        <v>1.3100000000000003</v>
      </c>
      <c r="AD328" s="197" t="str">
        <f>IF(BetTable[O2]="","",#REF!/BetTable[TS])</f>
        <v/>
      </c>
      <c r="AE328" s="197" t="str">
        <f>IFERROR(IF(BetTable[Sport]="","",#REF!/BetTable[TS]),"")</f>
        <v/>
      </c>
      <c r="AF328" s="196">
        <f>IF(BetTable[Outcome]="Win",BetTable[WBA1-Commission],IF(BetTable[Outcome]="Win Half Stake",(BetTable[Stake]/2)+BetTable[WBA1-Commission]/2,IF(BetTable[Outcome]="Lose Half Stake",BetTable[Stake]/2,IF(BetTable[Outcome]="Lose",0,IF(BetTable[Outcome]="Void",BetTable[Stake],)))))</f>
        <v>34.650000000000006</v>
      </c>
      <c r="AG328" s="196">
        <f>IF(BetTable[Outcome2]="Win",BetTable[WBA2-Commission],IF(BetTable[Outcome2]="Win Half Stake",(BetTable[S2]/2)+BetTable[WBA2-Commission]/2,IF(BetTable[Outcome2]="Lose Half Stake",BetTable[S2]/2,IF(BetTable[Outcome2]="Lose",0,IF(BetTable[Outcome2]="Void",BetTable[S2],)))))</f>
        <v>0</v>
      </c>
      <c r="AH328" s="196">
        <f>IF(BetTable[Outcome3]="Win",BetTable[WBA3-Commission],IF(BetTable[Outcome3]="Win Half Stake",(BetTable[S3]/2)+BetTable[WBA3-Commission]/2,IF(BetTable[Outcome3]="Lose Half Stake",BetTable[S3]/2,IF(BetTable[Outcome3]="Lose",0,IF(BetTable[Outcome3]="Void",BetTable[S3],)))))</f>
        <v>0</v>
      </c>
      <c r="AI328" s="200">
        <f>IF(BetTable[Outcome]="",AI327,BetTable[Result]+AI327)</f>
        <v>691.95425000000023</v>
      </c>
      <c r="AJ328" s="192"/>
    </row>
    <row r="329" spans="1:36" x14ac:dyDescent="0.2">
      <c r="A329" s="191" t="s">
        <v>1048</v>
      </c>
      <c r="B329" s="192" t="s">
        <v>200</v>
      </c>
      <c r="C329" s="193" t="s">
        <v>216</v>
      </c>
      <c r="D329" s="193"/>
      <c r="E329" s="193"/>
      <c r="F329" s="194"/>
      <c r="G329" s="194"/>
      <c r="H329" s="194"/>
      <c r="I329" s="192" t="s">
        <v>1049</v>
      </c>
      <c r="J329" s="195">
        <v>2.6</v>
      </c>
      <c r="K329" s="195"/>
      <c r="L329" s="195"/>
      <c r="M329" s="196">
        <v>11</v>
      </c>
      <c r="N329" s="196"/>
      <c r="O329" s="196"/>
      <c r="P329" s="191" t="s">
        <v>435</v>
      </c>
      <c r="Q329" s="191" t="s">
        <v>491</v>
      </c>
      <c r="R329" s="191" t="s">
        <v>1077</v>
      </c>
      <c r="S329" s="197">
        <v>1.4001891646989501E-2</v>
      </c>
      <c r="T329" s="198" t="s">
        <v>382</v>
      </c>
      <c r="U329" s="198"/>
      <c r="V329" s="198"/>
      <c r="W329" s="199">
        <f>IF(BetTable[Sport]="","",BetTable[Stake]+BetTable[S2]+BetTable[S3])</f>
        <v>11</v>
      </c>
      <c r="X329" s="196">
        <f>IF(BetTable[Odds]="","",(BetTable[WBA1-Commission])-BetTable[TS])</f>
        <v>17.600000000000001</v>
      </c>
      <c r="Y329" s="200">
        <f>IF(BetTable[Outcome]="","",BetTable[WBA1]+BetTable[WBA2]+BetTable[WBA3]-BetTable[TS])</f>
        <v>-11</v>
      </c>
      <c r="Z329" s="196">
        <f>(((BetTable[Odds]-1)*BetTable[Stake])*(1-(BetTable[Comm %]))+BetTable[Stake])</f>
        <v>28.6</v>
      </c>
      <c r="AA329" s="196">
        <f>(((BetTable[O2]-1)*BetTable[S2])*(1-(BetTable[C% 2]))+BetTable[S2])</f>
        <v>0</v>
      </c>
      <c r="AB329" s="196">
        <f>(((BetTable[O3]-1)*BetTable[S3])*(1-(BetTable[C% 3]))+BetTable[S3])</f>
        <v>0</v>
      </c>
      <c r="AC329" s="197">
        <f>IFERROR(IF(BetTable[Sport]="","",BetTable[R1]/BetTable[TS]),"")</f>
        <v>1.6</v>
      </c>
      <c r="AD329" s="197" t="str">
        <f>IF(BetTable[O2]="","",#REF!/BetTable[TS])</f>
        <v/>
      </c>
      <c r="AE329" s="197" t="str">
        <f>IFERROR(IF(BetTable[Sport]="","",#REF!/BetTable[TS]),"")</f>
        <v/>
      </c>
      <c r="AF329" s="196">
        <f>IF(BetTable[Outcome]="Win",BetTable[WBA1-Commission],IF(BetTable[Outcome]="Win Half Stake",(BetTable[Stake]/2)+BetTable[WBA1-Commission]/2,IF(BetTable[Outcome]="Lose Half Stake",BetTable[Stake]/2,IF(BetTable[Outcome]="Lose",0,IF(BetTable[Outcome]="Void",BetTable[Stake],)))))</f>
        <v>0</v>
      </c>
      <c r="AG329" s="196">
        <f>IF(BetTable[Outcome2]="Win",BetTable[WBA2-Commission],IF(BetTable[Outcome2]="Win Half Stake",(BetTable[S2]/2)+BetTable[WBA2-Commission]/2,IF(BetTable[Outcome2]="Lose Half Stake",BetTable[S2]/2,IF(BetTable[Outcome2]="Lose",0,IF(BetTable[Outcome2]="Void",BetTable[S2],)))))</f>
        <v>0</v>
      </c>
      <c r="AH329" s="196">
        <f>IF(BetTable[Outcome3]="Win",BetTable[WBA3-Commission],IF(BetTable[Outcome3]="Win Half Stake",(BetTable[S3]/2)+BetTable[WBA3-Commission]/2,IF(BetTable[Outcome3]="Lose Half Stake",BetTable[S3]/2,IF(BetTable[Outcome3]="Lose",0,IF(BetTable[Outcome3]="Void",BetTable[S3],)))))</f>
        <v>0</v>
      </c>
      <c r="AI329" s="200">
        <f>IF(BetTable[Outcome]="",AI328,BetTable[Result]+AI328)</f>
        <v>680.95425000000023</v>
      </c>
      <c r="AJ329" s="192"/>
    </row>
    <row r="330" spans="1:36" x14ac:dyDescent="0.2">
      <c r="A330" s="159" t="s">
        <v>1048</v>
      </c>
      <c r="B330" s="160" t="s">
        <v>200</v>
      </c>
      <c r="C330" s="161" t="s">
        <v>234</v>
      </c>
      <c r="D330" s="161"/>
      <c r="E330" s="161"/>
      <c r="F330" s="162"/>
      <c r="G330" s="162"/>
      <c r="H330" s="162"/>
      <c r="I330" s="160" t="s">
        <v>1078</v>
      </c>
      <c r="J330" s="163">
        <v>1.79</v>
      </c>
      <c r="K330" s="163"/>
      <c r="L330" s="163"/>
      <c r="M330" s="164">
        <v>35</v>
      </c>
      <c r="N330" s="164"/>
      <c r="O330" s="164"/>
      <c r="P330" s="159" t="s">
        <v>435</v>
      </c>
      <c r="Q330" s="159" t="s">
        <v>547</v>
      </c>
      <c r="R330" s="159" t="s">
        <v>1079</v>
      </c>
      <c r="S330" s="165">
        <v>2.28551242988119E-2</v>
      </c>
      <c r="T330" s="166" t="s">
        <v>382</v>
      </c>
      <c r="U330" s="166"/>
      <c r="V330" s="166"/>
      <c r="W330" s="167">
        <f>IF(BetTable[Sport]="","",BetTable[Stake]+BetTable[S2]+BetTable[S3])</f>
        <v>35</v>
      </c>
      <c r="X330" s="164">
        <f>IF(BetTable[Odds]="","",(BetTable[WBA1-Commission])-BetTable[TS])</f>
        <v>27.650000000000006</v>
      </c>
      <c r="Y330" s="168">
        <f>IF(BetTable[Outcome]="","",BetTable[WBA1]+BetTable[WBA2]+BetTable[WBA3]-BetTable[TS])</f>
        <v>-35</v>
      </c>
      <c r="Z330" s="164">
        <f>(((BetTable[Odds]-1)*BetTable[Stake])*(1-(BetTable[Comm %]))+BetTable[Stake])</f>
        <v>62.650000000000006</v>
      </c>
      <c r="AA330" s="164">
        <f>(((BetTable[O2]-1)*BetTable[S2])*(1-(BetTable[C% 2]))+BetTable[S2])</f>
        <v>0</v>
      </c>
      <c r="AB330" s="164">
        <f>(((BetTable[O3]-1)*BetTable[S3])*(1-(BetTable[C% 3]))+BetTable[S3])</f>
        <v>0</v>
      </c>
      <c r="AC330" s="165">
        <f>IFERROR(IF(BetTable[Sport]="","",BetTable[R1]/BetTable[TS]),"")</f>
        <v>0.79000000000000015</v>
      </c>
      <c r="AD330" s="165" t="str">
        <f>IF(BetTable[O2]="","",#REF!/BetTable[TS])</f>
        <v/>
      </c>
      <c r="AE330" s="165" t="str">
        <f>IFERROR(IF(BetTable[Sport]="","",#REF!/BetTable[TS]),"")</f>
        <v/>
      </c>
      <c r="AF330" s="164">
        <f>IF(BetTable[Outcome]="Win",BetTable[WBA1-Commission],IF(BetTable[Outcome]="Win Half Stake",(BetTable[Stake]/2)+BetTable[WBA1-Commission]/2,IF(BetTable[Outcome]="Lose Half Stake",BetTable[Stake]/2,IF(BetTable[Outcome]="Lose",0,IF(BetTable[Outcome]="Void",BetTable[Stake],)))))</f>
        <v>0</v>
      </c>
      <c r="AG330" s="164">
        <f>IF(BetTable[Outcome2]="Win",BetTable[WBA2-Commission],IF(BetTable[Outcome2]="Win Half Stake",(BetTable[S2]/2)+BetTable[WBA2-Commission]/2,IF(BetTable[Outcome2]="Lose Half Stake",BetTable[S2]/2,IF(BetTable[Outcome2]="Lose",0,IF(BetTable[Outcome2]="Void",BetTable[S2],)))))</f>
        <v>0</v>
      </c>
      <c r="AH330" s="164">
        <f>IF(BetTable[Outcome3]="Win",BetTable[WBA3-Commission],IF(BetTable[Outcome3]="Win Half Stake",(BetTable[S3]/2)+BetTable[WBA3-Commission]/2,IF(BetTable[Outcome3]="Lose Half Stake",BetTable[S3]/2,IF(BetTable[Outcome3]="Lose",0,IF(BetTable[Outcome3]="Void",BetTable[S3],)))))</f>
        <v>0</v>
      </c>
      <c r="AI330" s="168">
        <f>IF(BetTable[Outcome]="",AI329,BetTable[Result]+AI329)</f>
        <v>645.95425000000023</v>
      </c>
      <c r="AJ330" s="160"/>
    </row>
    <row r="331" spans="1:36" x14ac:dyDescent="0.2">
      <c r="A331" s="159" t="s">
        <v>1048</v>
      </c>
      <c r="B331" s="160" t="s">
        <v>8</v>
      </c>
      <c r="C331" s="161" t="s">
        <v>216</v>
      </c>
      <c r="D331" s="161"/>
      <c r="E331" s="161"/>
      <c r="F331" s="162"/>
      <c r="G331" s="162"/>
      <c r="H331" s="162"/>
      <c r="I331" s="160" t="s">
        <v>1080</v>
      </c>
      <c r="J331" s="163">
        <v>1.4079999999999999</v>
      </c>
      <c r="K331" s="163"/>
      <c r="L331" s="163"/>
      <c r="M331" s="164">
        <v>49</v>
      </c>
      <c r="N331" s="164"/>
      <c r="O331" s="164"/>
      <c r="P331" s="159" t="s">
        <v>435</v>
      </c>
      <c r="Q331" s="159" t="s">
        <v>495</v>
      </c>
      <c r="R331" s="159" t="s">
        <v>1081</v>
      </c>
      <c r="S331" s="165">
        <v>2.2293126075223199E-2</v>
      </c>
      <c r="T331" s="166" t="s">
        <v>372</v>
      </c>
      <c r="U331" s="166"/>
      <c r="V331" s="166"/>
      <c r="W331" s="167">
        <f>IF(BetTable[Sport]="","",BetTable[Stake]+BetTable[S2]+BetTable[S3])</f>
        <v>49</v>
      </c>
      <c r="X331" s="164">
        <f>IF(BetTable[Odds]="","",(BetTable[WBA1-Commission])-BetTable[TS])</f>
        <v>19.99199999999999</v>
      </c>
      <c r="Y331" s="168">
        <f>IF(BetTable[Outcome]="","",BetTable[WBA1]+BetTable[WBA2]+BetTable[WBA3]-BetTable[TS])</f>
        <v>19.99199999999999</v>
      </c>
      <c r="Z331" s="164">
        <f>(((BetTable[Odds]-1)*BetTable[Stake])*(1-(BetTable[Comm %]))+BetTable[Stake])</f>
        <v>68.99199999999999</v>
      </c>
      <c r="AA331" s="164">
        <f>(((BetTable[O2]-1)*BetTable[S2])*(1-(BetTable[C% 2]))+BetTable[S2])</f>
        <v>0</v>
      </c>
      <c r="AB331" s="164">
        <f>(((BetTable[O3]-1)*BetTable[S3])*(1-(BetTable[C% 3]))+BetTable[S3])</f>
        <v>0</v>
      </c>
      <c r="AC331" s="165">
        <f>IFERROR(IF(BetTable[Sport]="","",BetTable[R1]/BetTable[TS]),"")</f>
        <v>0.40799999999999981</v>
      </c>
      <c r="AD331" s="165" t="str">
        <f>IF(BetTable[O2]="","",#REF!/BetTable[TS])</f>
        <v/>
      </c>
      <c r="AE331" s="165" t="str">
        <f>IFERROR(IF(BetTable[Sport]="","",#REF!/BetTable[TS]),"")</f>
        <v/>
      </c>
      <c r="AF331" s="164">
        <f>IF(BetTable[Outcome]="Win",BetTable[WBA1-Commission],IF(BetTable[Outcome]="Win Half Stake",(BetTable[Stake]/2)+BetTable[WBA1-Commission]/2,IF(BetTable[Outcome]="Lose Half Stake",BetTable[Stake]/2,IF(BetTable[Outcome]="Lose",0,IF(BetTable[Outcome]="Void",BetTable[Stake],)))))</f>
        <v>68.99199999999999</v>
      </c>
      <c r="AG331" s="164">
        <f>IF(BetTable[Outcome2]="Win",BetTable[WBA2-Commission],IF(BetTable[Outcome2]="Win Half Stake",(BetTable[S2]/2)+BetTable[WBA2-Commission]/2,IF(BetTable[Outcome2]="Lose Half Stake",BetTable[S2]/2,IF(BetTable[Outcome2]="Lose",0,IF(BetTable[Outcome2]="Void",BetTable[S2],)))))</f>
        <v>0</v>
      </c>
      <c r="AH331" s="164">
        <f>IF(BetTable[Outcome3]="Win",BetTable[WBA3-Commission],IF(BetTable[Outcome3]="Win Half Stake",(BetTable[S3]/2)+BetTable[WBA3-Commission]/2,IF(BetTable[Outcome3]="Lose Half Stake",BetTable[S3]/2,IF(BetTable[Outcome3]="Lose",0,IF(BetTable[Outcome3]="Void",BetTable[S3],)))))</f>
        <v>0</v>
      </c>
      <c r="AI331" s="168">
        <f>IF(BetTable[Outcome]="",AI330,BetTable[Result]+AI330)</f>
        <v>665.94625000000019</v>
      </c>
      <c r="AJ331" s="160"/>
    </row>
    <row r="332" spans="1:36" x14ac:dyDescent="0.2">
      <c r="A332" s="159" t="s">
        <v>1048</v>
      </c>
      <c r="B332" s="160" t="s">
        <v>8</v>
      </c>
      <c r="C332" s="161" t="s">
        <v>91</v>
      </c>
      <c r="D332" s="161"/>
      <c r="E332" s="161"/>
      <c r="F332" s="162"/>
      <c r="G332" s="162"/>
      <c r="H332" s="162"/>
      <c r="I332" s="160" t="s">
        <v>1082</v>
      </c>
      <c r="J332" s="163">
        <v>2.0299999999999998</v>
      </c>
      <c r="K332" s="163"/>
      <c r="L332" s="163"/>
      <c r="M332" s="164">
        <v>17</v>
      </c>
      <c r="N332" s="164"/>
      <c r="O332" s="164"/>
      <c r="P332" s="159" t="s">
        <v>428</v>
      </c>
      <c r="Q332" s="159" t="s">
        <v>1083</v>
      </c>
      <c r="R332" s="159" t="s">
        <v>1084</v>
      </c>
      <c r="S332" s="165">
        <v>1.4999999999999999E-2</v>
      </c>
      <c r="T332" s="166" t="s">
        <v>382</v>
      </c>
      <c r="U332" s="166"/>
      <c r="V332" s="166"/>
      <c r="W332" s="167">
        <f>IF(BetTable[Sport]="","",BetTable[Stake]+BetTable[S2]+BetTable[S3])</f>
        <v>17</v>
      </c>
      <c r="X332" s="164">
        <f>IF(BetTable[Odds]="","",(BetTable[WBA1-Commission])-BetTable[TS])</f>
        <v>17.509999999999998</v>
      </c>
      <c r="Y332" s="168">
        <f>IF(BetTable[Outcome]="","",BetTable[WBA1]+BetTable[WBA2]+BetTable[WBA3]-BetTable[TS])</f>
        <v>-17</v>
      </c>
      <c r="Z332" s="164">
        <f>(((BetTable[Odds]-1)*BetTable[Stake])*(1-(BetTable[Comm %]))+BetTable[Stake])</f>
        <v>34.51</v>
      </c>
      <c r="AA332" s="164">
        <f>(((BetTable[O2]-1)*BetTable[S2])*(1-(BetTable[C% 2]))+BetTable[S2])</f>
        <v>0</v>
      </c>
      <c r="AB332" s="164">
        <f>(((BetTable[O3]-1)*BetTable[S3])*(1-(BetTable[C% 3]))+BetTable[S3])</f>
        <v>0</v>
      </c>
      <c r="AC332" s="165">
        <f>IFERROR(IF(BetTable[Sport]="","",BetTable[R1]/BetTable[TS]),"")</f>
        <v>1.0299999999999998</v>
      </c>
      <c r="AD332" s="165" t="str">
        <f>IF(BetTable[O2]="","",#REF!/BetTable[TS])</f>
        <v/>
      </c>
      <c r="AE332" s="165" t="str">
        <f>IFERROR(IF(BetTable[Sport]="","",#REF!/BetTable[TS]),"")</f>
        <v/>
      </c>
      <c r="AF332" s="164">
        <f>IF(BetTable[Outcome]="Win",BetTable[WBA1-Commission],IF(BetTable[Outcome]="Win Half Stake",(BetTable[Stake]/2)+BetTable[WBA1-Commission]/2,IF(BetTable[Outcome]="Lose Half Stake",BetTable[Stake]/2,IF(BetTable[Outcome]="Lose",0,IF(BetTable[Outcome]="Void",BetTable[Stake],)))))</f>
        <v>0</v>
      </c>
      <c r="AG332" s="164">
        <f>IF(BetTable[Outcome2]="Win",BetTable[WBA2-Commission],IF(BetTable[Outcome2]="Win Half Stake",(BetTable[S2]/2)+BetTable[WBA2-Commission]/2,IF(BetTable[Outcome2]="Lose Half Stake",BetTable[S2]/2,IF(BetTable[Outcome2]="Lose",0,IF(BetTable[Outcome2]="Void",BetTable[S2],)))))</f>
        <v>0</v>
      </c>
      <c r="AH332" s="164">
        <f>IF(BetTable[Outcome3]="Win",BetTable[WBA3-Commission],IF(BetTable[Outcome3]="Win Half Stake",(BetTable[S3]/2)+BetTable[WBA3-Commission]/2,IF(BetTable[Outcome3]="Lose Half Stake",BetTable[S3]/2,IF(BetTable[Outcome3]="Lose",0,IF(BetTable[Outcome3]="Void",BetTable[S3],)))))</f>
        <v>0</v>
      </c>
      <c r="AI332" s="168">
        <f>IF(BetTable[Outcome]="",AI331,BetTable[Result]+AI331)</f>
        <v>648.94625000000019</v>
      </c>
      <c r="AJ332" s="160"/>
    </row>
    <row r="333" spans="1:36" x14ac:dyDescent="0.2">
      <c r="A333" s="159" t="s">
        <v>1048</v>
      </c>
      <c r="B333" s="160" t="s">
        <v>200</v>
      </c>
      <c r="C333" s="161" t="s">
        <v>91</v>
      </c>
      <c r="D333" s="161"/>
      <c r="E333" s="161"/>
      <c r="F333" s="162"/>
      <c r="G333" s="162"/>
      <c r="H333" s="162"/>
      <c r="I333" s="160" t="s">
        <v>1085</v>
      </c>
      <c r="J333" s="163">
        <v>1.9</v>
      </c>
      <c r="K333" s="163"/>
      <c r="L333" s="163"/>
      <c r="M333" s="164">
        <v>24</v>
      </c>
      <c r="N333" s="164"/>
      <c r="O333" s="164"/>
      <c r="P333" s="159" t="s">
        <v>1086</v>
      </c>
      <c r="Q333" s="159" t="s">
        <v>503</v>
      </c>
      <c r="R333" s="159" t="s">
        <v>1087</v>
      </c>
      <c r="S333" s="165">
        <v>1.7647058823529401E-2</v>
      </c>
      <c r="T333" s="166" t="s">
        <v>372</v>
      </c>
      <c r="U333" s="166"/>
      <c r="V333" s="166"/>
      <c r="W333" s="167">
        <f>IF(BetTable[Sport]="","",BetTable[Stake]+BetTable[S2]+BetTable[S3])</f>
        <v>24</v>
      </c>
      <c r="X333" s="164">
        <f>IF(BetTable[Odds]="","",(BetTable[WBA1-Commission])-BetTable[TS])</f>
        <v>21.599999999999994</v>
      </c>
      <c r="Y333" s="168">
        <f>IF(BetTable[Outcome]="","",BetTable[WBA1]+BetTable[WBA2]+BetTable[WBA3]-BetTable[TS])</f>
        <v>21.599999999999994</v>
      </c>
      <c r="Z333" s="164">
        <f>(((BetTable[Odds]-1)*BetTable[Stake])*(1-(BetTable[Comm %]))+BetTable[Stake])</f>
        <v>45.599999999999994</v>
      </c>
      <c r="AA333" s="164">
        <f>(((BetTable[O2]-1)*BetTable[S2])*(1-(BetTable[C% 2]))+BetTable[S2])</f>
        <v>0</v>
      </c>
      <c r="AB333" s="164">
        <f>(((BetTable[O3]-1)*BetTable[S3])*(1-(BetTable[C% 3]))+BetTable[S3])</f>
        <v>0</v>
      </c>
      <c r="AC333" s="165">
        <f>IFERROR(IF(BetTable[Sport]="","",BetTable[R1]/BetTable[TS]),"")</f>
        <v>0.8999999999999998</v>
      </c>
      <c r="AD333" s="165" t="str">
        <f>IF(BetTable[O2]="","",#REF!/BetTable[TS])</f>
        <v/>
      </c>
      <c r="AE333" s="165" t="str">
        <f>IFERROR(IF(BetTable[Sport]="","",#REF!/BetTable[TS]),"")</f>
        <v/>
      </c>
      <c r="AF333" s="164">
        <f>IF(BetTable[Outcome]="Win",BetTable[WBA1-Commission],IF(BetTable[Outcome]="Win Half Stake",(BetTable[Stake]/2)+BetTable[WBA1-Commission]/2,IF(BetTable[Outcome]="Lose Half Stake",BetTable[Stake]/2,IF(BetTable[Outcome]="Lose",0,IF(BetTable[Outcome]="Void",BetTable[Stake],)))))</f>
        <v>45.599999999999994</v>
      </c>
      <c r="AG333" s="164">
        <f>IF(BetTable[Outcome2]="Win",BetTable[WBA2-Commission],IF(BetTable[Outcome2]="Win Half Stake",(BetTable[S2]/2)+BetTable[WBA2-Commission]/2,IF(BetTable[Outcome2]="Lose Half Stake",BetTable[S2]/2,IF(BetTable[Outcome2]="Lose",0,IF(BetTable[Outcome2]="Void",BetTable[S2],)))))</f>
        <v>0</v>
      </c>
      <c r="AH333" s="164">
        <f>IF(BetTable[Outcome3]="Win",BetTable[WBA3-Commission],IF(BetTable[Outcome3]="Win Half Stake",(BetTable[S3]/2)+BetTable[WBA3-Commission]/2,IF(BetTable[Outcome3]="Lose Half Stake",BetTable[S3]/2,IF(BetTable[Outcome3]="Lose",0,IF(BetTable[Outcome3]="Void",BetTable[S3],)))))</f>
        <v>0</v>
      </c>
      <c r="AI333" s="168">
        <f>IF(BetTable[Outcome]="",AI332,BetTable[Result]+AI332)</f>
        <v>670.54625000000021</v>
      </c>
      <c r="AJ333" s="160"/>
    </row>
    <row r="334" spans="1:36" x14ac:dyDescent="0.2">
      <c r="A334" s="159" t="s">
        <v>1048</v>
      </c>
      <c r="B334" s="160" t="s">
        <v>200</v>
      </c>
      <c r="C334" s="161" t="s">
        <v>234</v>
      </c>
      <c r="D334" s="161"/>
      <c r="E334" s="161"/>
      <c r="F334" s="162"/>
      <c r="G334" s="162"/>
      <c r="H334" s="162"/>
      <c r="I334" s="160" t="s">
        <v>1088</v>
      </c>
      <c r="J334" s="163">
        <v>1.78</v>
      </c>
      <c r="K334" s="163"/>
      <c r="L334" s="163"/>
      <c r="M334" s="164">
        <v>17</v>
      </c>
      <c r="N334" s="164"/>
      <c r="O334" s="164"/>
      <c r="P334" s="159" t="s">
        <v>637</v>
      </c>
      <c r="Q334" s="159" t="s">
        <v>503</v>
      </c>
      <c r="R334" s="159" t="s">
        <v>1089</v>
      </c>
      <c r="S334" s="165">
        <v>1.09894127581082E-2</v>
      </c>
      <c r="T334" s="166" t="s">
        <v>382</v>
      </c>
      <c r="U334" s="166"/>
      <c r="V334" s="166"/>
      <c r="W334" s="167">
        <f>IF(BetTable[Sport]="","",BetTable[Stake]+BetTable[S2]+BetTable[S3])</f>
        <v>17</v>
      </c>
      <c r="X334" s="164">
        <f>IF(BetTable[Odds]="","",(BetTable[WBA1-Commission])-BetTable[TS])</f>
        <v>13.259999999999998</v>
      </c>
      <c r="Y334" s="168">
        <f>IF(BetTable[Outcome]="","",BetTable[WBA1]+BetTable[WBA2]+BetTable[WBA3]-BetTable[TS])</f>
        <v>-17</v>
      </c>
      <c r="Z334" s="164">
        <f>(((BetTable[Odds]-1)*BetTable[Stake])*(1-(BetTable[Comm %]))+BetTable[Stake])</f>
        <v>30.259999999999998</v>
      </c>
      <c r="AA334" s="164">
        <f>(((BetTable[O2]-1)*BetTable[S2])*(1-(BetTable[C% 2]))+BetTable[S2])</f>
        <v>0</v>
      </c>
      <c r="AB334" s="164">
        <f>(((BetTable[O3]-1)*BetTable[S3])*(1-(BetTable[C% 3]))+BetTable[S3])</f>
        <v>0</v>
      </c>
      <c r="AC334" s="165">
        <f>IFERROR(IF(BetTable[Sport]="","",BetTable[R1]/BetTable[TS]),"")</f>
        <v>0.77999999999999992</v>
      </c>
      <c r="AD334" s="165" t="str">
        <f>IF(BetTable[O2]="","",#REF!/BetTable[TS])</f>
        <v/>
      </c>
      <c r="AE334" s="165" t="str">
        <f>IFERROR(IF(BetTable[Sport]="","",#REF!/BetTable[TS]),"")</f>
        <v/>
      </c>
      <c r="AF334" s="164">
        <f>IF(BetTable[Outcome]="Win",BetTable[WBA1-Commission],IF(BetTable[Outcome]="Win Half Stake",(BetTable[Stake]/2)+BetTable[WBA1-Commission]/2,IF(BetTable[Outcome]="Lose Half Stake",BetTable[Stake]/2,IF(BetTable[Outcome]="Lose",0,IF(BetTable[Outcome]="Void",BetTable[Stake],)))))</f>
        <v>0</v>
      </c>
      <c r="AG334" s="164">
        <f>IF(BetTable[Outcome2]="Win",BetTable[WBA2-Commission],IF(BetTable[Outcome2]="Win Half Stake",(BetTable[S2]/2)+BetTable[WBA2-Commission]/2,IF(BetTable[Outcome2]="Lose Half Stake",BetTable[S2]/2,IF(BetTable[Outcome2]="Lose",0,IF(BetTable[Outcome2]="Void",BetTable[S2],)))))</f>
        <v>0</v>
      </c>
      <c r="AH334" s="164">
        <f>IF(BetTable[Outcome3]="Win",BetTable[WBA3-Commission],IF(BetTable[Outcome3]="Win Half Stake",(BetTable[S3]/2)+BetTable[WBA3-Commission]/2,IF(BetTable[Outcome3]="Lose Half Stake",BetTable[S3]/2,IF(BetTable[Outcome3]="Lose",0,IF(BetTable[Outcome3]="Void",BetTable[S3],)))))</f>
        <v>0</v>
      </c>
      <c r="AI334" s="168">
        <f>IF(BetTable[Outcome]="",AI333,BetTable[Result]+AI333)</f>
        <v>653.54625000000021</v>
      </c>
      <c r="AJ334" s="160"/>
    </row>
    <row r="335" spans="1:36" x14ac:dyDescent="0.2">
      <c r="A335" s="159" t="s">
        <v>1048</v>
      </c>
      <c r="B335" s="160" t="s">
        <v>200</v>
      </c>
      <c r="C335" s="161" t="s">
        <v>216</v>
      </c>
      <c r="D335" s="161"/>
      <c r="E335" s="161"/>
      <c r="F335" s="162"/>
      <c r="G335" s="162"/>
      <c r="H335" s="162"/>
      <c r="I335" s="160" t="s">
        <v>1090</v>
      </c>
      <c r="J335" s="163">
        <v>3.41</v>
      </c>
      <c r="K335" s="163"/>
      <c r="L335" s="163"/>
      <c r="M335" s="164">
        <v>11</v>
      </c>
      <c r="N335" s="164"/>
      <c r="O335" s="164"/>
      <c r="P335" s="159" t="s">
        <v>494</v>
      </c>
      <c r="Q335" s="159" t="s">
        <v>581</v>
      </c>
      <c r="R335" s="159" t="s">
        <v>1091</v>
      </c>
      <c r="S335" s="165">
        <v>2.1245147848443099E-2</v>
      </c>
      <c r="T335" s="166" t="s">
        <v>382</v>
      </c>
      <c r="U335" s="166"/>
      <c r="V335" s="166"/>
      <c r="W335" s="167">
        <f>IF(BetTable[Sport]="","",BetTable[Stake]+BetTable[S2]+BetTable[S3])</f>
        <v>11</v>
      </c>
      <c r="X335" s="164">
        <f>IF(BetTable[Odds]="","",(BetTable[WBA1-Commission])-BetTable[TS])</f>
        <v>26.510000000000005</v>
      </c>
      <c r="Y335" s="168">
        <f>IF(BetTable[Outcome]="","",BetTable[WBA1]+BetTable[WBA2]+BetTable[WBA3]-BetTable[TS])</f>
        <v>-11</v>
      </c>
      <c r="Z335" s="164">
        <f>(((BetTable[Odds]-1)*BetTable[Stake])*(1-(BetTable[Comm %]))+BetTable[Stake])</f>
        <v>37.510000000000005</v>
      </c>
      <c r="AA335" s="164">
        <f>(((BetTable[O2]-1)*BetTable[S2])*(1-(BetTable[C% 2]))+BetTable[S2])</f>
        <v>0</v>
      </c>
      <c r="AB335" s="164">
        <f>(((BetTable[O3]-1)*BetTable[S3])*(1-(BetTable[C% 3]))+BetTable[S3])</f>
        <v>0</v>
      </c>
      <c r="AC335" s="165">
        <f>IFERROR(IF(BetTable[Sport]="","",BetTable[R1]/BetTable[TS]),"")</f>
        <v>2.4100000000000006</v>
      </c>
      <c r="AD335" s="165" t="str">
        <f>IF(BetTable[O2]="","",#REF!/BetTable[TS])</f>
        <v/>
      </c>
      <c r="AE335" s="165" t="str">
        <f>IFERROR(IF(BetTable[Sport]="","",#REF!/BetTable[TS]),"")</f>
        <v/>
      </c>
      <c r="AF335" s="164">
        <f>IF(BetTable[Outcome]="Win",BetTable[WBA1-Commission],IF(BetTable[Outcome]="Win Half Stake",(BetTable[Stake]/2)+BetTable[WBA1-Commission]/2,IF(BetTable[Outcome]="Lose Half Stake",BetTable[Stake]/2,IF(BetTable[Outcome]="Lose",0,IF(BetTable[Outcome]="Void",BetTable[Stake],)))))</f>
        <v>0</v>
      </c>
      <c r="AG335" s="164">
        <f>IF(BetTable[Outcome2]="Win",BetTable[WBA2-Commission],IF(BetTable[Outcome2]="Win Half Stake",(BetTable[S2]/2)+BetTable[WBA2-Commission]/2,IF(BetTable[Outcome2]="Lose Half Stake",BetTable[S2]/2,IF(BetTable[Outcome2]="Lose",0,IF(BetTable[Outcome2]="Void",BetTable[S2],)))))</f>
        <v>0</v>
      </c>
      <c r="AH335" s="164">
        <f>IF(BetTable[Outcome3]="Win",BetTable[WBA3-Commission],IF(BetTable[Outcome3]="Win Half Stake",(BetTable[S3]/2)+BetTable[WBA3-Commission]/2,IF(BetTable[Outcome3]="Lose Half Stake",BetTable[S3]/2,IF(BetTable[Outcome3]="Lose",0,IF(BetTable[Outcome3]="Void",BetTable[S3],)))))</f>
        <v>0</v>
      </c>
      <c r="AI335" s="168">
        <f>IF(BetTable[Outcome]="",AI334,BetTable[Result]+AI334)</f>
        <v>642.54625000000021</v>
      </c>
      <c r="AJ335" s="160"/>
    </row>
    <row r="336" spans="1:36" x14ac:dyDescent="0.2">
      <c r="A336" s="159" t="s">
        <v>1048</v>
      </c>
      <c r="B336" s="160" t="s">
        <v>200</v>
      </c>
      <c r="C336" s="161" t="s">
        <v>234</v>
      </c>
      <c r="D336" s="161"/>
      <c r="E336" s="161"/>
      <c r="F336" s="162"/>
      <c r="G336" s="162"/>
      <c r="H336" s="162"/>
      <c r="I336" s="160" t="s">
        <v>1092</v>
      </c>
      <c r="J336" s="163">
        <v>1.67</v>
      </c>
      <c r="K336" s="163"/>
      <c r="L336" s="163"/>
      <c r="M336" s="164">
        <v>20</v>
      </c>
      <c r="N336" s="164"/>
      <c r="O336" s="164"/>
      <c r="P336" s="159" t="s">
        <v>668</v>
      </c>
      <c r="Q336" s="159" t="s">
        <v>495</v>
      </c>
      <c r="R336" s="159" t="s">
        <v>1093</v>
      </c>
      <c r="S336" s="165">
        <v>1.14428053419359E-2</v>
      </c>
      <c r="T336" s="166" t="s">
        <v>382</v>
      </c>
      <c r="U336" s="166"/>
      <c r="V336" s="166"/>
      <c r="W336" s="167">
        <f>IF(BetTable[Sport]="","",BetTable[Stake]+BetTable[S2]+BetTable[S3])</f>
        <v>20</v>
      </c>
      <c r="X336" s="164">
        <f>IF(BetTable[Odds]="","",(BetTable[WBA1-Commission])-BetTable[TS])</f>
        <v>13.399999999999999</v>
      </c>
      <c r="Y336" s="168">
        <f>IF(BetTable[Outcome]="","",BetTable[WBA1]+BetTable[WBA2]+BetTable[WBA3]-BetTable[TS])</f>
        <v>-20</v>
      </c>
      <c r="Z336" s="164">
        <f>(((BetTable[Odds]-1)*BetTable[Stake])*(1-(BetTable[Comm %]))+BetTable[Stake])</f>
        <v>33.4</v>
      </c>
      <c r="AA336" s="164">
        <f>(((BetTable[O2]-1)*BetTable[S2])*(1-(BetTable[C% 2]))+BetTable[S2])</f>
        <v>0</v>
      </c>
      <c r="AB336" s="164">
        <f>(((BetTable[O3]-1)*BetTable[S3])*(1-(BetTable[C% 3]))+BetTable[S3])</f>
        <v>0</v>
      </c>
      <c r="AC336" s="165">
        <f>IFERROR(IF(BetTable[Sport]="","",BetTable[R1]/BetTable[TS]),"")</f>
        <v>0.66999999999999993</v>
      </c>
      <c r="AD336" s="165" t="str">
        <f>IF(BetTable[O2]="","",#REF!/BetTable[TS])</f>
        <v/>
      </c>
      <c r="AE336" s="165" t="str">
        <f>IFERROR(IF(BetTable[Sport]="","",#REF!/BetTable[TS]),"")</f>
        <v/>
      </c>
      <c r="AF336" s="164">
        <f>IF(BetTable[Outcome]="Win",BetTable[WBA1-Commission],IF(BetTable[Outcome]="Win Half Stake",(BetTable[Stake]/2)+BetTable[WBA1-Commission]/2,IF(BetTable[Outcome]="Lose Half Stake",BetTable[Stake]/2,IF(BetTable[Outcome]="Lose",0,IF(BetTable[Outcome]="Void",BetTable[Stake],)))))</f>
        <v>0</v>
      </c>
      <c r="AG336" s="164">
        <f>IF(BetTable[Outcome2]="Win",BetTable[WBA2-Commission],IF(BetTable[Outcome2]="Win Half Stake",(BetTable[S2]/2)+BetTable[WBA2-Commission]/2,IF(BetTable[Outcome2]="Lose Half Stake",BetTable[S2]/2,IF(BetTable[Outcome2]="Lose",0,IF(BetTable[Outcome2]="Void",BetTable[S2],)))))</f>
        <v>0</v>
      </c>
      <c r="AH336" s="164">
        <f>IF(BetTable[Outcome3]="Win",BetTable[WBA3-Commission],IF(BetTable[Outcome3]="Win Half Stake",(BetTable[S3]/2)+BetTable[WBA3-Commission]/2,IF(BetTable[Outcome3]="Lose Half Stake",BetTable[S3]/2,IF(BetTable[Outcome3]="Lose",0,IF(BetTable[Outcome3]="Void",BetTable[S3],)))))</f>
        <v>0</v>
      </c>
      <c r="AI336" s="168">
        <f>IF(BetTable[Outcome]="",AI335,BetTable[Result]+AI335)</f>
        <v>622.54625000000021</v>
      </c>
      <c r="AJ336" s="160"/>
    </row>
    <row r="337" spans="1:36" x14ac:dyDescent="0.2">
      <c r="A337" s="159" t="s">
        <v>1048</v>
      </c>
      <c r="B337" s="160" t="s">
        <v>200</v>
      </c>
      <c r="C337" s="161" t="s">
        <v>234</v>
      </c>
      <c r="D337" s="161"/>
      <c r="E337" s="161"/>
      <c r="F337" s="162"/>
      <c r="G337" s="162"/>
      <c r="H337" s="162"/>
      <c r="I337" s="160" t="s">
        <v>1094</v>
      </c>
      <c r="J337" s="163">
        <v>2.11</v>
      </c>
      <c r="K337" s="163"/>
      <c r="L337" s="163"/>
      <c r="M337" s="164">
        <v>21</v>
      </c>
      <c r="N337" s="164"/>
      <c r="O337" s="164"/>
      <c r="P337" s="159" t="s">
        <v>360</v>
      </c>
      <c r="Q337" s="159" t="s">
        <v>503</v>
      </c>
      <c r="R337" s="159" t="s">
        <v>1095</v>
      </c>
      <c r="S337" s="165">
        <v>1.9579079350229601E-2</v>
      </c>
      <c r="T337" s="166" t="s">
        <v>372</v>
      </c>
      <c r="U337" s="166"/>
      <c r="V337" s="166"/>
      <c r="W337" s="167">
        <f>IF(BetTable[Sport]="","",BetTable[Stake]+BetTable[S2]+BetTable[S3])</f>
        <v>21</v>
      </c>
      <c r="X337" s="164">
        <f>IF(BetTable[Odds]="","",(BetTable[WBA1-Commission])-BetTable[TS])</f>
        <v>23.310000000000002</v>
      </c>
      <c r="Y337" s="168">
        <f>IF(BetTable[Outcome]="","",BetTable[WBA1]+BetTable[WBA2]+BetTable[WBA3]-BetTable[TS])</f>
        <v>23.310000000000002</v>
      </c>
      <c r="Z337" s="164">
        <f>(((BetTable[Odds]-1)*BetTable[Stake])*(1-(BetTable[Comm %]))+BetTable[Stake])</f>
        <v>44.31</v>
      </c>
      <c r="AA337" s="164">
        <f>(((BetTable[O2]-1)*BetTable[S2])*(1-(BetTable[C% 2]))+BetTable[S2])</f>
        <v>0</v>
      </c>
      <c r="AB337" s="164">
        <f>(((BetTable[O3]-1)*BetTable[S3])*(1-(BetTable[C% 3]))+BetTable[S3])</f>
        <v>0</v>
      </c>
      <c r="AC337" s="165">
        <f>IFERROR(IF(BetTable[Sport]="","",BetTable[R1]/BetTable[TS]),"")</f>
        <v>1.1100000000000001</v>
      </c>
      <c r="AD337" s="165" t="str">
        <f>IF(BetTable[O2]="","",#REF!/BetTable[TS])</f>
        <v/>
      </c>
      <c r="AE337" s="165" t="str">
        <f>IFERROR(IF(BetTable[Sport]="","",#REF!/BetTable[TS]),"")</f>
        <v/>
      </c>
      <c r="AF337" s="164">
        <f>IF(BetTable[Outcome]="Win",BetTable[WBA1-Commission],IF(BetTable[Outcome]="Win Half Stake",(BetTable[Stake]/2)+BetTable[WBA1-Commission]/2,IF(BetTable[Outcome]="Lose Half Stake",BetTable[Stake]/2,IF(BetTable[Outcome]="Lose",0,IF(BetTable[Outcome]="Void",BetTable[Stake],)))))</f>
        <v>44.31</v>
      </c>
      <c r="AG337" s="164">
        <f>IF(BetTable[Outcome2]="Win",BetTable[WBA2-Commission],IF(BetTable[Outcome2]="Win Half Stake",(BetTable[S2]/2)+BetTable[WBA2-Commission]/2,IF(BetTable[Outcome2]="Lose Half Stake",BetTable[S2]/2,IF(BetTable[Outcome2]="Lose",0,IF(BetTable[Outcome2]="Void",BetTable[S2],)))))</f>
        <v>0</v>
      </c>
      <c r="AH337" s="164">
        <f>IF(BetTable[Outcome3]="Win",BetTable[WBA3-Commission],IF(BetTable[Outcome3]="Win Half Stake",(BetTable[S3]/2)+BetTable[WBA3-Commission]/2,IF(BetTable[Outcome3]="Lose Half Stake",BetTable[S3]/2,IF(BetTable[Outcome3]="Lose",0,IF(BetTable[Outcome3]="Void",BetTable[S3],)))))</f>
        <v>0</v>
      </c>
      <c r="AI337" s="168">
        <f>IF(BetTable[Outcome]="",AI336,BetTable[Result]+AI336)</f>
        <v>645.85625000000027</v>
      </c>
      <c r="AJ337" s="160"/>
    </row>
    <row r="338" spans="1:36" x14ac:dyDescent="0.2">
      <c r="A338" s="159" t="s">
        <v>1048</v>
      </c>
      <c r="B338" s="160" t="s">
        <v>8</v>
      </c>
      <c r="C338" s="161" t="s">
        <v>216</v>
      </c>
      <c r="D338" s="161"/>
      <c r="E338" s="161"/>
      <c r="F338" s="162"/>
      <c r="G338" s="162"/>
      <c r="H338" s="162"/>
      <c r="I338" s="160" t="s">
        <v>1096</v>
      </c>
      <c r="J338" s="163">
        <v>2.0499999999999998</v>
      </c>
      <c r="K338" s="163"/>
      <c r="L338" s="163"/>
      <c r="M338" s="164">
        <v>20</v>
      </c>
      <c r="N338" s="164"/>
      <c r="O338" s="164"/>
      <c r="P338" s="159" t="s">
        <v>428</v>
      </c>
      <c r="Q338" s="159" t="s">
        <v>495</v>
      </c>
      <c r="R338" s="159" t="s">
        <v>1097</v>
      </c>
      <c r="S338" s="165">
        <v>4.2744035412129899E-2</v>
      </c>
      <c r="T338" s="166" t="s">
        <v>372</v>
      </c>
      <c r="U338" s="166"/>
      <c r="V338" s="166"/>
      <c r="W338" s="167">
        <f>IF(BetTable[Sport]="","",BetTable[Stake]+BetTable[S2]+BetTable[S3])</f>
        <v>20</v>
      </c>
      <c r="X338" s="164">
        <f>IF(BetTable[Odds]="","",(BetTable[WBA1-Commission])-BetTable[TS])</f>
        <v>21</v>
      </c>
      <c r="Y338" s="168">
        <f>IF(BetTable[Outcome]="","",BetTable[WBA1]+BetTable[WBA2]+BetTable[WBA3]-BetTable[TS])</f>
        <v>21</v>
      </c>
      <c r="Z338" s="164">
        <f>(((BetTable[Odds]-1)*BetTable[Stake])*(1-(BetTable[Comm %]))+BetTable[Stake])</f>
        <v>41</v>
      </c>
      <c r="AA338" s="164">
        <f>(((BetTable[O2]-1)*BetTable[S2])*(1-(BetTable[C% 2]))+BetTable[S2])</f>
        <v>0</v>
      </c>
      <c r="AB338" s="164">
        <f>(((BetTable[O3]-1)*BetTable[S3])*(1-(BetTable[C% 3]))+BetTable[S3])</f>
        <v>0</v>
      </c>
      <c r="AC338" s="165">
        <f>IFERROR(IF(BetTable[Sport]="","",BetTable[R1]/BetTable[TS]),"")</f>
        <v>1.05</v>
      </c>
      <c r="AD338" s="165" t="str">
        <f>IF(BetTable[O2]="","",#REF!/BetTable[TS])</f>
        <v/>
      </c>
      <c r="AE338" s="165" t="str">
        <f>IFERROR(IF(BetTable[Sport]="","",#REF!/BetTable[TS]),"")</f>
        <v/>
      </c>
      <c r="AF338" s="164">
        <f>IF(BetTable[Outcome]="Win",BetTable[WBA1-Commission],IF(BetTable[Outcome]="Win Half Stake",(BetTable[Stake]/2)+BetTable[WBA1-Commission]/2,IF(BetTable[Outcome]="Lose Half Stake",BetTable[Stake]/2,IF(BetTable[Outcome]="Lose",0,IF(BetTable[Outcome]="Void",BetTable[Stake],)))))</f>
        <v>41</v>
      </c>
      <c r="AG338" s="164">
        <f>IF(BetTable[Outcome2]="Win",BetTable[WBA2-Commission],IF(BetTable[Outcome2]="Win Half Stake",(BetTable[S2]/2)+BetTable[WBA2-Commission]/2,IF(BetTable[Outcome2]="Lose Half Stake",BetTable[S2]/2,IF(BetTable[Outcome2]="Lose",0,IF(BetTable[Outcome2]="Void",BetTable[S2],)))))</f>
        <v>0</v>
      </c>
      <c r="AH338" s="164">
        <f>IF(BetTable[Outcome3]="Win",BetTable[WBA3-Commission],IF(BetTable[Outcome3]="Win Half Stake",(BetTable[S3]/2)+BetTable[WBA3-Commission]/2,IF(BetTable[Outcome3]="Lose Half Stake",BetTable[S3]/2,IF(BetTable[Outcome3]="Lose",0,IF(BetTable[Outcome3]="Void",BetTable[S3],)))))</f>
        <v>0</v>
      </c>
      <c r="AI338" s="168">
        <f>IF(BetTable[Outcome]="",AI337,BetTable[Result]+AI337)</f>
        <v>666.85625000000027</v>
      </c>
      <c r="AJ338" s="160"/>
    </row>
    <row r="339" spans="1:36" x14ac:dyDescent="0.2">
      <c r="A339" s="159" t="s">
        <v>1048</v>
      </c>
      <c r="B339" s="160" t="s">
        <v>200</v>
      </c>
      <c r="C339" s="161" t="s">
        <v>216</v>
      </c>
      <c r="D339" s="161"/>
      <c r="E339" s="161"/>
      <c r="F339" s="162"/>
      <c r="G339" s="162"/>
      <c r="H339" s="162"/>
      <c r="I339" s="160" t="s">
        <v>1090</v>
      </c>
      <c r="J339" s="163">
        <v>1.5920000000000001</v>
      </c>
      <c r="K339" s="163"/>
      <c r="L339" s="163"/>
      <c r="M339" s="164">
        <v>33</v>
      </c>
      <c r="N339" s="164"/>
      <c r="O339" s="164"/>
      <c r="P339" s="159" t="s">
        <v>637</v>
      </c>
      <c r="Q339" s="159" t="s">
        <v>581</v>
      </c>
      <c r="R339" s="159" t="s">
        <v>1098</v>
      </c>
      <c r="S339" s="165">
        <v>1.6512479620996098E-2</v>
      </c>
      <c r="T339" s="166" t="s">
        <v>383</v>
      </c>
      <c r="U339" s="166"/>
      <c r="V339" s="166"/>
      <c r="W339" s="167">
        <f>IF(BetTable[Sport]="","",BetTable[Stake]+BetTable[S2]+BetTable[S3])</f>
        <v>33</v>
      </c>
      <c r="X339" s="164">
        <f>IF(BetTable[Odds]="","",(BetTable[WBA1-Commission])-BetTable[TS])</f>
        <v>19.536000000000001</v>
      </c>
      <c r="Y339" s="168">
        <f>IF(BetTable[Outcome]="","",BetTable[WBA1]+BetTable[WBA2]+BetTable[WBA3]-BetTable[TS])</f>
        <v>0</v>
      </c>
      <c r="Z339" s="164">
        <f>(((BetTable[Odds]-1)*BetTable[Stake])*(1-(BetTable[Comm %]))+BetTable[Stake])</f>
        <v>52.536000000000001</v>
      </c>
      <c r="AA339" s="164">
        <f>(((BetTable[O2]-1)*BetTable[S2])*(1-(BetTable[C% 2]))+BetTable[S2])</f>
        <v>0</v>
      </c>
      <c r="AB339" s="164">
        <f>(((BetTable[O3]-1)*BetTable[S3])*(1-(BetTable[C% 3]))+BetTable[S3])</f>
        <v>0</v>
      </c>
      <c r="AC339" s="165">
        <f>IFERROR(IF(BetTable[Sport]="","",BetTable[R1]/BetTable[TS]),"")</f>
        <v>0.59200000000000008</v>
      </c>
      <c r="AD339" s="165" t="str">
        <f>IF(BetTable[O2]="","",#REF!/BetTable[TS])</f>
        <v/>
      </c>
      <c r="AE339" s="165" t="str">
        <f>IFERROR(IF(BetTable[Sport]="","",#REF!/BetTable[TS]),"")</f>
        <v/>
      </c>
      <c r="AF339" s="164">
        <f>IF(BetTable[Outcome]="Win",BetTable[WBA1-Commission],IF(BetTable[Outcome]="Win Half Stake",(BetTable[Stake]/2)+BetTable[WBA1-Commission]/2,IF(BetTable[Outcome]="Lose Half Stake",BetTable[Stake]/2,IF(BetTable[Outcome]="Lose",0,IF(BetTable[Outcome]="Void",BetTable[Stake],)))))</f>
        <v>33</v>
      </c>
      <c r="AG339" s="164">
        <f>IF(BetTable[Outcome2]="Win",BetTable[WBA2-Commission],IF(BetTable[Outcome2]="Win Half Stake",(BetTable[S2]/2)+BetTable[WBA2-Commission]/2,IF(BetTable[Outcome2]="Lose Half Stake",BetTable[S2]/2,IF(BetTable[Outcome2]="Lose",0,IF(BetTable[Outcome2]="Void",BetTable[S2],)))))</f>
        <v>0</v>
      </c>
      <c r="AH339" s="164">
        <f>IF(BetTable[Outcome3]="Win",BetTable[WBA3-Commission],IF(BetTable[Outcome3]="Win Half Stake",(BetTable[S3]/2)+BetTable[WBA3-Commission]/2,IF(BetTable[Outcome3]="Lose Half Stake",BetTable[S3]/2,IF(BetTable[Outcome3]="Lose",0,IF(BetTable[Outcome3]="Void",BetTable[S3],)))))</f>
        <v>0</v>
      </c>
      <c r="AI339" s="168">
        <f>IF(BetTable[Outcome]="",AI338,BetTable[Result]+AI338)</f>
        <v>666.85625000000027</v>
      </c>
      <c r="AJ339" s="160"/>
    </row>
    <row r="340" spans="1:36" x14ac:dyDescent="0.2">
      <c r="A340" s="159" t="s">
        <v>1048</v>
      </c>
      <c r="B340" s="160" t="s">
        <v>7</v>
      </c>
      <c r="C340" s="161" t="s">
        <v>91</v>
      </c>
      <c r="D340" s="161"/>
      <c r="E340" s="161"/>
      <c r="F340" s="162"/>
      <c r="G340" s="162"/>
      <c r="H340" s="162"/>
      <c r="I340" s="160" t="s">
        <v>1099</v>
      </c>
      <c r="J340" s="163">
        <v>2.0499999999999998</v>
      </c>
      <c r="K340" s="163"/>
      <c r="L340" s="163"/>
      <c r="M340" s="164">
        <v>12</v>
      </c>
      <c r="N340" s="164"/>
      <c r="O340" s="164"/>
      <c r="P340" s="159" t="s">
        <v>1100</v>
      </c>
      <c r="Q340" s="159" t="s">
        <v>1101</v>
      </c>
      <c r="R340" s="159" t="s">
        <v>1102</v>
      </c>
      <c r="S340" s="165">
        <v>1.03644084892728E-2</v>
      </c>
      <c r="T340" s="166" t="s">
        <v>372</v>
      </c>
      <c r="U340" s="166"/>
      <c r="V340" s="166"/>
      <c r="W340" s="167">
        <f>IF(BetTable[Sport]="","",BetTable[Stake]+BetTable[S2]+BetTable[S3])</f>
        <v>12</v>
      </c>
      <c r="X340" s="164">
        <f>IF(BetTable[Odds]="","",(BetTable[WBA1-Commission])-BetTable[TS])</f>
        <v>12.599999999999998</v>
      </c>
      <c r="Y340" s="168">
        <f>IF(BetTable[Outcome]="","",BetTable[WBA1]+BetTable[WBA2]+BetTable[WBA3]-BetTable[TS])</f>
        <v>12.599999999999998</v>
      </c>
      <c r="Z340" s="164">
        <f>(((BetTable[Odds]-1)*BetTable[Stake])*(1-(BetTable[Comm %]))+BetTable[Stake])</f>
        <v>24.599999999999998</v>
      </c>
      <c r="AA340" s="164">
        <f>(((BetTable[O2]-1)*BetTable[S2])*(1-(BetTable[C% 2]))+BetTable[S2])</f>
        <v>0</v>
      </c>
      <c r="AB340" s="164">
        <f>(((BetTable[O3]-1)*BetTable[S3])*(1-(BetTable[C% 3]))+BetTable[S3])</f>
        <v>0</v>
      </c>
      <c r="AC340" s="165">
        <f>IFERROR(IF(BetTable[Sport]="","",BetTable[R1]/BetTable[TS]),"")</f>
        <v>1.0499999999999998</v>
      </c>
      <c r="AD340" s="165" t="str">
        <f>IF(BetTable[O2]="","",#REF!/BetTable[TS])</f>
        <v/>
      </c>
      <c r="AE340" s="165" t="str">
        <f>IFERROR(IF(BetTable[Sport]="","",#REF!/BetTable[TS]),"")</f>
        <v/>
      </c>
      <c r="AF340" s="164">
        <f>IF(BetTable[Outcome]="Win",BetTable[WBA1-Commission],IF(BetTable[Outcome]="Win Half Stake",(BetTable[Stake]/2)+BetTable[WBA1-Commission]/2,IF(BetTable[Outcome]="Lose Half Stake",BetTable[Stake]/2,IF(BetTable[Outcome]="Lose",0,IF(BetTable[Outcome]="Void",BetTable[Stake],)))))</f>
        <v>24.599999999999998</v>
      </c>
      <c r="AG340" s="164">
        <f>IF(BetTable[Outcome2]="Win",BetTable[WBA2-Commission],IF(BetTable[Outcome2]="Win Half Stake",(BetTable[S2]/2)+BetTable[WBA2-Commission]/2,IF(BetTable[Outcome2]="Lose Half Stake",BetTable[S2]/2,IF(BetTable[Outcome2]="Lose",0,IF(BetTable[Outcome2]="Void",BetTable[S2],)))))</f>
        <v>0</v>
      </c>
      <c r="AH340" s="164">
        <f>IF(BetTable[Outcome3]="Win",BetTable[WBA3-Commission],IF(BetTable[Outcome3]="Win Half Stake",(BetTable[S3]/2)+BetTable[WBA3-Commission]/2,IF(BetTable[Outcome3]="Lose Half Stake",BetTable[S3]/2,IF(BetTable[Outcome3]="Lose",0,IF(BetTable[Outcome3]="Void",BetTable[S3],)))))</f>
        <v>0</v>
      </c>
      <c r="AI340" s="168">
        <f>IF(BetTable[Outcome]="",AI339,BetTable[Result]+AI339)</f>
        <v>679.4562500000003</v>
      </c>
      <c r="AJ340" s="160"/>
    </row>
    <row r="341" spans="1:36" x14ac:dyDescent="0.2">
      <c r="A341" s="159" t="s">
        <v>1048</v>
      </c>
      <c r="B341" s="160" t="s">
        <v>7</v>
      </c>
      <c r="C341" s="161" t="s">
        <v>91</v>
      </c>
      <c r="D341" s="161"/>
      <c r="E341" s="161"/>
      <c r="F341" s="162"/>
      <c r="G341" s="162"/>
      <c r="H341" s="162"/>
      <c r="I341" s="160" t="s">
        <v>1103</v>
      </c>
      <c r="J341" s="163">
        <v>1.99</v>
      </c>
      <c r="K341" s="163"/>
      <c r="L341" s="163"/>
      <c r="M341" s="164">
        <v>24</v>
      </c>
      <c r="N341" s="164"/>
      <c r="O341" s="164"/>
      <c r="P341" s="159" t="s">
        <v>1104</v>
      </c>
      <c r="Q341" s="159" t="s">
        <v>495</v>
      </c>
      <c r="R341" s="159" t="s">
        <v>1105</v>
      </c>
      <c r="S341" s="165">
        <v>2.0194384439859998E-2</v>
      </c>
      <c r="T341" s="166" t="s">
        <v>382</v>
      </c>
      <c r="U341" s="166"/>
      <c r="V341" s="166"/>
      <c r="W341" s="167">
        <f>IF(BetTable[Sport]="","",BetTable[Stake]+BetTable[S2]+BetTable[S3])</f>
        <v>24</v>
      </c>
      <c r="X341" s="164">
        <f>IF(BetTable[Odds]="","",(BetTable[WBA1-Commission])-BetTable[TS])</f>
        <v>23.759999999999998</v>
      </c>
      <c r="Y341" s="168">
        <f>IF(BetTable[Outcome]="","",BetTable[WBA1]+BetTable[WBA2]+BetTable[WBA3]-BetTable[TS])</f>
        <v>-24</v>
      </c>
      <c r="Z341" s="164">
        <f>(((BetTable[Odds]-1)*BetTable[Stake])*(1-(BetTable[Comm %]))+BetTable[Stake])</f>
        <v>47.76</v>
      </c>
      <c r="AA341" s="164">
        <f>(((BetTable[O2]-1)*BetTable[S2])*(1-(BetTable[C% 2]))+BetTable[S2])</f>
        <v>0</v>
      </c>
      <c r="AB341" s="164">
        <f>(((BetTable[O3]-1)*BetTable[S3])*(1-(BetTable[C% 3]))+BetTable[S3])</f>
        <v>0</v>
      </c>
      <c r="AC341" s="165">
        <f>IFERROR(IF(BetTable[Sport]="","",BetTable[R1]/BetTable[TS]),"")</f>
        <v>0.98999999999999988</v>
      </c>
      <c r="AD341" s="165" t="str">
        <f>IF(BetTable[O2]="","",#REF!/BetTable[TS])</f>
        <v/>
      </c>
      <c r="AE341" s="165" t="str">
        <f>IFERROR(IF(BetTable[Sport]="","",#REF!/BetTable[TS]),"")</f>
        <v/>
      </c>
      <c r="AF341" s="164">
        <f>IF(BetTable[Outcome]="Win",BetTable[WBA1-Commission],IF(BetTable[Outcome]="Win Half Stake",(BetTable[Stake]/2)+BetTable[WBA1-Commission]/2,IF(BetTable[Outcome]="Lose Half Stake",BetTable[Stake]/2,IF(BetTable[Outcome]="Lose",0,IF(BetTable[Outcome]="Void",BetTable[Stake],)))))</f>
        <v>0</v>
      </c>
      <c r="AG341" s="164">
        <f>IF(BetTable[Outcome2]="Win",BetTable[WBA2-Commission],IF(BetTable[Outcome2]="Win Half Stake",(BetTable[S2]/2)+BetTable[WBA2-Commission]/2,IF(BetTable[Outcome2]="Lose Half Stake",BetTable[S2]/2,IF(BetTable[Outcome2]="Lose",0,IF(BetTable[Outcome2]="Void",BetTable[S2],)))))</f>
        <v>0</v>
      </c>
      <c r="AH341" s="164">
        <f>IF(BetTable[Outcome3]="Win",BetTable[WBA3-Commission],IF(BetTable[Outcome3]="Win Half Stake",(BetTable[S3]/2)+BetTable[WBA3-Commission]/2,IF(BetTable[Outcome3]="Lose Half Stake",BetTable[S3]/2,IF(BetTable[Outcome3]="Lose",0,IF(BetTable[Outcome3]="Void",BetTable[S3],)))))</f>
        <v>0</v>
      </c>
      <c r="AI341" s="168">
        <f>IF(BetTable[Outcome]="",AI340,BetTable[Result]+AI340)</f>
        <v>655.4562500000003</v>
      </c>
      <c r="AJ341" s="160"/>
    </row>
    <row r="342" spans="1:36" x14ac:dyDescent="0.2">
      <c r="A342" s="159" t="s">
        <v>1048</v>
      </c>
      <c r="B342" s="160" t="s">
        <v>200</v>
      </c>
      <c r="C342" s="161" t="s">
        <v>234</v>
      </c>
      <c r="D342" s="161"/>
      <c r="E342" s="161"/>
      <c r="F342" s="162"/>
      <c r="G342" s="162"/>
      <c r="H342" s="162"/>
      <c r="I342" s="160" t="s">
        <v>1106</v>
      </c>
      <c r="J342" s="163">
        <v>2.11</v>
      </c>
      <c r="K342" s="163"/>
      <c r="L342" s="163"/>
      <c r="M342" s="164">
        <v>12</v>
      </c>
      <c r="N342" s="164"/>
      <c r="O342" s="164"/>
      <c r="P342" s="159" t="s">
        <v>360</v>
      </c>
      <c r="Q342" s="159" t="s">
        <v>458</v>
      </c>
      <c r="R342" s="159" t="s">
        <v>1107</v>
      </c>
      <c r="S342" s="165">
        <v>1.13477386639264E-2</v>
      </c>
      <c r="T342" s="166" t="s">
        <v>372</v>
      </c>
      <c r="U342" s="166"/>
      <c r="V342" s="166"/>
      <c r="W342" s="167">
        <f>IF(BetTable[Sport]="","",BetTable[Stake]+BetTable[S2]+BetTable[S3])</f>
        <v>12</v>
      </c>
      <c r="X342" s="164">
        <f>IF(BetTable[Odds]="","",(BetTable[WBA1-Commission])-BetTable[TS])</f>
        <v>13.32</v>
      </c>
      <c r="Y342" s="168">
        <f>IF(BetTable[Outcome]="","",BetTable[WBA1]+BetTable[WBA2]+BetTable[WBA3]-BetTable[TS])</f>
        <v>13.32</v>
      </c>
      <c r="Z342" s="164">
        <f>(((BetTable[Odds]-1)*BetTable[Stake])*(1-(BetTable[Comm %]))+BetTable[Stake])</f>
        <v>25.32</v>
      </c>
      <c r="AA342" s="164">
        <f>(((BetTable[O2]-1)*BetTable[S2])*(1-(BetTable[C% 2]))+BetTable[S2])</f>
        <v>0</v>
      </c>
      <c r="AB342" s="164">
        <f>(((BetTable[O3]-1)*BetTable[S3])*(1-(BetTable[C% 3]))+BetTable[S3])</f>
        <v>0</v>
      </c>
      <c r="AC342" s="165">
        <f>IFERROR(IF(BetTable[Sport]="","",BetTable[R1]/BetTable[TS]),"")</f>
        <v>1.1100000000000001</v>
      </c>
      <c r="AD342" s="165" t="str">
        <f>IF(BetTable[O2]="","",#REF!/BetTable[TS])</f>
        <v/>
      </c>
      <c r="AE342" s="165" t="str">
        <f>IFERROR(IF(BetTable[Sport]="","",#REF!/BetTable[TS]),"")</f>
        <v/>
      </c>
      <c r="AF342" s="164">
        <f>IF(BetTable[Outcome]="Win",BetTable[WBA1-Commission],IF(BetTable[Outcome]="Win Half Stake",(BetTable[Stake]/2)+BetTable[WBA1-Commission]/2,IF(BetTable[Outcome]="Lose Half Stake",BetTable[Stake]/2,IF(BetTable[Outcome]="Lose",0,IF(BetTable[Outcome]="Void",BetTable[Stake],)))))</f>
        <v>25.32</v>
      </c>
      <c r="AG342" s="164">
        <f>IF(BetTable[Outcome2]="Win",BetTable[WBA2-Commission],IF(BetTable[Outcome2]="Win Half Stake",(BetTable[S2]/2)+BetTable[WBA2-Commission]/2,IF(BetTable[Outcome2]="Lose Half Stake",BetTable[S2]/2,IF(BetTable[Outcome2]="Lose",0,IF(BetTable[Outcome2]="Void",BetTable[S2],)))))</f>
        <v>0</v>
      </c>
      <c r="AH342" s="164">
        <f>IF(BetTable[Outcome3]="Win",BetTable[WBA3-Commission],IF(BetTable[Outcome3]="Win Half Stake",(BetTable[S3]/2)+BetTable[WBA3-Commission]/2,IF(BetTable[Outcome3]="Lose Half Stake",BetTable[S3]/2,IF(BetTable[Outcome3]="Lose",0,IF(BetTable[Outcome3]="Void",BetTable[S3],)))))</f>
        <v>0</v>
      </c>
      <c r="AI342" s="168">
        <f>IF(BetTable[Outcome]="",AI341,BetTable[Result]+AI341)</f>
        <v>668.77625000000035</v>
      </c>
      <c r="AJ342" s="160"/>
    </row>
    <row r="343" spans="1:36" x14ac:dyDescent="0.2">
      <c r="A343" s="159" t="s">
        <v>1048</v>
      </c>
      <c r="B343" s="160" t="s">
        <v>200</v>
      </c>
      <c r="C343" s="161" t="s">
        <v>234</v>
      </c>
      <c r="D343" s="161"/>
      <c r="E343" s="161"/>
      <c r="F343" s="162"/>
      <c r="G343" s="162"/>
      <c r="H343" s="162"/>
      <c r="I343" s="160" t="s">
        <v>1108</v>
      </c>
      <c r="J343" s="163">
        <v>2.0499999999999998</v>
      </c>
      <c r="K343" s="163"/>
      <c r="L343" s="163"/>
      <c r="M343" s="164">
        <v>18</v>
      </c>
      <c r="N343" s="164"/>
      <c r="O343" s="164"/>
      <c r="P343" s="159" t="s">
        <v>1109</v>
      </c>
      <c r="Q343" s="159" t="s">
        <v>632</v>
      </c>
      <c r="R343" s="159" t="s">
        <v>1110</v>
      </c>
      <c r="S343" s="165">
        <v>1.5701796041051999E-2</v>
      </c>
      <c r="T343" s="166" t="s">
        <v>372</v>
      </c>
      <c r="U343" s="166"/>
      <c r="V343" s="166"/>
      <c r="W343" s="167">
        <f>IF(BetTable[Sport]="","",BetTable[Stake]+BetTable[S2]+BetTable[S3])</f>
        <v>18</v>
      </c>
      <c r="X343" s="164">
        <f>IF(BetTable[Odds]="","",(BetTable[WBA1-Commission])-BetTable[TS])</f>
        <v>18.899999999999999</v>
      </c>
      <c r="Y343" s="168">
        <f>IF(BetTable[Outcome]="","",BetTable[WBA1]+BetTable[WBA2]+BetTable[WBA3]-BetTable[TS])</f>
        <v>18.899999999999999</v>
      </c>
      <c r="Z343" s="164">
        <f>(((BetTable[Odds]-1)*BetTable[Stake])*(1-(BetTable[Comm %]))+BetTable[Stake])</f>
        <v>36.9</v>
      </c>
      <c r="AA343" s="164">
        <f>(((BetTable[O2]-1)*BetTable[S2])*(1-(BetTable[C% 2]))+BetTable[S2])</f>
        <v>0</v>
      </c>
      <c r="AB343" s="164">
        <f>(((BetTable[O3]-1)*BetTable[S3])*(1-(BetTable[C% 3]))+BetTable[S3])</f>
        <v>0</v>
      </c>
      <c r="AC343" s="165">
        <f>IFERROR(IF(BetTable[Sport]="","",BetTable[R1]/BetTable[TS]),"")</f>
        <v>1.0499999999999998</v>
      </c>
      <c r="AD343" s="165" t="str">
        <f>IF(BetTable[O2]="","",#REF!/BetTable[TS])</f>
        <v/>
      </c>
      <c r="AE343" s="165" t="str">
        <f>IFERROR(IF(BetTable[Sport]="","",#REF!/BetTable[TS]),"")</f>
        <v/>
      </c>
      <c r="AF343" s="164">
        <f>IF(BetTable[Outcome]="Win",BetTable[WBA1-Commission],IF(BetTable[Outcome]="Win Half Stake",(BetTable[Stake]/2)+BetTable[WBA1-Commission]/2,IF(BetTable[Outcome]="Lose Half Stake",BetTable[Stake]/2,IF(BetTable[Outcome]="Lose",0,IF(BetTable[Outcome]="Void",BetTable[Stake],)))))</f>
        <v>36.9</v>
      </c>
      <c r="AG343" s="164">
        <f>IF(BetTable[Outcome2]="Win",BetTable[WBA2-Commission],IF(BetTable[Outcome2]="Win Half Stake",(BetTable[S2]/2)+BetTable[WBA2-Commission]/2,IF(BetTable[Outcome2]="Lose Half Stake",BetTable[S2]/2,IF(BetTable[Outcome2]="Lose",0,IF(BetTable[Outcome2]="Void",BetTable[S2],)))))</f>
        <v>0</v>
      </c>
      <c r="AH343" s="164">
        <f>IF(BetTable[Outcome3]="Win",BetTable[WBA3-Commission],IF(BetTable[Outcome3]="Win Half Stake",(BetTable[S3]/2)+BetTable[WBA3-Commission]/2,IF(BetTable[Outcome3]="Lose Half Stake",BetTable[S3]/2,IF(BetTable[Outcome3]="Lose",0,IF(BetTable[Outcome3]="Void",BetTable[S3],)))))</f>
        <v>0</v>
      </c>
      <c r="AI343" s="168">
        <f>IF(BetTable[Outcome]="",AI342,BetTable[Result]+AI342)</f>
        <v>687.67625000000032</v>
      </c>
      <c r="AJ343" s="160"/>
    </row>
    <row r="344" spans="1:36" x14ac:dyDescent="0.2">
      <c r="A344" s="159" t="s">
        <v>1048</v>
      </c>
      <c r="B344" s="160" t="s">
        <v>200</v>
      </c>
      <c r="C344" s="161" t="s">
        <v>234</v>
      </c>
      <c r="D344" s="161"/>
      <c r="E344" s="161"/>
      <c r="F344" s="162"/>
      <c r="G344" s="162"/>
      <c r="H344" s="162"/>
      <c r="I344" s="160" t="s">
        <v>1111</v>
      </c>
      <c r="J344" s="163">
        <v>2.08</v>
      </c>
      <c r="K344" s="163"/>
      <c r="L344" s="163"/>
      <c r="M344" s="164">
        <v>24</v>
      </c>
      <c r="N344" s="164"/>
      <c r="O344" s="164"/>
      <c r="P344" s="159" t="s">
        <v>360</v>
      </c>
      <c r="Q344" s="159" t="s">
        <v>458</v>
      </c>
      <c r="R344" s="159" t="s">
        <v>1112</v>
      </c>
      <c r="S344" s="165">
        <v>2.1655096277688701E-2</v>
      </c>
      <c r="T344" s="166" t="s">
        <v>382</v>
      </c>
      <c r="U344" s="166"/>
      <c r="V344" s="166"/>
      <c r="W344" s="167">
        <f>IF(BetTable[Sport]="","",BetTable[Stake]+BetTable[S2]+BetTable[S3])</f>
        <v>24</v>
      </c>
      <c r="X344" s="164">
        <f>IF(BetTable[Odds]="","",(BetTable[WBA1-Commission])-BetTable[TS])</f>
        <v>25.92</v>
      </c>
      <c r="Y344" s="168">
        <f>IF(BetTable[Outcome]="","",BetTable[WBA1]+BetTable[WBA2]+BetTable[WBA3]-BetTable[TS])</f>
        <v>-24</v>
      </c>
      <c r="Z344" s="164">
        <f>(((BetTable[Odds]-1)*BetTable[Stake])*(1-(BetTable[Comm %]))+BetTable[Stake])</f>
        <v>49.92</v>
      </c>
      <c r="AA344" s="164">
        <f>(((BetTable[O2]-1)*BetTable[S2])*(1-(BetTable[C% 2]))+BetTable[S2])</f>
        <v>0</v>
      </c>
      <c r="AB344" s="164">
        <f>(((BetTable[O3]-1)*BetTable[S3])*(1-(BetTable[C% 3]))+BetTable[S3])</f>
        <v>0</v>
      </c>
      <c r="AC344" s="165">
        <f>IFERROR(IF(BetTable[Sport]="","",BetTable[R1]/BetTable[TS]),"")</f>
        <v>1.08</v>
      </c>
      <c r="AD344" s="165" t="str">
        <f>IF(BetTable[O2]="","",#REF!/BetTable[TS])</f>
        <v/>
      </c>
      <c r="AE344" s="165" t="str">
        <f>IFERROR(IF(BetTable[Sport]="","",#REF!/BetTable[TS]),"")</f>
        <v/>
      </c>
      <c r="AF344" s="164">
        <f>IF(BetTable[Outcome]="Win",BetTable[WBA1-Commission],IF(BetTable[Outcome]="Win Half Stake",(BetTable[Stake]/2)+BetTable[WBA1-Commission]/2,IF(BetTable[Outcome]="Lose Half Stake",BetTable[Stake]/2,IF(BetTable[Outcome]="Lose",0,IF(BetTable[Outcome]="Void",BetTable[Stake],)))))</f>
        <v>0</v>
      </c>
      <c r="AG344" s="164">
        <f>IF(BetTable[Outcome2]="Win",BetTable[WBA2-Commission],IF(BetTable[Outcome2]="Win Half Stake",(BetTable[S2]/2)+BetTable[WBA2-Commission]/2,IF(BetTable[Outcome2]="Lose Half Stake",BetTable[S2]/2,IF(BetTable[Outcome2]="Lose",0,IF(BetTable[Outcome2]="Void",BetTable[S2],)))))</f>
        <v>0</v>
      </c>
      <c r="AH344" s="164">
        <f>IF(BetTable[Outcome3]="Win",BetTable[WBA3-Commission],IF(BetTable[Outcome3]="Win Half Stake",(BetTable[S3]/2)+BetTable[WBA3-Commission]/2,IF(BetTable[Outcome3]="Lose Half Stake",BetTable[S3]/2,IF(BetTable[Outcome3]="Lose",0,IF(BetTable[Outcome3]="Void",BetTable[S3],)))))</f>
        <v>0</v>
      </c>
      <c r="AI344" s="168">
        <f>IF(BetTable[Outcome]="",AI343,BetTable[Result]+AI343)</f>
        <v>663.67625000000032</v>
      </c>
      <c r="AJ344" s="160"/>
    </row>
    <row r="345" spans="1:36" x14ac:dyDescent="0.2">
      <c r="A345" s="159" t="s">
        <v>1048</v>
      </c>
      <c r="B345" s="160" t="s">
        <v>200</v>
      </c>
      <c r="C345" s="161" t="s">
        <v>91</v>
      </c>
      <c r="D345" s="161"/>
      <c r="E345" s="161"/>
      <c r="F345" s="162"/>
      <c r="G345" s="162"/>
      <c r="H345" s="162"/>
      <c r="I345" s="160" t="s">
        <v>1113</v>
      </c>
      <c r="J345" s="163">
        <v>2.0699999999999998</v>
      </c>
      <c r="K345" s="163"/>
      <c r="L345" s="163"/>
      <c r="M345" s="164">
        <v>31</v>
      </c>
      <c r="N345" s="164"/>
      <c r="O345" s="164"/>
      <c r="P345" s="159" t="s">
        <v>351</v>
      </c>
      <c r="Q345" s="159" t="s">
        <v>503</v>
      </c>
      <c r="R345" s="159" t="s">
        <v>1114</v>
      </c>
      <c r="S345" s="165">
        <v>2.7923778307753801E-2</v>
      </c>
      <c r="T345" s="166" t="s">
        <v>382</v>
      </c>
      <c r="U345" s="166"/>
      <c r="V345" s="166"/>
      <c r="W345" s="167">
        <f>IF(BetTable[Sport]="","",BetTable[Stake]+BetTable[S2]+BetTable[S3])</f>
        <v>31</v>
      </c>
      <c r="X345" s="164">
        <f>IF(BetTable[Odds]="","",(BetTable[WBA1-Commission])-BetTable[TS])</f>
        <v>33.169999999999987</v>
      </c>
      <c r="Y345" s="168">
        <f>IF(BetTable[Outcome]="","",BetTable[WBA1]+BetTable[WBA2]+BetTable[WBA3]-BetTable[TS])</f>
        <v>-31</v>
      </c>
      <c r="Z345" s="164">
        <f>(((BetTable[Odds]-1)*BetTable[Stake])*(1-(BetTable[Comm %]))+BetTable[Stake])</f>
        <v>64.169999999999987</v>
      </c>
      <c r="AA345" s="164">
        <f>(((BetTable[O2]-1)*BetTable[S2])*(1-(BetTable[C% 2]))+BetTable[S2])</f>
        <v>0</v>
      </c>
      <c r="AB345" s="164">
        <f>(((BetTable[O3]-1)*BetTable[S3])*(1-(BetTable[C% 3]))+BetTable[S3])</f>
        <v>0</v>
      </c>
      <c r="AC345" s="165">
        <f>IFERROR(IF(BetTable[Sport]="","",BetTable[R1]/BetTable[TS]),"")</f>
        <v>1.0699999999999996</v>
      </c>
      <c r="AD345" s="165" t="str">
        <f>IF(BetTable[O2]="","",#REF!/BetTable[TS])</f>
        <v/>
      </c>
      <c r="AE345" s="165" t="str">
        <f>IFERROR(IF(BetTable[Sport]="","",#REF!/BetTable[TS]),"")</f>
        <v/>
      </c>
      <c r="AF345" s="164">
        <f>IF(BetTable[Outcome]="Win",BetTable[WBA1-Commission],IF(BetTable[Outcome]="Win Half Stake",(BetTable[Stake]/2)+BetTable[WBA1-Commission]/2,IF(BetTable[Outcome]="Lose Half Stake",BetTable[Stake]/2,IF(BetTable[Outcome]="Lose",0,IF(BetTable[Outcome]="Void",BetTable[Stake],)))))</f>
        <v>0</v>
      </c>
      <c r="AG345" s="164">
        <f>IF(BetTable[Outcome2]="Win",BetTable[WBA2-Commission],IF(BetTable[Outcome2]="Win Half Stake",(BetTable[S2]/2)+BetTable[WBA2-Commission]/2,IF(BetTable[Outcome2]="Lose Half Stake",BetTable[S2]/2,IF(BetTable[Outcome2]="Lose",0,IF(BetTable[Outcome2]="Void",BetTable[S2],)))))</f>
        <v>0</v>
      </c>
      <c r="AH345" s="164">
        <f>IF(BetTable[Outcome3]="Win",BetTable[WBA3-Commission],IF(BetTable[Outcome3]="Win Half Stake",(BetTable[S3]/2)+BetTable[WBA3-Commission]/2,IF(BetTable[Outcome3]="Lose Half Stake",BetTable[S3]/2,IF(BetTable[Outcome3]="Lose",0,IF(BetTable[Outcome3]="Void",BetTable[S3],)))))</f>
        <v>0</v>
      </c>
      <c r="AI345" s="168">
        <f>IF(BetTable[Outcome]="",AI344,BetTable[Result]+AI344)</f>
        <v>632.67625000000032</v>
      </c>
      <c r="AJ345" s="160"/>
    </row>
    <row r="346" spans="1:36" x14ac:dyDescent="0.2">
      <c r="A346" s="159" t="s">
        <v>1048</v>
      </c>
      <c r="B346" s="160" t="s">
        <v>201</v>
      </c>
      <c r="C346" s="161" t="s">
        <v>216</v>
      </c>
      <c r="D346" s="161"/>
      <c r="E346" s="161"/>
      <c r="F346" s="162"/>
      <c r="G346" s="162"/>
      <c r="H346" s="162"/>
      <c r="I346" s="160" t="s">
        <v>1115</v>
      </c>
      <c r="J346" s="163">
        <v>1.98</v>
      </c>
      <c r="K346" s="163"/>
      <c r="L346" s="163"/>
      <c r="M346" s="164">
        <v>20</v>
      </c>
      <c r="N346" s="164"/>
      <c r="O346" s="164"/>
      <c r="P346" s="159" t="s">
        <v>1116</v>
      </c>
      <c r="Q346" s="159" t="s">
        <v>1117</v>
      </c>
      <c r="R346" s="159" t="s">
        <v>1118</v>
      </c>
      <c r="S346" s="165">
        <v>1.58059340312483E-2</v>
      </c>
      <c r="T346" s="166" t="s">
        <v>382</v>
      </c>
      <c r="U346" s="166"/>
      <c r="V346" s="166"/>
      <c r="W346" s="167">
        <f>IF(BetTable[Sport]="","",BetTable[Stake]+BetTable[S2]+BetTable[S3])</f>
        <v>20</v>
      </c>
      <c r="X346" s="164">
        <f>IF(BetTable[Odds]="","",(BetTable[WBA1-Commission])-BetTable[TS])</f>
        <v>19.600000000000001</v>
      </c>
      <c r="Y346" s="168">
        <f>IF(BetTable[Outcome]="","",BetTable[WBA1]+BetTable[WBA2]+BetTable[WBA3]-BetTable[TS])</f>
        <v>-20</v>
      </c>
      <c r="Z346" s="164">
        <f>(((BetTable[Odds]-1)*BetTable[Stake])*(1-(BetTable[Comm %]))+BetTable[Stake])</f>
        <v>39.6</v>
      </c>
      <c r="AA346" s="164">
        <f>(((BetTable[O2]-1)*BetTable[S2])*(1-(BetTable[C% 2]))+BetTable[S2])</f>
        <v>0</v>
      </c>
      <c r="AB346" s="164">
        <f>(((BetTable[O3]-1)*BetTable[S3])*(1-(BetTable[C% 3]))+BetTable[S3])</f>
        <v>0</v>
      </c>
      <c r="AC346" s="165">
        <f>IFERROR(IF(BetTable[Sport]="","",BetTable[R1]/BetTable[TS]),"")</f>
        <v>0.98000000000000009</v>
      </c>
      <c r="AD346" s="165" t="str">
        <f>IF(BetTable[O2]="","",#REF!/BetTable[TS])</f>
        <v/>
      </c>
      <c r="AE346" s="165" t="str">
        <f>IFERROR(IF(BetTable[Sport]="","",#REF!/BetTable[TS]),"")</f>
        <v/>
      </c>
      <c r="AF346" s="164">
        <f>IF(BetTable[Outcome]="Win",BetTable[WBA1-Commission],IF(BetTable[Outcome]="Win Half Stake",(BetTable[Stake]/2)+BetTable[WBA1-Commission]/2,IF(BetTable[Outcome]="Lose Half Stake",BetTable[Stake]/2,IF(BetTable[Outcome]="Lose",0,IF(BetTable[Outcome]="Void",BetTable[Stake],)))))</f>
        <v>0</v>
      </c>
      <c r="AG346" s="164">
        <f>IF(BetTable[Outcome2]="Win",BetTable[WBA2-Commission],IF(BetTable[Outcome2]="Win Half Stake",(BetTable[S2]/2)+BetTable[WBA2-Commission]/2,IF(BetTable[Outcome2]="Lose Half Stake",BetTable[S2]/2,IF(BetTable[Outcome2]="Lose",0,IF(BetTable[Outcome2]="Void",BetTable[S2],)))))</f>
        <v>0</v>
      </c>
      <c r="AH346" s="164">
        <f>IF(BetTable[Outcome3]="Win",BetTable[WBA3-Commission],IF(BetTable[Outcome3]="Win Half Stake",(BetTable[S3]/2)+BetTable[WBA3-Commission]/2,IF(BetTable[Outcome3]="Lose Half Stake",BetTable[S3]/2,IF(BetTable[Outcome3]="Lose",0,IF(BetTable[Outcome3]="Void",BetTable[S3],)))))</f>
        <v>0</v>
      </c>
      <c r="AI346" s="168">
        <f>IF(BetTable[Outcome]="",AI345,BetTable[Result]+AI345)</f>
        <v>612.67625000000032</v>
      </c>
      <c r="AJ346" s="160"/>
    </row>
    <row r="347" spans="1:36" x14ac:dyDescent="0.2">
      <c r="A347" s="159" t="s">
        <v>1048</v>
      </c>
      <c r="B347" s="160" t="s">
        <v>7</v>
      </c>
      <c r="C347" s="161" t="s">
        <v>216</v>
      </c>
      <c r="D347" s="161"/>
      <c r="E347" s="161"/>
      <c r="F347" s="162"/>
      <c r="G347" s="162"/>
      <c r="H347" s="162"/>
      <c r="I347" s="160" t="s">
        <v>1119</v>
      </c>
      <c r="J347" s="163">
        <v>2.0499999999999998</v>
      </c>
      <c r="K347" s="163"/>
      <c r="L347" s="163"/>
      <c r="M347" s="164">
        <v>17</v>
      </c>
      <c r="N347" s="164"/>
      <c r="O347" s="164"/>
      <c r="P347" s="159" t="s">
        <v>1041</v>
      </c>
      <c r="Q347" s="159" t="s">
        <v>773</v>
      </c>
      <c r="R347" s="159" t="s">
        <v>1120</v>
      </c>
      <c r="S347" s="165">
        <v>1.52441264840113E-2</v>
      </c>
      <c r="T347" s="166" t="s">
        <v>382</v>
      </c>
      <c r="U347" s="166"/>
      <c r="V347" s="166"/>
      <c r="W347" s="167">
        <f>IF(BetTable[Sport]="","",BetTable[Stake]+BetTable[S2]+BetTable[S3])</f>
        <v>17</v>
      </c>
      <c r="X347" s="164">
        <f>IF(BetTable[Odds]="","",(BetTable[WBA1-Commission])-BetTable[TS])</f>
        <v>17.849999999999994</v>
      </c>
      <c r="Y347" s="168">
        <f>IF(BetTable[Outcome]="","",BetTable[WBA1]+BetTable[WBA2]+BetTable[WBA3]-BetTable[TS])</f>
        <v>-17</v>
      </c>
      <c r="Z347" s="164">
        <f>(((BetTable[Odds]-1)*BetTable[Stake])*(1-(BetTable[Comm %]))+BetTable[Stake])</f>
        <v>34.849999999999994</v>
      </c>
      <c r="AA347" s="164">
        <f>(((BetTable[O2]-1)*BetTable[S2])*(1-(BetTable[C% 2]))+BetTable[S2])</f>
        <v>0</v>
      </c>
      <c r="AB347" s="164">
        <f>(((BetTable[O3]-1)*BetTable[S3])*(1-(BetTable[C% 3]))+BetTable[S3])</f>
        <v>0</v>
      </c>
      <c r="AC347" s="165">
        <f>IFERROR(IF(BetTable[Sport]="","",BetTable[R1]/BetTable[TS]),"")</f>
        <v>1.0499999999999996</v>
      </c>
      <c r="AD347" s="165" t="str">
        <f>IF(BetTable[O2]="","",#REF!/BetTable[TS])</f>
        <v/>
      </c>
      <c r="AE347" s="165" t="str">
        <f>IFERROR(IF(BetTable[Sport]="","",#REF!/BetTable[TS]),"")</f>
        <v/>
      </c>
      <c r="AF347" s="164">
        <f>IF(BetTable[Outcome]="Win",BetTable[WBA1-Commission],IF(BetTable[Outcome]="Win Half Stake",(BetTable[Stake]/2)+BetTable[WBA1-Commission]/2,IF(BetTable[Outcome]="Lose Half Stake",BetTable[Stake]/2,IF(BetTable[Outcome]="Lose",0,IF(BetTable[Outcome]="Void",BetTable[Stake],)))))</f>
        <v>0</v>
      </c>
      <c r="AG347" s="164">
        <f>IF(BetTable[Outcome2]="Win",BetTable[WBA2-Commission],IF(BetTable[Outcome2]="Win Half Stake",(BetTable[S2]/2)+BetTable[WBA2-Commission]/2,IF(BetTable[Outcome2]="Lose Half Stake",BetTable[S2]/2,IF(BetTable[Outcome2]="Lose",0,IF(BetTable[Outcome2]="Void",BetTable[S2],)))))</f>
        <v>0</v>
      </c>
      <c r="AH347" s="164">
        <f>IF(BetTable[Outcome3]="Win",BetTable[WBA3-Commission],IF(BetTable[Outcome3]="Win Half Stake",(BetTable[S3]/2)+BetTable[WBA3-Commission]/2,IF(BetTable[Outcome3]="Lose Half Stake",BetTable[S3]/2,IF(BetTable[Outcome3]="Lose",0,IF(BetTable[Outcome3]="Void",BetTable[S3],)))))</f>
        <v>0</v>
      </c>
      <c r="AI347" s="168">
        <f>IF(BetTable[Outcome]="",AI346,BetTable[Result]+AI346)</f>
        <v>595.67625000000032</v>
      </c>
      <c r="AJ347" s="160"/>
    </row>
    <row r="348" spans="1:36" x14ac:dyDescent="0.2">
      <c r="A348" s="159" t="s">
        <v>1048</v>
      </c>
      <c r="B348" s="160" t="s">
        <v>8</v>
      </c>
      <c r="C348" s="161" t="s">
        <v>91</v>
      </c>
      <c r="D348" s="161"/>
      <c r="E348" s="161"/>
      <c r="F348" s="162"/>
      <c r="G348" s="162"/>
      <c r="H348" s="162"/>
      <c r="I348" s="160" t="s">
        <v>1121</v>
      </c>
      <c r="J348" s="163">
        <v>1.65</v>
      </c>
      <c r="K348" s="163"/>
      <c r="L348" s="163"/>
      <c r="M348" s="164">
        <v>30</v>
      </c>
      <c r="N348" s="164"/>
      <c r="O348" s="164"/>
      <c r="P348" s="159" t="s">
        <v>435</v>
      </c>
      <c r="Q348" s="159" t="s">
        <v>703</v>
      </c>
      <c r="R348" s="159" t="s">
        <v>1122</v>
      </c>
      <c r="S348" s="165">
        <v>1.65019561416575E-2</v>
      </c>
      <c r="T348" s="166" t="s">
        <v>383</v>
      </c>
      <c r="U348" s="166"/>
      <c r="V348" s="166"/>
      <c r="W348" s="167">
        <f>IF(BetTable[Sport]="","",BetTable[Stake]+BetTable[S2]+BetTable[S3])</f>
        <v>30</v>
      </c>
      <c r="X348" s="164">
        <f>IF(BetTable[Odds]="","",(BetTable[WBA1-Commission])-BetTable[TS])</f>
        <v>19.5</v>
      </c>
      <c r="Y348" s="168">
        <f>IF(BetTable[Outcome]="","",BetTable[WBA1]+BetTable[WBA2]+BetTable[WBA3]-BetTable[TS])</f>
        <v>0</v>
      </c>
      <c r="Z348" s="164">
        <f>(((BetTable[Odds]-1)*BetTable[Stake])*(1-(BetTable[Comm %]))+BetTable[Stake])</f>
        <v>49.5</v>
      </c>
      <c r="AA348" s="164">
        <f>(((BetTable[O2]-1)*BetTable[S2])*(1-(BetTable[C% 2]))+BetTable[S2])</f>
        <v>0</v>
      </c>
      <c r="AB348" s="164">
        <f>(((BetTable[O3]-1)*BetTable[S3])*(1-(BetTable[C% 3]))+BetTable[S3])</f>
        <v>0</v>
      </c>
      <c r="AC348" s="165">
        <f>IFERROR(IF(BetTable[Sport]="","",BetTable[R1]/BetTable[TS]),"")</f>
        <v>0.65</v>
      </c>
      <c r="AD348" s="165" t="str">
        <f>IF(BetTable[O2]="","",#REF!/BetTable[TS])</f>
        <v/>
      </c>
      <c r="AE348" s="165" t="str">
        <f>IFERROR(IF(BetTable[Sport]="","",#REF!/BetTable[TS]),"")</f>
        <v/>
      </c>
      <c r="AF348" s="164">
        <f>IF(BetTable[Outcome]="Win",BetTable[WBA1-Commission],IF(BetTable[Outcome]="Win Half Stake",(BetTable[Stake]/2)+BetTable[WBA1-Commission]/2,IF(BetTable[Outcome]="Lose Half Stake",BetTable[Stake]/2,IF(BetTable[Outcome]="Lose",0,IF(BetTable[Outcome]="Void",BetTable[Stake],)))))</f>
        <v>30</v>
      </c>
      <c r="AG348" s="164">
        <f>IF(BetTable[Outcome2]="Win",BetTable[WBA2-Commission],IF(BetTable[Outcome2]="Win Half Stake",(BetTable[S2]/2)+BetTable[WBA2-Commission]/2,IF(BetTable[Outcome2]="Lose Half Stake",BetTable[S2]/2,IF(BetTable[Outcome2]="Lose",0,IF(BetTable[Outcome2]="Void",BetTable[S2],)))))</f>
        <v>0</v>
      </c>
      <c r="AH348" s="164">
        <f>IF(BetTable[Outcome3]="Win",BetTable[WBA3-Commission],IF(BetTable[Outcome3]="Win Half Stake",(BetTable[S3]/2)+BetTable[WBA3-Commission]/2,IF(BetTable[Outcome3]="Lose Half Stake",BetTable[S3]/2,IF(BetTable[Outcome3]="Lose",0,IF(BetTable[Outcome3]="Void",BetTable[S3],)))))</f>
        <v>0</v>
      </c>
      <c r="AI348" s="168">
        <f>IF(BetTable[Outcome]="",AI347,BetTable[Result]+AI347)</f>
        <v>595.67625000000032</v>
      </c>
      <c r="AJ348" s="160"/>
    </row>
    <row r="349" spans="1:36" x14ac:dyDescent="0.2">
      <c r="A349" s="159" t="s">
        <v>1048</v>
      </c>
      <c r="B349" s="160" t="s">
        <v>9</v>
      </c>
      <c r="C349" s="161" t="s">
        <v>216</v>
      </c>
      <c r="D349" s="161"/>
      <c r="E349" s="161"/>
      <c r="F349" s="162"/>
      <c r="G349" s="162"/>
      <c r="H349" s="162"/>
      <c r="I349" s="160" t="s">
        <v>1123</v>
      </c>
      <c r="J349" s="163">
        <v>2.85</v>
      </c>
      <c r="K349" s="163"/>
      <c r="L349" s="163"/>
      <c r="M349" s="164">
        <v>20</v>
      </c>
      <c r="N349" s="164"/>
      <c r="O349" s="164"/>
      <c r="P349" s="159" t="s">
        <v>1124</v>
      </c>
      <c r="Q349" s="159" t="s">
        <v>1125</v>
      </c>
      <c r="R349" s="159" t="s">
        <v>1126</v>
      </c>
      <c r="S349" s="165">
        <v>3.02383373619101E-2</v>
      </c>
      <c r="T349" s="166" t="s">
        <v>382</v>
      </c>
      <c r="U349" s="166"/>
      <c r="V349" s="166"/>
      <c r="W349" s="167">
        <f>IF(BetTable[Sport]="","",BetTable[Stake]+BetTable[S2]+BetTable[S3])</f>
        <v>20</v>
      </c>
      <c r="X349" s="164">
        <f>IF(BetTable[Odds]="","",(BetTable[WBA1-Commission])-BetTable[TS])</f>
        <v>37</v>
      </c>
      <c r="Y349" s="168">
        <f>IF(BetTable[Outcome]="","",BetTable[WBA1]+BetTable[WBA2]+BetTable[WBA3]-BetTable[TS])</f>
        <v>-20</v>
      </c>
      <c r="Z349" s="164">
        <f>(((BetTable[Odds]-1)*BetTable[Stake])*(1-(BetTable[Comm %]))+BetTable[Stake])</f>
        <v>57</v>
      </c>
      <c r="AA349" s="164">
        <f>(((BetTable[O2]-1)*BetTable[S2])*(1-(BetTable[C% 2]))+BetTable[S2])</f>
        <v>0</v>
      </c>
      <c r="AB349" s="164">
        <f>(((BetTable[O3]-1)*BetTable[S3])*(1-(BetTable[C% 3]))+BetTable[S3])</f>
        <v>0</v>
      </c>
      <c r="AC349" s="165">
        <f>IFERROR(IF(BetTable[Sport]="","",BetTable[R1]/BetTable[TS]),"")</f>
        <v>1.85</v>
      </c>
      <c r="AD349" s="165" t="str">
        <f>IF(BetTable[O2]="","",#REF!/BetTable[TS])</f>
        <v/>
      </c>
      <c r="AE349" s="165" t="str">
        <f>IFERROR(IF(BetTable[Sport]="","",#REF!/BetTable[TS]),"")</f>
        <v/>
      </c>
      <c r="AF349" s="164">
        <f>IF(BetTable[Outcome]="Win",BetTable[WBA1-Commission],IF(BetTable[Outcome]="Win Half Stake",(BetTable[Stake]/2)+BetTable[WBA1-Commission]/2,IF(BetTable[Outcome]="Lose Half Stake",BetTable[Stake]/2,IF(BetTable[Outcome]="Lose",0,IF(BetTable[Outcome]="Void",BetTable[Stake],)))))</f>
        <v>0</v>
      </c>
      <c r="AG349" s="164">
        <f>IF(BetTable[Outcome2]="Win",BetTable[WBA2-Commission],IF(BetTable[Outcome2]="Win Half Stake",(BetTable[S2]/2)+BetTable[WBA2-Commission]/2,IF(BetTable[Outcome2]="Lose Half Stake",BetTable[S2]/2,IF(BetTable[Outcome2]="Lose",0,IF(BetTable[Outcome2]="Void",BetTable[S2],)))))</f>
        <v>0</v>
      </c>
      <c r="AH349" s="164">
        <f>IF(BetTable[Outcome3]="Win",BetTable[WBA3-Commission],IF(BetTable[Outcome3]="Win Half Stake",(BetTable[S3]/2)+BetTable[WBA3-Commission]/2,IF(BetTable[Outcome3]="Lose Half Stake",BetTable[S3]/2,IF(BetTable[Outcome3]="Lose",0,IF(BetTable[Outcome3]="Void",BetTable[S3],)))))</f>
        <v>0</v>
      </c>
      <c r="AI349" s="168">
        <f>IF(BetTable[Outcome]="",AI348,BetTable[Result]+AI348)</f>
        <v>575.67625000000032</v>
      </c>
      <c r="AJ349" s="160"/>
    </row>
    <row r="350" spans="1:36" x14ac:dyDescent="0.2">
      <c r="A350" s="159" t="s">
        <v>1048</v>
      </c>
      <c r="B350" s="160" t="s">
        <v>200</v>
      </c>
      <c r="C350" s="161" t="s">
        <v>91</v>
      </c>
      <c r="D350" s="161"/>
      <c r="E350" s="161"/>
      <c r="F350" s="162"/>
      <c r="G350" s="162"/>
      <c r="H350" s="162"/>
      <c r="I350" s="160" t="s">
        <v>1127</v>
      </c>
      <c r="J350" s="163">
        <v>1.84</v>
      </c>
      <c r="K350" s="163"/>
      <c r="L350" s="163"/>
      <c r="M350" s="164">
        <v>27</v>
      </c>
      <c r="N350" s="164"/>
      <c r="O350" s="164"/>
      <c r="P350" s="159" t="s">
        <v>368</v>
      </c>
      <c r="Q350" s="159" t="s">
        <v>547</v>
      </c>
      <c r="R350" s="159" t="s">
        <v>1128</v>
      </c>
      <c r="S350" s="165">
        <v>1.9091707445146999E-2</v>
      </c>
      <c r="T350" s="166" t="s">
        <v>382</v>
      </c>
      <c r="U350" s="166"/>
      <c r="V350" s="166"/>
      <c r="W350" s="167">
        <f>IF(BetTable[Sport]="","",BetTable[Stake]+BetTable[S2]+BetTable[S3])</f>
        <v>27</v>
      </c>
      <c r="X350" s="164">
        <f>IF(BetTable[Odds]="","",(BetTable[WBA1-Commission])-BetTable[TS])</f>
        <v>22.680000000000007</v>
      </c>
      <c r="Y350" s="168">
        <f>IF(BetTable[Outcome]="","",BetTable[WBA1]+BetTable[WBA2]+BetTable[WBA3]-BetTable[TS])</f>
        <v>-27</v>
      </c>
      <c r="Z350" s="164">
        <f>(((BetTable[Odds]-1)*BetTable[Stake])*(1-(BetTable[Comm %]))+BetTable[Stake])</f>
        <v>49.680000000000007</v>
      </c>
      <c r="AA350" s="164">
        <f>(((BetTable[O2]-1)*BetTable[S2])*(1-(BetTable[C% 2]))+BetTable[S2])</f>
        <v>0</v>
      </c>
      <c r="AB350" s="164">
        <f>(((BetTable[O3]-1)*BetTable[S3])*(1-(BetTable[C% 3]))+BetTable[S3])</f>
        <v>0</v>
      </c>
      <c r="AC350" s="165">
        <f>IFERROR(IF(BetTable[Sport]="","",BetTable[R1]/BetTable[TS]),"")</f>
        <v>0.8400000000000003</v>
      </c>
      <c r="AD350" s="165" t="str">
        <f>IF(BetTable[O2]="","",#REF!/BetTable[TS])</f>
        <v/>
      </c>
      <c r="AE350" s="165" t="str">
        <f>IFERROR(IF(BetTable[Sport]="","",#REF!/BetTable[TS]),"")</f>
        <v/>
      </c>
      <c r="AF350" s="164">
        <f>IF(BetTable[Outcome]="Win",BetTable[WBA1-Commission],IF(BetTable[Outcome]="Win Half Stake",(BetTable[Stake]/2)+BetTable[WBA1-Commission]/2,IF(BetTable[Outcome]="Lose Half Stake",BetTable[Stake]/2,IF(BetTable[Outcome]="Lose",0,IF(BetTable[Outcome]="Void",BetTable[Stake],)))))</f>
        <v>0</v>
      </c>
      <c r="AG350" s="164">
        <f>IF(BetTable[Outcome2]="Win",BetTable[WBA2-Commission],IF(BetTable[Outcome2]="Win Half Stake",(BetTable[S2]/2)+BetTable[WBA2-Commission]/2,IF(BetTable[Outcome2]="Lose Half Stake",BetTable[S2]/2,IF(BetTable[Outcome2]="Lose",0,IF(BetTable[Outcome2]="Void",BetTable[S2],)))))</f>
        <v>0</v>
      </c>
      <c r="AH350" s="164">
        <f>IF(BetTable[Outcome3]="Win",BetTable[WBA3-Commission],IF(BetTable[Outcome3]="Win Half Stake",(BetTable[S3]/2)+BetTable[WBA3-Commission]/2,IF(BetTable[Outcome3]="Lose Half Stake",BetTable[S3]/2,IF(BetTable[Outcome3]="Lose",0,IF(BetTable[Outcome3]="Void",BetTable[S3],)))))</f>
        <v>0</v>
      </c>
      <c r="AI350" s="168">
        <f>IF(BetTable[Outcome]="",AI349,BetTable[Result]+AI349)</f>
        <v>548.67625000000032</v>
      </c>
      <c r="AJ350" s="160"/>
    </row>
    <row r="351" spans="1:36" x14ac:dyDescent="0.2">
      <c r="A351" s="159" t="s">
        <v>1048</v>
      </c>
      <c r="B351" s="160" t="s">
        <v>8</v>
      </c>
      <c r="C351" s="161" t="s">
        <v>216</v>
      </c>
      <c r="D351" s="161"/>
      <c r="E351" s="161"/>
      <c r="F351" s="162"/>
      <c r="G351" s="162"/>
      <c r="H351" s="162"/>
      <c r="I351" s="160" t="s">
        <v>1129</v>
      </c>
      <c r="J351" s="163">
        <v>1.4650000000000001</v>
      </c>
      <c r="K351" s="163"/>
      <c r="L351" s="163"/>
      <c r="M351" s="164">
        <v>46</v>
      </c>
      <c r="N351" s="164"/>
      <c r="O351" s="164"/>
      <c r="P351" s="159" t="s">
        <v>428</v>
      </c>
      <c r="Q351" s="159" t="s">
        <v>503</v>
      </c>
      <c r="R351" s="159" t="s">
        <v>1130</v>
      </c>
      <c r="S351" s="165">
        <v>1.7706838748117199E-2</v>
      </c>
      <c r="T351" s="166" t="s">
        <v>372</v>
      </c>
      <c r="U351" s="166"/>
      <c r="V351" s="166"/>
      <c r="W351" s="167">
        <f>IF(BetTable[Sport]="","",BetTable[Stake]+BetTable[S2]+BetTable[S3])</f>
        <v>46</v>
      </c>
      <c r="X351" s="164">
        <f>IF(BetTable[Odds]="","",(BetTable[WBA1-Commission])-BetTable[TS])</f>
        <v>21.39</v>
      </c>
      <c r="Y351" s="168">
        <f>IF(BetTable[Outcome]="","",BetTable[WBA1]+BetTable[WBA2]+BetTable[WBA3]-BetTable[TS])</f>
        <v>21.39</v>
      </c>
      <c r="Z351" s="164">
        <f>(((BetTable[Odds]-1)*BetTable[Stake])*(1-(BetTable[Comm %]))+BetTable[Stake])</f>
        <v>67.39</v>
      </c>
      <c r="AA351" s="164">
        <f>(((BetTable[O2]-1)*BetTable[S2])*(1-(BetTable[C% 2]))+BetTable[S2])</f>
        <v>0</v>
      </c>
      <c r="AB351" s="164">
        <f>(((BetTable[O3]-1)*BetTable[S3])*(1-(BetTable[C% 3]))+BetTable[S3])</f>
        <v>0</v>
      </c>
      <c r="AC351" s="165">
        <f>IFERROR(IF(BetTable[Sport]="","",BetTable[R1]/BetTable[TS]),"")</f>
        <v>0.46500000000000002</v>
      </c>
      <c r="AD351" s="165" t="str">
        <f>IF(BetTable[O2]="","",#REF!/BetTable[TS])</f>
        <v/>
      </c>
      <c r="AE351" s="165" t="str">
        <f>IFERROR(IF(BetTable[Sport]="","",#REF!/BetTable[TS]),"")</f>
        <v/>
      </c>
      <c r="AF351" s="164">
        <f>IF(BetTable[Outcome]="Win",BetTable[WBA1-Commission],IF(BetTable[Outcome]="Win Half Stake",(BetTable[Stake]/2)+BetTable[WBA1-Commission]/2,IF(BetTable[Outcome]="Lose Half Stake",BetTable[Stake]/2,IF(BetTable[Outcome]="Lose",0,IF(BetTable[Outcome]="Void",BetTable[Stake],)))))</f>
        <v>67.39</v>
      </c>
      <c r="AG351" s="164">
        <f>IF(BetTable[Outcome2]="Win",BetTable[WBA2-Commission],IF(BetTable[Outcome2]="Win Half Stake",(BetTable[S2]/2)+BetTable[WBA2-Commission]/2,IF(BetTable[Outcome2]="Lose Half Stake",BetTable[S2]/2,IF(BetTable[Outcome2]="Lose",0,IF(BetTable[Outcome2]="Void",BetTable[S2],)))))</f>
        <v>0</v>
      </c>
      <c r="AH351" s="164">
        <f>IF(BetTable[Outcome3]="Win",BetTable[WBA3-Commission],IF(BetTable[Outcome3]="Win Half Stake",(BetTable[S3]/2)+BetTable[WBA3-Commission]/2,IF(BetTable[Outcome3]="Lose Half Stake",BetTable[S3]/2,IF(BetTable[Outcome3]="Lose",0,IF(BetTable[Outcome3]="Void",BetTable[S3],)))))</f>
        <v>0</v>
      </c>
      <c r="AI351" s="168">
        <f>IF(BetTable[Outcome]="",AI350,BetTable[Result]+AI350)</f>
        <v>570.06625000000031</v>
      </c>
      <c r="AJ351" s="160"/>
    </row>
    <row r="352" spans="1:36" x14ac:dyDescent="0.2">
      <c r="A352" s="159" t="s">
        <v>1048</v>
      </c>
      <c r="B352" s="160" t="s">
        <v>200</v>
      </c>
      <c r="C352" s="161" t="s">
        <v>234</v>
      </c>
      <c r="D352" s="161"/>
      <c r="E352" s="161"/>
      <c r="F352" s="162"/>
      <c r="G352" s="162"/>
      <c r="H352" s="162"/>
      <c r="I352" s="160" t="s">
        <v>1131</v>
      </c>
      <c r="J352" s="163">
        <v>2.59</v>
      </c>
      <c r="K352" s="163"/>
      <c r="L352" s="163"/>
      <c r="M352" s="164">
        <v>14</v>
      </c>
      <c r="N352" s="164"/>
      <c r="O352" s="164"/>
      <c r="P352" s="159" t="s">
        <v>428</v>
      </c>
      <c r="Q352" s="159" t="s">
        <v>1132</v>
      </c>
      <c r="R352" s="159" t="s">
        <v>1133</v>
      </c>
      <c r="S352" s="165">
        <v>1.8769251994985799E-2</v>
      </c>
      <c r="T352" s="166" t="s">
        <v>382</v>
      </c>
      <c r="U352" s="166"/>
      <c r="V352" s="166"/>
      <c r="W352" s="167">
        <f>IF(BetTable[Sport]="","",BetTable[Stake]+BetTable[S2]+BetTable[S3])</f>
        <v>14</v>
      </c>
      <c r="X352" s="164">
        <f>IF(BetTable[Odds]="","",(BetTable[WBA1-Commission])-BetTable[TS])</f>
        <v>22.259999999999998</v>
      </c>
      <c r="Y352" s="168">
        <f>IF(BetTable[Outcome]="","",BetTable[WBA1]+BetTable[WBA2]+BetTable[WBA3]-BetTable[TS])</f>
        <v>-14</v>
      </c>
      <c r="Z352" s="164">
        <f>(((BetTable[Odds]-1)*BetTable[Stake])*(1-(BetTable[Comm %]))+BetTable[Stake])</f>
        <v>36.26</v>
      </c>
      <c r="AA352" s="164">
        <f>(((BetTable[O2]-1)*BetTable[S2])*(1-(BetTable[C% 2]))+BetTable[S2])</f>
        <v>0</v>
      </c>
      <c r="AB352" s="164">
        <f>(((BetTable[O3]-1)*BetTable[S3])*(1-(BetTable[C% 3]))+BetTable[S3])</f>
        <v>0</v>
      </c>
      <c r="AC352" s="165">
        <f>IFERROR(IF(BetTable[Sport]="","",BetTable[R1]/BetTable[TS]),"")</f>
        <v>1.5899999999999999</v>
      </c>
      <c r="AD352" s="165" t="str">
        <f>IF(BetTable[O2]="","",#REF!/BetTable[TS])</f>
        <v/>
      </c>
      <c r="AE352" s="165" t="str">
        <f>IFERROR(IF(BetTable[Sport]="","",#REF!/BetTable[TS]),"")</f>
        <v/>
      </c>
      <c r="AF352" s="164">
        <f>IF(BetTable[Outcome]="Win",BetTable[WBA1-Commission],IF(BetTable[Outcome]="Win Half Stake",(BetTable[Stake]/2)+BetTable[WBA1-Commission]/2,IF(BetTable[Outcome]="Lose Half Stake",BetTable[Stake]/2,IF(BetTable[Outcome]="Lose",0,IF(BetTable[Outcome]="Void",BetTable[Stake],)))))</f>
        <v>0</v>
      </c>
      <c r="AG352" s="164">
        <f>IF(BetTable[Outcome2]="Win",BetTable[WBA2-Commission],IF(BetTable[Outcome2]="Win Half Stake",(BetTable[S2]/2)+BetTable[WBA2-Commission]/2,IF(BetTable[Outcome2]="Lose Half Stake",BetTable[S2]/2,IF(BetTable[Outcome2]="Lose",0,IF(BetTable[Outcome2]="Void",BetTable[S2],)))))</f>
        <v>0</v>
      </c>
      <c r="AH352" s="164">
        <f>IF(BetTable[Outcome3]="Win",BetTable[WBA3-Commission],IF(BetTable[Outcome3]="Win Half Stake",(BetTable[S3]/2)+BetTable[WBA3-Commission]/2,IF(BetTable[Outcome3]="Lose Half Stake",BetTable[S3]/2,IF(BetTable[Outcome3]="Lose",0,IF(BetTable[Outcome3]="Void",BetTable[S3],)))))</f>
        <v>0</v>
      </c>
      <c r="AI352" s="168">
        <f>IF(BetTable[Outcome]="",AI351,BetTable[Result]+AI351)</f>
        <v>556.06625000000031</v>
      </c>
      <c r="AJ352" s="160"/>
    </row>
    <row r="353" spans="1:36" x14ac:dyDescent="0.2">
      <c r="A353" s="159" t="s">
        <v>1048</v>
      </c>
      <c r="B353" s="160" t="s">
        <v>7</v>
      </c>
      <c r="C353" s="161" t="s">
        <v>91</v>
      </c>
      <c r="D353" s="161"/>
      <c r="E353" s="161"/>
      <c r="F353" s="162"/>
      <c r="G353" s="162"/>
      <c r="H353" s="162"/>
      <c r="I353" s="160" t="s">
        <v>1134</v>
      </c>
      <c r="J353" s="163">
        <v>1.88</v>
      </c>
      <c r="K353" s="163"/>
      <c r="L353" s="163"/>
      <c r="M353" s="164">
        <v>24</v>
      </c>
      <c r="N353" s="164"/>
      <c r="O353" s="164"/>
      <c r="P353" s="159" t="s">
        <v>1135</v>
      </c>
      <c r="Q353" s="159" t="s">
        <v>1136</v>
      </c>
      <c r="R353" s="159" t="s">
        <v>1137</v>
      </c>
      <c r="S353" s="165">
        <v>1.7958532695374799E-2</v>
      </c>
      <c r="T353" s="166" t="s">
        <v>382</v>
      </c>
      <c r="U353" s="166"/>
      <c r="V353" s="166"/>
      <c r="W353" s="167">
        <f>IF(BetTable[Sport]="","",BetTable[Stake]+BetTable[S2]+BetTable[S3])</f>
        <v>24</v>
      </c>
      <c r="X353" s="164">
        <f>IF(BetTable[Odds]="","",(BetTable[WBA1-Commission])-BetTable[TS])</f>
        <v>21.119999999999997</v>
      </c>
      <c r="Y353" s="168">
        <f>IF(BetTable[Outcome]="","",BetTable[WBA1]+BetTable[WBA2]+BetTable[WBA3]-BetTable[TS])</f>
        <v>-24</v>
      </c>
      <c r="Z353" s="164">
        <f>(((BetTable[Odds]-1)*BetTable[Stake])*(1-(BetTable[Comm %]))+BetTable[Stake])</f>
        <v>45.12</v>
      </c>
      <c r="AA353" s="164">
        <f>(((BetTable[O2]-1)*BetTable[S2])*(1-(BetTable[C% 2]))+BetTable[S2])</f>
        <v>0</v>
      </c>
      <c r="AB353" s="164">
        <f>(((BetTable[O3]-1)*BetTable[S3])*(1-(BetTable[C% 3]))+BetTable[S3])</f>
        <v>0</v>
      </c>
      <c r="AC353" s="165">
        <f>IFERROR(IF(BetTable[Sport]="","",BetTable[R1]/BetTable[TS]),"")</f>
        <v>0.87999999999999989</v>
      </c>
      <c r="AD353" s="165" t="str">
        <f>IF(BetTable[O2]="","",#REF!/BetTable[TS])</f>
        <v/>
      </c>
      <c r="AE353" s="165" t="str">
        <f>IFERROR(IF(BetTable[Sport]="","",#REF!/BetTable[TS]),"")</f>
        <v/>
      </c>
      <c r="AF353" s="164">
        <f>IF(BetTable[Outcome]="Win",BetTable[WBA1-Commission],IF(BetTable[Outcome]="Win Half Stake",(BetTable[Stake]/2)+BetTable[WBA1-Commission]/2,IF(BetTable[Outcome]="Lose Half Stake",BetTable[Stake]/2,IF(BetTable[Outcome]="Lose",0,IF(BetTable[Outcome]="Void",BetTable[Stake],)))))</f>
        <v>0</v>
      </c>
      <c r="AG353" s="164">
        <f>IF(BetTable[Outcome2]="Win",BetTable[WBA2-Commission],IF(BetTable[Outcome2]="Win Half Stake",(BetTable[S2]/2)+BetTable[WBA2-Commission]/2,IF(BetTable[Outcome2]="Lose Half Stake",BetTable[S2]/2,IF(BetTable[Outcome2]="Lose",0,IF(BetTable[Outcome2]="Void",BetTable[S2],)))))</f>
        <v>0</v>
      </c>
      <c r="AH353" s="164">
        <f>IF(BetTable[Outcome3]="Win",BetTable[WBA3-Commission],IF(BetTable[Outcome3]="Win Half Stake",(BetTable[S3]/2)+BetTable[WBA3-Commission]/2,IF(BetTable[Outcome3]="Lose Half Stake",BetTable[S3]/2,IF(BetTable[Outcome3]="Lose",0,IF(BetTable[Outcome3]="Void",BetTable[S3],)))))</f>
        <v>0</v>
      </c>
      <c r="AI353" s="168">
        <f>IF(BetTable[Outcome]="",AI352,BetTable[Result]+AI352)</f>
        <v>532.06625000000031</v>
      </c>
      <c r="AJ353" s="160"/>
    </row>
    <row r="354" spans="1:36" x14ac:dyDescent="0.2">
      <c r="A354" s="159" t="s">
        <v>1048</v>
      </c>
      <c r="B354" s="160" t="s">
        <v>7</v>
      </c>
      <c r="C354" s="161" t="s">
        <v>216</v>
      </c>
      <c r="D354" s="161"/>
      <c r="E354" s="161"/>
      <c r="F354" s="162"/>
      <c r="G354" s="162"/>
      <c r="H354" s="162"/>
      <c r="I354" s="160" t="s">
        <v>1138</v>
      </c>
      <c r="J354" s="163">
        <v>1.909</v>
      </c>
      <c r="K354" s="163"/>
      <c r="L354" s="163"/>
      <c r="M354" s="164">
        <v>27</v>
      </c>
      <c r="N354" s="164"/>
      <c r="O354" s="164"/>
      <c r="P354" s="159" t="s">
        <v>1139</v>
      </c>
      <c r="Q354" s="159" t="s">
        <v>506</v>
      </c>
      <c r="R354" s="159" t="s">
        <v>1140</v>
      </c>
      <c r="S354" s="165">
        <v>2.0326275333128498E-2</v>
      </c>
      <c r="T354" s="166" t="s">
        <v>372</v>
      </c>
      <c r="U354" s="166"/>
      <c r="V354" s="166"/>
      <c r="W354" s="167">
        <f>IF(BetTable[Sport]="","",BetTable[Stake]+BetTable[S2]+BetTable[S3])</f>
        <v>27</v>
      </c>
      <c r="X354" s="164">
        <f>IF(BetTable[Odds]="","",(BetTable[WBA1-Commission])-BetTable[TS])</f>
        <v>24.542999999999999</v>
      </c>
      <c r="Y354" s="168">
        <f>IF(BetTable[Outcome]="","",BetTable[WBA1]+BetTable[WBA2]+BetTable[WBA3]-BetTable[TS])</f>
        <v>24.542999999999999</v>
      </c>
      <c r="Z354" s="164">
        <f>(((BetTable[Odds]-1)*BetTable[Stake])*(1-(BetTable[Comm %]))+BetTable[Stake])</f>
        <v>51.542999999999999</v>
      </c>
      <c r="AA354" s="164">
        <f>(((BetTable[O2]-1)*BetTable[S2])*(1-(BetTable[C% 2]))+BetTable[S2])</f>
        <v>0</v>
      </c>
      <c r="AB354" s="164">
        <f>(((BetTable[O3]-1)*BetTable[S3])*(1-(BetTable[C% 3]))+BetTable[S3])</f>
        <v>0</v>
      </c>
      <c r="AC354" s="165">
        <f>IFERROR(IF(BetTable[Sport]="","",BetTable[R1]/BetTable[TS]),"")</f>
        <v>0.90899999999999992</v>
      </c>
      <c r="AD354" s="165" t="str">
        <f>IF(BetTable[O2]="","",#REF!/BetTable[TS])</f>
        <v/>
      </c>
      <c r="AE354" s="165" t="str">
        <f>IFERROR(IF(BetTable[Sport]="","",#REF!/BetTable[TS]),"")</f>
        <v/>
      </c>
      <c r="AF354" s="164">
        <f>IF(BetTable[Outcome]="Win",BetTable[WBA1-Commission],IF(BetTable[Outcome]="Win Half Stake",(BetTable[Stake]/2)+BetTable[WBA1-Commission]/2,IF(BetTable[Outcome]="Lose Half Stake",BetTable[Stake]/2,IF(BetTable[Outcome]="Lose",0,IF(BetTable[Outcome]="Void",BetTable[Stake],)))))</f>
        <v>51.542999999999999</v>
      </c>
      <c r="AG354" s="164">
        <f>IF(BetTable[Outcome2]="Win",BetTable[WBA2-Commission],IF(BetTable[Outcome2]="Win Half Stake",(BetTable[S2]/2)+BetTable[WBA2-Commission]/2,IF(BetTable[Outcome2]="Lose Half Stake",BetTable[S2]/2,IF(BetTable[Outcome2]="Lose",0,IF(BetTable[Outcome2]="Void",BetTable[S2],)))))</f>
        <v>0</v>
      </c>
      <c r="AH354" s="164">
        <f>IF(BetTable[Outcome3]="Win",BetTable[WBA3-Commission],IF(BetTable[Outcome3]="Win Half Stake",(BetTable[S3]/2)+BetTable[WBA3-Commission]/2,IF(BetTable[Outcome3]="Lose Half Stake",BetTable[S3]/2,IF(BetTable[Outcome3]="Lose",0,IF(BetTable[Outcome3]="Void",BetTable[S3],)))))</f>
        <v>0</v>
      </c>
      <c r="AI354" s="168">
        <f>IF(BetTable[Outcome]="",AI353,BetTable[Result]+AI353)</f>
        <v>556.60925000000032</v>
      </c>
      <c r="AJ354" s="160"/>
    </row>
    <row r="355" spans="1:36" x14ac:dyDescent="0.2">
      <c r="A355" s="159" t="s">
        <v>1048</v>
      </c>
      <c r="B355" s="160" t="s">
        <v>201</v>
      </c>
      <c r="C355" s="161" t="s">
        <v>216</v>
      </c>
      <c r="D355" s="161"/>
      <c r="E355" s="161"/>
      <c r="F355" s="162"/>
      <c r="G355" s="162"/>
      <c r="H355" s="162"/>
      <c r="I355" s="160" t="s">
        <v>1115</v>
      </c>
      <c r="J355" s="163">
        <v>2.58</v>
      </c>
      <c r="K355" s="163"/>
      <c r="L355" s="163"/>
      <c r="M355" s="164">
        <v>20</v>
      </c>
      <c r="N355" s="164"/>
      <c r="O355" s="164"/>
      <c r="P355" s="159" t="s">
        <v>1141</v>
      </c>
      <c r="Q355" s="159" t="s">
        <v>1117</v>
      </c>
      <c r="R355" s="159" t="s">
        <v>1142</v>
      </c>
      <c r="S355" s="165">
        <v>2.5765526091445699E-2</v>
      </c>
      <c r="T355" s="166" t="s">
        <v>382</v>
      </c>
      <c r="U355" s="166"/>
      <c r="V355" s="166"/>
      <c r="W355" s="167">
        <f>IF(BetTable[Sport]="","",BetTable[Stake]+BetTable[S2]+BetTable[S3])</f>
        <v>20</v>
      </c>
      <c r="X355" s="164">
        <f>IF(BetTable[Odds]="","",(BetTable[WBA1-Commission])-BetTable[TS])</f>
        <v>31.6</v>
      </c>
      <c r="Y355" s="168">
        <f>IF(BetTable[Outcome]="","",BetTable[WBA1]+BetTable[WBA2]+BetTable[WBA3]-BetTable[TS])</f>
        <v>-20</v>
      </c>
      <c r="Z355" s="164">
        <f>(((BetTable[Odds]-1)*BetTable[Stake])*(1-(BetTable[Comm %]))+BetTable[Stake])</f>
        <v>51.6</v>
      </c>
      <c r="AA355" s="164">
        <f>(((BetTable[O2]-1)*BetTable[S2])*(1-(BetTable[C% 2]))+BetTable[S2])</f>
        <v>0</v>
      </c>
      <c r="AB355" s="164">
        <f>(((BetTable[O3]-1)*BetTable[S3])*(1-(BetTable[C% 3]))+BetTable[S3])</f>
        <v>0</v>
      </c>
      <c r="AC355" s="165">
        <f>IFERROR(IF(BetTable[Sport]="","",BetTable[R1]/BetTable[TS]),"")</f>
        <v>1.58</v>
      </c>
      <c r="AD355" s="165" t="str">
        <f>IF(BetTable[O2]="","",#REF!/BetTable[TS])</f>
        <v/>
      </c>
      <c r="AE355" s="165" t="str">
        <f>IFERROR(IF(BetTable[Sport]="","",#REF!/BetTable[TS]),"")</f>
        <v/>
      </c>
      <c r="AF355" s="164">
        <f>IF(BetTable[Outcome]="Win",BetTable[WBA1-Commission],IF(BetTable[Outcome]="Win Half Stake",(BetTable[Stake]/2)+BetTable[WBA1-Commission]/2,IF(BetTable[Outcome]="Lose Half Stake",BetTable[Stake]/2,IF(BetTable[Outcome]="Lose",0,IF(BetTable[Outcome]="Void",BetTable[Stake],)))))</f>
        <v>0</v>
      </c>
      <c r="AG355" s="164">
        <f>IF(BetTable[Outcome2]="Win",BetTable[WBA2-Commission],IF(BetTable[Outcome2]="Win Half Stake",(BetTable[S2]/2)+BetTable[WBA2-Commission]/2,IF(BetTable[Outcome2]="Lose Half Stake",BetTable[S2]/2,IF(BetTable[Outcome2]="Lose",0,IF(BetTable[Outcome2]="Void",BetTable[S2],)))))</f>
        <v>0</v>
      </c>
      <c r="AH355" s="164">
        <f>IF(BetTable[Outcome3]="Win",BetTable[WBA3-Commission],IF(BetTable[Outcome3]="Win Half Stake",(BetTable[S3]/2)+BetTable[WBA3-Commission]/2,IF(BetTable[Outcome3]="Lose Half Stake",BetTable[S3]/2,IF(BetTable[Outcome3]="Lose",0,IF(BetTable[Outcome3]="Void",BetTable[S3],)))))</f>
        <v>0</v>
      </c>
      <c r="AI355" s="168">
        <f>IF(BetTable[Outcome]="",AI354,BetTable[Result]+AI354)</f>
        <v>536.60925000000032</v>
      </c>
      <c r="AJ355" s="160"/>
    </row>
    <row r="356" spans="1:36" x14ac:dyDescent="0.2">
      <c r="A356" s="159" t="s">
        <v>1048</v>
      </c>
      <c r="B356" s="160" t="s">
        <v>8</v>
      </c>
      <c r="C356" s="161" t="s">
        <v>91</v>
      </c>
      <c r="D356" s="161"/>
      <c r="E356" s="161"/>
      <c r="F356" s="162"/>
      <c r="G356" s="162"/>
      <c r="H356" s="162"/>
      <c r="I356" s="160" t="s">
        <v>1143</v>
      </c>
      <c r="J356" s="163">
        <v>2</v>
      </c>
      <c r="K356" s="163"/>
      <c r="L356" s="163"/>
      <c r="M356" s="164">
        <v>31</v>
      </c>
      <c r="N356" s="164"/>
      <c r="O356" s="164"/>
      <c r="P356" s="159" t="s">
        <v>428</v>
      </c>
      <c r="Q356" s="159" t="s">
        <v>540</v>
      </c>
      <c r="R356" s="159" t="s">
        <v>1144</v>
      </c>
      <c r="S356" s="165">
        <v>2.5978772501420201E-2</v>
      </c>
      <c r="T356" s="166" t="s">
        <v>372</v>
      </c>
      <c r="U356" s="166"/>
      <c r="V356" s="166"/>
      <c r="W356" s="167">
        <f>IF(BetTable[Sport]="","",BetTable[Stake]+BetTable[S2]+BetTable[S3])</f>
        <v>31</v>
      </c>
      <c r="X356" s="164">
        <f>IF(BetTable[Odds]="","",(BetTable[WBA1-Commission])-BetTable[TS])</f>
        <v>31</v>
      </c>
      <c r="Y356" s="168">
        <f>IF(BetTable[Outcome]="","",BetTable[WBA1]+BetTable[WBA2]+BetTable[WBA3]-BetTable[TS])</f>
        <v>31</v>
      </c>
      <c r="Z356" s="164">
        <f>(((BetTable[Odds]-1)*BetTable[Stake])*(1-(BetTable[Comm %]))+BetTable[Stake])</f>
        <v>62</v>
      </c>
      <c r="AA356" s="164">
        <f>(((BetTable[O2]-1)*BetTable[S2])*(1-(BetTable[C% 2]))+BetTable[S2])</f>
        <v>0</v>
      </c>
      <c r="AB356" s="164">
        <f>(((BetTable[O3]-1)*BetTable[S3])*(1-(BetTable[C% 3]))+BetTable[S3])</f>
        <v>0</v>
      </c>
      <c r="AC356" s="165">
        <f>IFERROR(IF(BetTable[Sport]="","",BetTable[R1]/BetTable[TS]),"")</f>
        <v>1</v>
      </c>
      <c r="AD356" s="165" t="str">
        <f>IF(BetTable[O2]="","",#REF!/BetTable[TS])</f>
        <v/>
      </c>
      <c r="AE356" s="165" t="str">
        <f>IFERROR(IF(BetTable[Sport]="","",#REF!/BetTable[TS]),"")</f>
        <v/>
      </c>
      <c r="AF356" s="164">
        <f>IF(BetTable[Outcome]="Win",BetTable[WBA1-Commission],IF(BetTable[Outcome]="Win Half Stake",(BetTable[Stake]/2)+BetTable[WBA1-Commission]/2,IF(BetTable[Outcome]="Lose Half Stake",BetTable[Stake]/2,IF(BetTable[Outcome]="Lose",0,IF(BetTable[Outcome]="Void",BetTable[Stake],)))))</f>
        <v>62</v>
      </c>
      <c r="AG356" s="164">
        <f>IF(BetTable[Outcome2]="Win",BetTable[WBA2-Commission],IF(BetTable[Outcome2]="Win Half Stake",(BetTable[S2]/2)+BetTable[WBA2-Commission]/2,IF(BetTable[Outcome2]="Lose Half Stake",BetTable[S2]/2,IF(BetTable[Outcome2]="Lose",0,IF(BetTable[Outcome2]="Void",BetTable[S2],)))))</f>
        <v>0</v>
      </c>
      <c r="AH356" s="164">
        <f>IF(BetTable[Outcome3]="Win",BetTable[WBA3-Commission],IF(BetTable[Outcome3]="Win Half Stake",(BetTable[S3]/2)+BetTable[WBA3-Commission]/2,IF(BetTable[Outcome3]="Lose Half Stake",BetTable[S3]/2,IF(BetTable[Outcome3]="Lose",0,IF(BetTable[Outcome3]="Void",BetTable[S3],)))))</f>
        <v>0</v>
      </c>
      <c r="AI356" s="168">
        <f>IF(BetTable[Outcome]="",AI355,BetTable[Result]+AI355)</f>
        <v>567.60925000000032</v>
      </c>
      <c r="AJ356" s="160"/>
    </row>
    <row r="357" spans="1:36" x14ac:dyDescent="0.2">
      <c r="A357" s="159" t="s">
        <v>1048</v>
      </c>
      <c r="B357" s="160" t="s">
        <v>200</v>
      </c>
      <c r="C357" s="161" t="s">
        <v>216</v>
      </c>
      <c r="D357" s="161"/>
      <c r="E357" s="161"/>
      <c r="F357" s="162"/>
      <c r="G357" s="162"/>
      <c r="H357" s="162"/>
      <c r="I357" s="160" t="s">
        <v>1145</v>
      </c>
      <c r="J357" s="163">
        <v>2.31</v>
      </c>
      <c r="K357" s="163"/>
      <c r="L357" s="163"/>
      <c r="M357" s="164">
        <v>15</v>
      </c>
      <c r="N357" s="164"/>
      <c r="O357" s="164"/>
      <c r="P357" s="159" t="s">
        <v>428</v>
      </c>
      <c r="Q357" s="159" t="s">
        <v>488</v>
      </c>
      <c r="R357" s="159" t="s">
        <v>1146</v>
      </c>
      <c r="S357" s="165">
        <v>1.6450790017565199E-2</v>
      </c>
      <c r="T357" s="166" t="s">
        <v>382</v>
      </c>
      <c r="U357" s="166"/>
      <c r="V357" s="166"/>
      <c r="W357" s="167">
        <f>IF(BetTable[Sport]="","",BetTable[Stake]+BetTable[S2]+BetTable[S3])</f>
        <v>15</v>
      </c>
      <c r="X357" s="164">
        <f>IF(BetTable[Odds]="","",(BetTable[WBA1-Commission])-BetTable[TS])</f>
        <v>19.650000000000006</v>
      </c>
      <c r="Y357" s="168">
        <f>IF(BetTable[Outcome]="","",BetTable[WBA1]+BetTable[WBA2]+BetTable[WBA3]-BetTable[TS])</f>
        <v>-15</v>
      </c>
      <c r="Z357" s="164">
        <f>(((BetTable[Odds]-1)*BetTable[Stake])*(1-(BetTable[Comm %]))+BetTable[Stake])</f>
        <v>34.650000000000006</v>
      </c>
      <c r="AA357" s="164">
        <f>(((BetTable[O2]-1)*BetTable[S2])*(1-(BetTable[C% 2]))+BetTable[S2])</f>
        <v>0</v>
      </c>
      <c r="AB357" s="164">
        <f>(((BetTable[O3]-1)*BetTable[S3])*(1-(BetTable[C% 3]))+BetTable[S3])</f>
        <v>0</v>
      </c>
      <c r="AC357" s="165">
        <f>IFERROR(IF(BetTable[Sport]="","",BetTable[R1]/BetTable[TS]),"")</f>
        <v>1.3100000000000003</v>
      </c>
      <c r="AD357" s="165" t="str">
        <f>IF(BetTable[O2]="","",#REF!/BetTable[TS])</f>
        <v/>
      </c>
      <c r="AE357" s="165" t="str">
        <f>IFERROR(IF(BetTable[Sport]="","",#REF!/BetTable[TS]),"")</f>
        <v/>
      </c>
      <c r="AF357" s="164">
        <f>IF(BetTable[Outcome]="Win",BetTable[WBA1-Commission],IF(BetTable[Outcome]="Win Half Stake",(BetTable[Stake]/2)+BetTable[WBA1-Commission]/2,IF(BetTable[Outcome]="Lose Half Stake",BetTable[Stake]/2,IF(BetTable[Outcome]="Lose",0,IF(BetTable[Outcome]="Void",BetTable[Stake],)))))</f>
        <v>0</v>
      </c>
      <c r="AG357" s="164">
        <f>IF(BetTable[Outcome2]="Win",BetTable[WBA2-Commission],IF(BetTable[Outcome2]="Win Half Stake",(BetTable[S2]/2)+BetTable[WBA2-Commission]/2,IF(BetTable[Outcome2]="Lose Half Stake",BetTable[S2]/2,IF(BetTable[Outcome2]="Lose",0,IF(BetTable[Outcome2]="Void",BetTable[S2],)))))</f>
        <v>0</v>
      </c>
      <c r="AH357" s="164">
        <f>IF(BetTable[Outcome3]="Win",BetTable[WBA3-Commission],IF(BetTable[Outcome3]="Win Half Stake",(BetTable[S3]/2)+BetTable[WBA3-Commission]/2,IF(BetTable[Outcome3]="Lose Half Stake",BetTable[S3]/2,IF(BetTable[Outcome3]="Lose",0,IF(BetTable[Outcome3]="Void",BetTable[S3],)))))</f>
        <v>0</v>
      </c>
      <c r="AI357" s="168">
        <f>IF(BetTable[Outcome]="",AI356,BetTable[Result]+AI356)</f>
        <v>552.60925000000032</v>
      </c>
      <c r="AJ357" s="160"/>
    </row>
    <row r="358" spans="1:36" x14ac:dyDescent="0.2">
      <c r="A358" s="159" t="s">
        <v>1048</v>
      </c>
      <c r="B358" s="160" t="s">
        <v>7</v>
      </c>
      <c r="C358" s="161" t="s">
        <v>216</v>
      </c>
      <c r="D358" s="161"/>
      <c r="E358" s="161"/>
      <c r="F358" s="162"/>
      <c r="G358" s="162"/>
      <c r="H358" s="162"/>
      <c r="I358" s="160" t="s">
        <v>1147</v>
      </c>
      <c r="J358" s="163">
        <v>4.8</v>
      </c>
      <c r="K358" s="163"/>
      <c r="L358" s="163"/>
      <c r="M358" s="164">
        <v>15</v>
      </c>
      <c r="N358" s="164"/>
      <c r="O358" s="164"/>
      <c r="P358" s="159" t="s">
        <v>428</v>
      </c>
      <c r="Q358" s="159" t="s">
        <v>1148</v>
      </c>
      <c r="R358" s="159" t="s">
        <v>1149</v>
      </c>
      <c r="S358" s="165">
        <v>4.6826552800163103E-2</v>
      </c>
      <c r="T358" s="166" t="s">
        <v>382</v>
      </c>
      <c r="U358" s="166"/>
      <c r="V358" s="166"/>
      <c r="W358" s="167">
        <f>IF(BetTable[Sport]="","",BetTable[Stake]+BetTable[S2]+BetTable[S3])</f>
        <v>15</v>
      </c>
      <c r="X358" s="164">
        <f>IF(BetTable[Odds]="","",(BetTable[WBA1-Commission])-BetTable[TS])</f>
        <v>57</v>
      </c>
      <c r="Y358" s="168">
        <f>IF(BetTable[Outcome]="","",BetTable[WBA1]+BetTable[WBA2]+BetTable[WBA3]-BetTable[TS])</f>
        <v>-15</v>
      </c>
      <c r="Z358" s="164">
        <f>(((BetTable[Odds]-1)*BetTable[Stake])*(1-(BetTable[Comm %]))+BetTable[Stake])</f>
        <v>72</v>
      </c>
      <c r="AA358" s="164">
        <f>(((BetTable[O2]-1)*BetTable[S2])*(1-(BetTable[C% 2]))+BetTable[S2])</f>
        <v>0</v>
      </c>
      <c r="AB358" s="164">
        <f>(((BetTable[O3]-1)*BetTable[S3])*(1-(BetTable[C% 3]))+BetTable[S3])</f>
        <v>0</v>
      </c>
      <c r="AC358" s="165">
        <f>IFERROR(IF(BetTable[Sport]="","",BetTable[R1]/BetTable[TS]),"")</f>
        <v>3.8</v>
      </c>
      <c r="AD358" s="165" t="str">
        <f>IF(BetTable[O2]="","",#REF!/BetTable[TS])</f>
        <v/>
      </c>
      <c r="AE358" s="165" t="str">
        <f>IFERROR(IF(BetTable[Sport]="","",#REF!/BetTable[TS]),"")</f>
        <v/>
      </c>
      <c r="AF358" s="164">
        <f>IF(BetTable[Outcome]="Win",BetTable[WBA1-Commission],IF(BetTable[Outcome]="Win Half Stake",(BetTable[Stake]/2)+BetTable[WBA1-Commission]/2,IF(BetTable[Outcome]="Lose Half Stake",BetTable[Stake]/2,IF(BetTable[Outcome]="Lose",0,IF(BetTable[Outcome]="Void",BetTable[Stake],)))))</f>
        <v>0</v>
      </c>
      <c r="AG358" s="164">
        <f>IF(BetTable[Outcome2]="Win",BetTable[WBA2-Commission],IF(BetTable[Outcome2]="Win Half Stake",(BetTable[S2]/2)+BetTable[WBA2-Commission]/2,IF(BetTable[Outcome2]="Lose Half Stake",BetTable[S2]/2,IF(BetTable[Outcome2]="Lose",0,IF(BetTable[Outcome2]="Void",BetTable[S2],)))))</f>
        <v>0</v>
      </c>
      <c r="AH358" s="164">
        <f>IF(BetTable[Outcome3]="Win",BetTable[WBA3-Commission],IF(BetTable[Outcome3]="Win Half Stake",(BetTable[S3]/2)+BetTable[WBA3-Commission]/2,IF(BetTable[Outcome3]="Lose Half Stake",BetTable[S3]/2,IF(BetTable[Outcome3]="Lose",0,IF(BetTable[Outcome3]="Void",BetTable[S3],)))))</f>
        <v>0</v>
      </c>
      <c r="AI358" s="168">
        <f>IF(BetTable[Outcome]="",AI357,BetTable[Result]+AI357)</f>
        <v>537.60925000000032</v>
      </c>
      <c r="AJ358" s="160"/>
    </row>
    <row r="359" spans="1:36" x14ac:dyDescent="0.2">
      <c r="A359" s="159" t="s">
        <v>1048</v>
      </c>
      <c r="B359" s="160" t="s">
        <v>200</v>
      </c>
      <c r="C359" s="161" t="s">
        <v>234</v>
      </c>
      <c r="D359" s="161"/>
      <c r="E359" s="161"/>
      <c r="F359" s="162"/>
      <c r="G359" s="162"/>
      <c r="H359" s="162"/>
      <c r="I359" s="160" t="s">
        <v>1150</v>
      </c>
      <c r="J359" s="163">
        <v>1.63</v>
      </c>
      <c r="K359" s="163"/>
      <c r="L359" s="163"/>
      <c r="M359" s="164">
        <v>62</v>
      </c>
      <c r="N359" s="164"/>
      <c r="O359" s="164"/>
      <c r="P359" s="159" t="s">
        <v>620</v>
      </c>
      <c r="Q359" s="159" t="s">
        <v>547</v>
      </c>
      <c r="R359" s="159" t="s">
        <v>1151</v>
      </c>
      <c r="S359" s="165">
        <v>3.2358170188767799E-2</v>
      </c>
      <c r="T359" s="166" t="s">
        <v>382</v>
      </c>
      <c r="U359" s="166"/>
      <c r="V359" s="166"/>
      <c r="W359" s="167">
        <f>IF(BetTable[Sport]="","",BetTable[Stake]+BetTable[S2]+BetTable[S3])</f>
        <v>62</v>
      </c>
      <c r="X359" s="164">
        <f>IF(BetTable[Odds]="","",(BetTable[WBA1-Commission])-BetTable[TS])</f>
        <v>39.06</v>
      </c>
      <c r="Y359" s="168">
        <f>IF(BetTable[Outcome]="","",BetTable[WBA1]+BetTable[WBA2]+BetTable[WBA3]-BetTable[TS])</f>
        <v>-62</v>
      </c>
      <c r="Z359" s="164">
        <f>(((BetTable[Odds]-1)*BetTable[Stake])*(1-(BetTable[Comm %]))+BetTable[Stake])</f>
        <v>101.06</v>
      </c>
      <c r="AA359" s="164">
        <f>(((BetTable[O2]-1)*BetTable[S2])*(1-(BetTable[C% 2]))+BetTable[S2])</f>
        <v>0</v>
      </c>
      <c r="AB359" s="164">
        <f>(((BetTable[O3]-1)*BetTable[S3])*(1-(BetTable[C% 3]))+BetTable[S3])</f>
        <v>0</v>
      </c>
      <c r="AC359" s="165">
        <f>IFERROR(IF(BetTable[Sport]="","",BetTable[R1]/BetTable[TS]),"")</f>
        <v>0.63</v>
      </c>
      <c r="AD359" s="165" t="str">
        <f>IF(BetTable[O2]="","",#REF!/BetTable[TS])</f>
        <v/>
      </c>
      <c r="AE359" s="165" t="str">
        <f>IFERROR(IF(BetTable[Sport]="","",#REF!/BetTable[TS]),"")</f>
        <v/>
      </c>
      <c r="AF359" s="164">
        <f>IF(BetTable[Outcome]="Win",BetTable[WBA1-Commission],IF(BetTable[Outcome]="Win Half Stake",(BetTable[Stake]/2)+BetTable[WBA1-Commission]/2,IF(BetTable[Outcome]="Lose Half Stake",BetTable[Stake]/2,IF(BetTable[Outcome]="Lose",0,IF(BetTable[Outcome]="Void",BetTable[Stake],)))))</f>
        <v>0</v>
      </c>
      <c r="AG359" s="164">
        <f>IF(BetTable[Outcome2]="Win",BetTable[WBA2-Commission],IF(BetTable[Outcome2]="Win Half Stake",(BetTable[S2]/2)+BetTable[WBA2-Commission]/2,IF(BetTable[Outcome2]="Lose Half Stake",BetTable[S2]/2,IF(BetTable[Outcome2]="Lose",0,IF(BetTable[Outcome2]="Void",BetTable[S2],)))))</f>
        <v>0</v>
      </c>
      <c r="AH359" s="164">
        <f>IF(BetTable[Outcome3]="Win",BetTable[WBA3-Commission],IF(BetTable[Outcome3]="Win Half Stake",(BetTable[S3]/2)+BetTable[WBA3-Commission]/2,IF(BetTable[Outcome3]="Lose Half Stake",BetTable[S3]/2,IF(BetTable[Outcome3]="Lose",0,IF(BetTable[Outcome3]="Void",BetTable[S3],)))))</f>
        <v>0</v>
      </c>
      <c r="AI359" s="168">
        <f>IF(BetTable[Outcome]="",AI358,BetTable[Result]+AI358)</f>
        <v>475.60925000000032</v>
      </c>
      <c r="AJ359" s="160"/>
    </row>
    <row r="360" spans="1:36" x14ac:dyDescent="0.2">
      <c r="A360" s="191" t="s">
        <v>1048</v>
      </c>
      <c r="B360" s="192" t="s">
        <v>7</v>
      </c>
      <c r="C360" s="193" t="s">
        <v>91</v>
      </c>
      <c r="D360" s="193"/>
      <c r="E360" s="193"/>
      <c r="F360" s="194"/>
      <c r="G360" s="194"/>
      <c r="H360" s="194"/>
      <c r="I360" s="192" t="s">
        <v>1152</v>
      </c>
      <c r="J360" s="195">
        <v>2.04</v>
      </c>
      <c r="K360" s="195"/>
      <c r="L360" s="195"/>
      <c r="M360" s="196">
        <v>23</v>
      </c>
      <c r="N360" s="196"/>
      <c r="O360" s="196"/>
      <c r="P360" s="191" t="s">
        <v>1153</v>
      </c>
      <c r="Q360" s="191" t="s">
        <v>491</v>
      </c>
      <c r="R360" s="191" t="s">
        <v>1154</v>
      </c>
      <c r="S360" s="197">
        <v>0.02</v>
      </c>
      <c r="T360" s="198" t="s">
        <v>372</v>
      </c>
      <c r="U360" s="198"/>
      <c r="V360" s="198"/>
      <c r="W360" s="199">
        <f>IF(BetTable[Sport]="","",BetTable[Stake]+BetTable[S2]+BetTable[S3])</f>
        <v>23</v>
      </c>
      <c r="X360" s="196">
        <f>IF(BetTable[Odds]="","",(BetTable[WBA1-Commission])-BetTable[TS])</f>
        <v>23.92</v>
      </c>
      <c r="Y360" s="200">
        <f>IF(BetTable[Outcome]="","",BetTable[WBA1]+BetTable[WBA2]+BetTable[WBA3]-BetTable[TS])</f>
        <v>23.92</v>
      </c>
      <c r="Z360" s="196">
        <f>(((BetTable[Odds]-1)*BetTable[Stake])*(1-(BetTable[Comm %]))+BetTable[Stake])</f>
        <v>46.92</v>
      </c>
      <c r="AA360" s="196">
        <f>(((BetTable[O2]-1)*BetTable[S2])*(1-(BetTable[C% 2]))+BetTable[S2])</f>
        <v>0</v>
      </c>
      <c r="AB360" s="196">
        <f>(((BetTable[O3]-1)*BetTable[S3])*(1-(BetTable[C% 3]))+BetTable[S3])</f>
        <v>0</v>
      </c>
      <c r="AC360" s="197">
        <f>IFERROR(IF(BetTable[Sport]="","",BetTable[R1]/BetTable[TS]),"")</f>
        <v>1.04</v>
      </c>
      <c r="AD360" s="197" t="str">
        <f>IF(BetTable[O2]="","",#REF!/BetTable[TS])</f>
        <v/>
      </c>
      <c r="AE360" s="197" t="str">
        <f>IFERROR(IF(BetTable[Sport]="","",#REF!/BetTable[TS]),"")</f>
        <v/>
      </c>
      <c r="AF360" s="196">
        <f>IF(BetTable[Outcome]="Win",BetTable[WBA1-Commission],IF(BetTable[Outcome]="Win Half Stake",(BetTable[Stake]/2)+BetTable[WBA1-Commission]/2,IF(BetTable[Outcome]="Lose Half Stake",BetTable[Stake]/2,IF(BetTable[Outcome]="Lose",0,IF(BetTable[Outcome]="Void",BetTable[Stake],)))))</f>
        <v>46.92</v>
      </c>
      <c r="AG360" s="196">
        <f>IF(BetTable[Outcome2]="Win",BetTable[WBA2-Commission],IF(BetTable[Outcome2]="Win Half Stake",(BetTable[S2]/2)+BetTable[WBA2-Commission]/2,IF(BetTable[Outcome2]="Lose Half Stake",BetTable[S2]/2,IF(BetTable[Outcome2]="Lose",0,IF(BetTable[Outcome2]="Void",BetTable[S2],)))))</f>
        <v>0</v>
      </c>
      <c r="AH360" s="196">
        <f>IF(BetTable[Outcome3]="Win",BetTable[WBA3-Commission],IF(BetTable[Outcome3]="Win Half Stake",(BetTable[S3]/2)+BetTable[WBA3-Commission]/2,IF(BetTable[Outcome3]="Lose Half Stake",BetTable[S3]/2,IF(BetTable[Outcome3]="Lose",0,IF(BetTable[Outcome3]="Void",BetTable[S3],)))))</f>
        <v>0</v>
      </c>
      <c r="AI360" s="200">
        <f>IF(BetTable[Outcome]="",AI359,BetTable[Result]+AI359)</f>
        <v>499.52925000000033</v>
      </c>
      <c r="AJ360" s="192"/>
    </row>
    <row r="361" spans="1:36" x14ac:dyDescent="0.2">
      <c r="A361" s="191" t="s">
        <v>1048</v>
      </c>
      <c r="B361" s="192" t="s">
        <v>9</v>
      </c>
      <c r="C361" s="193" t="s">
        <v>91</v>
      </c>
      <c r="D361" s="193"/>
      <c r="E361" s="193"/>
      <c r="F361" s="194"/>
      <c r="G361" s="194"/>
      <c r="H361" s="194"/>
      <c r="I361" s="192" t="s">
        <v>1155</v>
      </c>
      <c r="J361" s="195">
        <v>1.94</v>
      </c>
      <c r="K361" s="195"/>
      <c r="L361" s="195"/>
      <c r="M361" s="196">
        <v>22</v>
      </c>
      <c r="N361" s="196"/>
      <c r="O361" s="196"/>
      <c r="P361" s="191" t="s">
        <v>469</v>
      </c>
      <c r="Q361" s="191" t="s">
        <v>488</v>
      </c>
      <c r="R361" s="191" t="s">
        <v>1156</v>
      </c>
      <c r="S361" s="197">
        <v>1.6878498667433E-2</v>
      </c>
      <c r="T361" s="198" t="s">
        <v>372</v>
      </c>
      <c r="U361" s="198"/>
      <c r="V361" s="198"/>
      <c r="W361" s="199">
        <f>IF(BetTable[Sport]="","",BetTable[Stake]+BetTable[S2]+BetTable[S3])</f>
        <v>22</v>
      </c>
      <c r="X361" s="196">
        <f>IF(BetTable[Odds]="","",(BetTable[WBA1-Commission])-BetTable[TS])</f>
        <v>20.68</v>
      </c>
      <c r="Y361" s="200">
        <f>IF(BetTable[Outcome]="","",BetTable[WBA1]+BetTable[WBA2]+BetTable[WBA3]-BetTable[TS])</f>
        <v>20.68</v>
      </c>
      <c r="Z361" s="196">
        <f>(((BetTable[Odds]-1)*BetTable[Stake])*(1-(BetTable[Comm %]))+BetTable[Stake])</f>
        <v>42.68</v>
      </c>
      <c r="AA361" s="196">
        <f>(((BetTable[O2]-1)*BetTable[S2])*(1-(BetTable[C% 2]))+BetTable[S2])</f>
        <v>0</v>
      </c>
      <c r="AB361" s="196">
        <f>(((BetTable[O3]-1)*BetTable[S3])*(1-(BetTable[C% 3]))+BetTable[S3])</f>
        <v>0</v>
      </c>
      <c r="AC361" s="197">
        <f>IFERROR(IF(BetTable[Sport]="","",BetTable[R1]/BetTable[TS]),"")</f>
        <v>0.94</v>
      </c>
      <c r="AD361" s="197" t="str">
        <f>IF(BetTable[O2]="","",#REF!/BetTable[TS])</f>
        <v/>
      </c>
      <c r="AE361" s="197" t="str">
        <f>IFERROR(IF(BetTable[Sport]="","",#REF!/BetTable[TS]),"")</f>
        <v/>
      </c>
      <c r="AF361" s="196">
        <f>IF(BetTable[Outcome]="Win",BetTable[WBA1-Commission],IF(BetTable[Outcome]="Win Half Stake",(BetTable[Stake]/2)+BetTable[WBA1-Commission]/2,IF(BetTable[Outcome]="Lose Half Stake",BetTable[Stake]/2,IF(BetTable[Outcome]="Lose",0,IF(BetTable[Outcome]="Void",BetTable[Stake],)))))</f>
        <v>42.68</v>
      </c>
      <c r="AG361" s="196">
        <f>IF(BetTable[Outcome2]="Win",BetTable[WBA2-Commission],IF(BetTable[Outcome2]="Win Half Stake",(BetTable[S2]/2)+BetTable[WBA2-Commission]/2,IF(BetTable[Outcome2]="Lose Half Stake",BetTable[S2]/2,IF(BetTable[Outcome2]="Lose",0,IF(BetTable[Outcome2]="Void",BetTable[S2],)))))</f>
        <v>0</v>
      </c>
      <c r="AH361" s="196">
        <f>IF(BetTable[Outcome3]="Win",BetTable[WBA3-Commission],IF(BetTable[Outcome3]="Win Half Stake",(BetTable[S3]/2)+BetTable[WBA3-Commission]/2,IF(BetTable[Outcome3]="Lose Half Stake",BetTable[S3]/2,IF(BetTable[Outcome3]="Lose",0,IF(BetTable[Outcome3]="Void",BetTable[S3],)))))</f>
        <v>0</v>
      </c>
      <c r="AI361" s="200">
        <f>IF(BetTable[Outcome]="",AI360,BetTable[Result]+AI360)</f>
        <v>520.20925000000034</v>
      </c>
      <c r="AJ361" s="192"/>
    </row>
    <row r="362" spans="1:36" x14ac:dyDescent="0.2">
      <c r="A362" s="191" t="s">
        <v>1048</v>
      </c>
      <c r="B362" s="192" t="s">
        <v>8</v>
      </c>
      <c r="C362" s="193" t="s">
        <v>216</v>
      </c>
      <c r="D362" s="193"/>
      <c r="E362" s="193"/>
      <c r="F362" s="194"/>
      <c r="G362" s="194"/>
      <c r="H362" s="194"/>
      <c r="I362" s="192" t="s">
        <v>1157</v>
      </c>
      <c r="J362" s="195">
        <v>3.42</v>
      </c>
      <c r="K362" s="195"/>
      <c r="L362" s="195"/>
      <c r="M362" s="196">
        <v>14</v>
      </c>
      <c r="N362" s="196"/>
      <c r="O362" s="196"/>
      <c r="P362" s="191" t="s">
        <v>435</v>
      </c>
      <c r="Q362" s="191" t="s">
        <v>569</v>
      </c>
      <c r="R362" s="191" t="s">
        <v>1158</v>
      </c>
      <c r="S362" s="197">
        <v>2.88774403582738E-2</v>
      </c>
      <c r="T362" s="198" t="s">
        <v>382</v>
      </c>
      <c r="U362" s="198"/>
      <c r="V362" s="198"/>
      <c r="W362" s="199">
        <f>IF(BetTable[Sport]="","",BetTable[Stake]+BetTable[S2]+BetTable[S3])</f>
        <v>14</v>
      </c>
      <c r="X362" s="196">
        <f>IF(BetTable[Odds]="","",(BetTable[WBA1-Commission])-BetTable[TS])</f>
        <v>33.879999999999995</v>
      </c>
      <c r="Y362" s="200">
        <f>IF(BetTable[Outcome]="","",BetTable[WBA1]+BetTable[WBA2]+BetTable[WBA3]-BetTable[TS])</f>
        <v>-14</v>
      </c>
      <c r="Z362" s="196">
        <f>(((BetTable[Odds]-1)*BetTable[Stake])*(1-(BetTable[Comm %]))+BetTable[Stake])</f>
        <v>47.879999999999995</v>
      </c>
      <c r="AA362" s="196">
        <f>(((BetTable[O2]-1)*BetTable[S2])*(1-(BetTable[C% 2]))+BetTable[S2])</f>
        <v>0</v>
      </c>
      <c r="AB362" s="196">
        <f>(((BetTable[O3]-1)*BetTable[S3])*(1-(BetTable[C% 3]))+BetTable[S3])</f>
        <v>0</v>
      </c>
      <c r="AC362" s="197">
        <f>IFERROR(IF(BetTable[Sport]="","",BetTable[R1]/BetTable[TS]),"")</f>
        <v>2.4199999999999995</v>
      </c>
      <c r="AD362" s="197" t="str">
        <f>IF(BetTable[O2]="","",#REF!/BetTable[TS])</f>
        <v/>
      </c>
      <c r="AE362" s="197" t="str">
        <f>IFERROR(IF(BetTable[Sport]="","",#REF!/BetTable[TS]),"")</f>
        <v/>
      </c>
      <c r="AF362" s="196">
        <f>IF(BetTable[Outcome]="Win",BetTable[WBA1-Commission],IF(BetTable[Outcome]="Win Half Stake",(BetTable[Stake]/2)+BetTable[WBA1-Commission]/2,IF(BetTable[Outcome]="Lose Half Stake",BetTable[Stake]/2,IF(BetTable[Outcome]="Lose",0,IF(BetTable[Outcome]="Void",BetTable[Stake],)))))</f>
        <v>0</v>
      </c>
      <c r="AG362" s="196">
        <f>IF(BetTable[Outcome2]="Win",BetTable[WBA2-Commission],IF(BetTable[Outcome2]="Win Half Stake",(BetTable[S2]/2)+BetTable[WBA2-Commission]/2,IF(BetTable[Outcome2]="Lose Half Stake",BetTable[S2]/2,IF(BetTable[Outcome2]="Lose",0,IF(BetTable[Outcome2]="Void",BetTable[S2],)))))</f>
        <v>0</v>
      </c>
      <c r="AH362" s="196">
        <f>IF(BetTable[Outcome3]="Win",BetTable[WBA3-Commission],IF(BetTable[Outcome3]="Win Half Stake",(BetTable[S3]/2)+BetTable[WBA3-Commission]/2,IF(BetTable[Outcome3]="Lose Half Stake",BetTable[S3]/2,IF(BetTable[Outcome3]="Lose",0,IF(BetTable[Outcome3]="Void",BetTable[S3],)))))</f>
        <v>0</v>
      </c>
      <c r="AI362" s="200">
        <f>IF(BetTable[Outcome]="",AI361,BetTable[Result]+AI361)</f>
        <v>506.20925000000034</v>
      </c>
      <c r="AJ362" s="192"/>
    </row>
    <row r="363" spans="1:36" x14ac:dyDescent="0.2">
      <c r="A363" s="191" t="s">
        <v>1048</v>
      </c>
      <c r="B363" s="192" t="s">
        <v>9</v>
      </c>
      <c r="C363" s="193" t="s">
        <v>216</v>
      </c>
      <c r="D363" s="193"/>
      <c r="E363" s="193"/>
      <c r="F363" s="194"/>
      <c r="G363" s="194"/>
      <c r="H363" s="194"/>
      <c r="I363" s="192" t="s">
        <v>1159</v>
      </c>
      <c r="J363" s="195">
        <v>1.87</v>
      </c>
      <c r="K363" s="195"/>
      <c r="L363" s="195"/>
      <c r="M363" s="196">
        <v>21</v>
      </c>
      <c r="N363" s="196"/>
      <c r="O363" s="196"/>
      <c r="P363" s="191" t="s">
        <v>776</v>
      </c>
      <c r="Q363" s="191" t="s">
        <v>632</v>
      </c>
      <c r="R363" s="191" t="s">
        <v>1160</v>
      </c>
      <c r="S363" s="197">
        <v>1.5718497204637302E-2</v>
      </c>
      <c r="T363" s="198" t="s">
        <v>382</v>
      </c>
      <c r="U363" s="198"/>
      <c r="V363" s="198"/>
      <c r="W363" s="199">
        <f>IF(BetTable[Sport]="","",BetTable[Stake]+BetTable[S2]+BetTable[S3])</f>
        <v>21</v>
      </c>
      <c r="X363" s="196">
        <f>IF(BetTable[Odds]="","",(BetTable[WBA1-Commission])-BetTable[TS])</f>
        <v>18.270000000000003</v>
      </c>
      <c r="Y363" s="200">
        <f>IF(BetTable[Outcome]="","",BetTable[WBA1]+BetTable[WBA2]+BetTable[WBA3]-BetTable[TS])</f>
        <v>-21</v>
      </c>
      <c r="Z363" s="196">
        <f>(((BetTable[Odds]-1)*BetTable[Stake])*(1-(BetTable[Comm %]))+BetTable[Stake])</f>
        <v>39.270000000000003</v>
      </c>
      <c r="AA363" s="196">
        <f>(((BetTable[O2]-1)*BetTable[S2])*(1-(BetTable[C% 2]))+BetTable[S2])</f>
        <v>0</v>
      </c>
      <c r="AB363" s="196">
        <f>(((BetTable[O3]-1)*BetTable[S3])*(1-(BetTable[C% 3]))+BetTable[S3])</f>
        <v>0</v>
      </c>
      <c r="AC363" s="197">
        <f>IFERROR(IF(BetTable[Sport]="","",BetTable[R1]/BetTable[TS]),"")</f>
        <v>0.87000000000000011</v>
      </c>
      <c r="AD363" s="197" t="str">
        <f>IF(BetTable[O2]="","",#REF!/BetTable[TS])</f>
        <v/>
      </c>
      <c r="AE363" s="197" t="str">
        <f>IFERROR(IF(BetTable[Sport]="","",#REF!/BetTable[TS]),"")</f>
        <v/>
      </c>
      <c r="AF363" s="196">
        <f>IF(BetTable[Outcome]="Win",BetTable[WBA1-Commission],IF(BetTable[Outcome]="Win Half Stake",(BetTable[Stake]/2)+BetTable[WBA1-Commission]/2,IF(BetTable[Outcome]="Lose Half Stake",BetTable[Stake]/2,IF(BetTable[Outcome]="Lose",0,IF(BetTable[Outcome]="Void",BetTable[Stake],)))))</f>
        <v>0</v>
      </c>
      <c r="AG363" s="196">
        <f>IF(BetTable[Outcome2]="Win",BetTable[WBA2-Commission],IF(BetTable[Outcome2]="Win Half Stake",(BetTable[S2]/2)+BetTable[WBA2-Commission]/2,IF(BetTable[Outcome2]="Lose Half Stake",BetTable[S2]/2,IF(BetTable[Outcome2]="Lose",0,IF(BetTable[Outcome2]="Void",BetTable[S2],)))))</f>
        <v>0</v>
      </c>
      <c r="AH363" s="196">
        <f>IF(BetTable[Outcome3]="Win",BetTable[WBA3-Commission],IF(BetTable[Outcome3]="Win Half Stake",(BetTable[S3]/2)+BetTable[WBA3-Commission]/2,IF(BetTable[Outcome3]="Lose Half Stake",BetTable[S3]/2,IF(BetTable[Outcome3]="Lose",0,IF(BetTable[Outcome3]="Void",BetTable[S3],)))))</f>
        <v>0</v>
      </c>
      <c r="AI363" s="200">
        <f>IF(BetTable[Outcome]="",AI362,BetTable[Result]+AI362)</f>
        <v>485.20925000000034</v>
      </c>
      <c r="AJ363" s="192"/>
    </row>
    <row r="364" spans="1:36" x14ac:dyDescent="0.2">
      <c r="A364" s="191" t="s">
        <v>1048</v>
      </c>
      <c r="B364" s="192" t="s">
        <v>8</v>
      </c>
      <c r="C364" s="193" t="s">
        <v>216</v>
      </c>
      <c r="D364" s="193"/>
      <c r="E364" s="193"/>
      <c r="F364" s="194"/>
      <c r="G364" s="194"/>
      <c r="H364" s="194"/>
      <c r="I364" s="192" t="s">
        <v>1161</v>
      </c>
      <c r="J364" s="195">
        <v>6</v>
      </c>
      <c r="K364" s="195"/>
      <c r="L364" s="195"/>
      <c r="M364" s="196">
        <v>9</v>
      </c>
      <c r="N364" s="196"/>
      <c r="O364" s="196"/>
      <c r="P364" s="191" t="s">
        <v>435</v>
      </c>
      <c r="Q364" s="191" t="s">
        <v>466</v>
      </c>
      <c r="R364" s="191" t="s">
        <v>1162</v>
      </c>
      <c r="S364" s="197">
        <v>3.89883488676184E-2</v>
      </c>
      <c r="T364" s="198" t="s">
        <v>372</v>
      </c>
      <c r="U364" s="198"/>
      <c r="V364" s="198"/>
      <c r="W364" s="199">
        <f>IF(BetTable[Sport]="","",BetTable[Stake]+BetTable[S2]+BetTable[S3])</f>
        <v>9</v>
      </c>
      <c r="X364" s="196">
        <f>IF(BetTable[Odds]="","",(BetTable[WBA1-Commission])-BetTable[TS])</f>
        <v>45</v>
      </c>
      <c r="Y364" s="200">
        <f>IF(BetTable[Outcome]="","",BetTable[WBA1]+BetTable[WBA2]+BetTable[WBA3]-BetTable[TS])</f>
        <v>45</v>
      </c>
      <c r="Z364" s="196">
        <f>(((BetTable[Odds]-1)*BetTable[Stake])*(1-(BetTable[Comm %]))+BetTable[Stake])</f>
        <v>54</v>
      </c>
      <c r="AA364" s="196">
        <f>(((BetTable[O2]-1)*BetTable[S2])*(1-(BetTable[C% 2]))+BetTable[S2])</f>
        <v>0</v>
      </c>
      <c r="AB364" s="196">
        <f>(((BetTable[O3]-1)*BetTable[S3])*(1-(BetTable[C% 3]))+BetTable[S3])</f>
        <v>0</v>
      </c>
      <c r="AC364" s="197">
        <f>IFERROR(IF(BetTable[Sport]="","",BetTable[R1]/BetTable[TS]),"")</f>
        <v>5</v>
      </c>
      <c r="AD364" s="197" t="str">
        <f>IF(BetTable[O2]="","",#REF!/BetTable[TS])</f>
        <v/>
      </c>
      <c r="AE364" s="197" t="str">
        <f>IFERROR(IF(BetTable[Sport]="","",#REF!/BetTable[TS]),"")</f>
        <v/>
      </c>
      <c r="AF364" s="196">
        <f>IF(BetTable[Outcome]="Win",BetTable[WBA1-Commission],IF(BetTable[Outcome]="Win Half Stake",(BetTable[Stake]/2)+BetTable[WBA1-Commission]/2,IF(BetTable[Outcome]="Lose Half Stake",BetTable[Stake]/2,IF(BetTable[Outcome]="Lose",0,IF(BetTable[Outcome]="Void",BetTable[Stake],)))))</f>
        <v>54</v>
      </c>
      <c r="AG364" s="196">
        <f>IF(BetTable[Outcome2]="Win",BetTable[WBA2-Commission],IF(BetTable[Outcome2]="Win Half Stake",(BetTable[S2]/2)+BetTable[WBA2-Commission]/2,IF(BetTable[Outcome2]="Lose Half Stake",BetTable[S2]/2,IF(BetTable[Outcome2]="Lose",0,IF(BetTable[Outcome2]="Void",BetTable[S2],)))))</f>
        <v>0</v>
      </c>
      <c r="AH364" s="196">
        <f>IF(BetTable[Outcome3]="Win",BetTable[WBA3-Commission],IF(BetTable[Outcome3]="Win Half Stake",(BetTable[S3]/2)+BetTable[WBA3-Commission]/2,IF(BetTable[Outcome3]="Lose Half Stake",BetTable[S3]/2,IF(BetTable[Outcome3]="Lose",0,IF(BetTable[Outcome3]="Void",BetTable[S3],)))))</f>
        <v>0</v>
      </c>
      <c r="AI364" s="200">
        <f>IF(BetTable[Outcome]="",AI363,BetTable[Result]+AI363)</f>
        <v>530.20925000000034</v>
      </c>
      <c r="AJ364" s="192"/>
    </row>
    <row r="365" spans="1:36" x14ac:dyDescent="0.2">
      <c r="A365" s="159" t="s">
        <v>1048</v>
      </c>
      <c r="B365" s="160" t="s">
        <v>200</v>
      </c>
      <c r="C365" s="161" t="s">
        <v>216</v>
      </c>
      <c r="D365" s="161"/>
      <c r="E365" s="161"/>
      <c r="F365" s="162"/>
      <c r="G365" s="162"/>
      <c r="H365" s="162"/>
      <c r="I365" s="160" t="s">
        <v>1163</v>
      </c>
      <c r="J365" s="163">
        <v>1.704</v>
      </c>
      <c r="K365" s="163"/>
      <c r="L365" s="163"/>
      <c r="M365" s="164">
        <v>25</v>
      </c>
      <c r="N365" s="164"/>
      <c r="O365" s="164"/>
      <c r="P365" s="159" t="s">
        <v>646</v>
      </c>
      <c r="Q365" s="159" t="s">
        <v>547</v>
      </c>
      <c r="R365" s="159" t="s">
        <v>1164</v>
      </c>
      <c r="S365" s="165">
        <v>1.4274215892742199E-2</v>
      </c>
      <c r="T365" s="166" t="s">
        <v>382</v>
      </c>
      <c r="U365" s="166"/>
      <c r="V365" s="166"/>
      <c r="W365" s="167">
        <f>IF(BetTable[Sport]="","",BetTable[Stake]+BetTable[S2]+BetTable[S3])</f>
        <v>25</v>
      </c>
      <c r="X365" s="164">
        <f>IF(BetTable[Odds]="","",(BetTable[WBA1-Commission])-BetTable[TS])</f>
        <v>17.599999999999994</v>
      </c>
      <c r="Y365" s="168">
        <f>IF(BetTable[Outcome]="","",BetTable[WBA1]+BetTable[WBA2]+BetTable[WBA3]-BetTable[TS])</f>
        <v>-25</v>
      </c>
      <c r="Z365" s="164">
        <f>(((BetTable[Odds]-1)*BetTable[Stake])*(1-(BetTable[Comm %]))+BetTable[Stake])</f>
        <v>42.599999999999994</v>
      </c>
      <c r="AA365" s="164">
        <f>(((BetTable[O2]-1)*BetTable[S2])*(1-(BetTable[C% 2]))+BetTable[S2])</f>
        <v>0</v>
      </c>
      <c r="AB365" s="164">
        <f>(((BetTable[O3]-1)*BetTable[S3])*(1-(BetTable[C% 3]))+BetTable[S3])</f>
        <v>0</v>
      </c>
      <c r="AC365" s="165">
        <f>IFERROR(IF(BetTable[Sport]="","",BetTable[R1]/BetTable[TS]),"")</f>
        <v>0.70399999999999974</v>
      </c>
      <c r="AD365" s="165" t="str">
        <f>IF(BetTable[O2]="","",#REF!/BetTable[TS])</f>
        <v/>
      </c>
      <c r="AE365" s="165" t="str">
        <f>IFERROR(IF(BetTable[Sport]="","",#REF!/BetTable[TS]),"")</f>
        <v/>
      </c>
      <c r="AF365" s="164">
        <f>IF(BetTable[Outcome]="Win",BetTable[WBA1-Commission],IF(BetTable[Outcome]="Win Half Stake",(BetTable[Stake]/2)+BetTable[WBA1-Commission]/2,IF(BetTable[Outcome]="Lose Half Stake",BetTable[Stake]/2,IF(BetTable[Outcome]="Lose",0,IF(BetTable[Outcome]="Void",BetTable[Stake],)))))</f>
        <v>0</v>
      </c>
      <c r="AG365" s="164">
        <f>IF(BetTable[Outcome2]="Win",BetTable[WBA2-Commission],IF(BetTable[Outcome2]="Win Half Stake",(BetTable[S2]/2)+BetTable[WBA2-Commission]/2,IF(BetTable[Outcome2]="Lose Half Stake",BetTable[S2]/2,IF(BetTable[Outcome2]="Lose",0,IF(BetTable[Outcome2]="Void",BetTable[S2],)))))</f>
        <v>0</v>
      </c>
      <c r="AH365" s="164">
        <f>IF(BetTable[Outcome3]="Win",BetTable[WBA3-Commission],IF(BetTable[Outcome3]="Win Half Stake",(BetTable[S3]/2)+BetTable[WBA3-Commission]/2,IF(BetTable[Outcome3]="Lose Half Stake",BetTable[S3]/2,IF(BetTable[Outcome3]="Lose",0,IF(BetTable[Outcome3]="Void",BetTable[S3],)))))</f>
        <v>0</v>
      </c>
      <c r="AI365" s="168">
        <f>IF(BetTable[Outcome]="",AI364,BetTable[Result]+AI364)</f>
        <v>505.20925000000034</v>
      </c>
      <c r="AJ365" s="160"/>
    </row>
    <row r="366" spans="1:36" x14ac:dyDescent="0.2">
      <c r="A366" s="159" t="s">
        <v>1048</v>
      </c>
      <c r="B366" s="160" t="s">
        <v>200</v>
      </c>
      <c r="C366" s="161" t="s">
        <v>216</v>
      </c>
      <c r="D366" s="161"/>
      <c r="E366" s="161"/>
      <c r="F366" s="162"/>
      <c r="G366" s="162"/>
      <c r="H366" s="162"/>
      <c r="I366" s="160" t="s">
        <v>1165</v>
      </c>
      <c r="J366" s="163">
        <v>3.01</v>
      </c>
      <c r="K366" s="163"/>
      <c r="L366" s="163"/>
      <c r="M366" s="164">
        <v>11</v>
      </c>
      <c r="N366" s="164"/>
      <c r="O366" s="164"/>
      <c r="P366" s="159" t="s">
        <v>494</v>
      </c>
      <c r="Q366" s="159" t="s">
        <v>474</v>
      </c>
      <c r="R366" s="159" t="s">
        <v>1166</v>
      </c>
      <c r="S366" s="165">
        <v>1.8744956199561898E-2</v>
      </c>
      <c r="T366" s="166" t="s">
        <v>372</v>
      </c>
      <c r="U366" s="166"/>
      <c r="V366" s="166"/>
      <c r="W366" s="167">
        <f>IF(BetTable[Sport]="","",BetTable[Stake]+BetTable[S2]+BetTable[S3])</f>
        <v>11</v>
      </c>
      <c r="X366" s="164">
        <f>IF(BetTable[Odds]="","",(BetTable[WBA1-Commission])-BetTable[TS])</f>
        <v>22.11</v>
      </c>
      <c r="Y366" s="168">
        <f>IF(BetTable[Outcome]="","",BetTable[WBA1]+BetTable[WBA2]+BetTable[WBA3]-BetTable[TS])</f>
        <v>22.11</v>
      </c>
      <c r="Z366" s="164">
        <f>(((BetTable[Odds]-1)*BetTable[Stake])*(1-(BetTable[Comm %]))+BetTable[Stake])</f>
        <v>33.11</v>
      </c>
      <c r="AA366" s="164">
        <f>(((BetTable[O2]-1)*BetTable[S2])*(1-(BetTable[C% 2]))+BetTable[S2])</f>
        <v>0</v>
      </c>
      <c r="AB366" s="164">
        <f>(((BetTable[O3]-1)*BetTable[S3])*(1-(BetTable[C% 3]))+BetTable[S3])</f>
        <v>0</v>
      </c>
      <c r="AC366" s="165">
        <f>IFERROR(IF(BetTable[Sport]="","",BetTable[R1]/BetTable[TS]),"")</f>
        <v>2.0099999999999998</v>
      </c>
      <c r="AD366" s="165" t="str">
        <f>IF(BetTable[O2]="","",#REF!/BetTable[TS])</f>
        <v/>
      </c>
      <c r="AE366" s="165" t="str">
        <f>IFERROR(IF(BetTable[Sport]="","",#REF!/BetTable[TS]),"")</f>
        <v/>
      </c>
      <c r="AF366" s="164">
        <f>IF(BetTable[Outcome]="Win",BetTable[WBA1-Commission],IF(BetTable[Outcome]="Win Half Stake",(BetTable[Stake]/2)+BetTable[WBA1-Commission]/2,IF(BetTable[Outcome]="Lose Half Stake",BetTable[Stake]/2,IF(BetTable[Outcome]="Lose",0,IF(BetTable[Outcome]="Void",BetTable[Stake],)))))</f>
        <v>33.11</v>
      </c>
      <c r="AG366" s="164">
        <f>IF(BetTable[Outcome2]="Win",BetTable[WBA2-Commission],IF(BetTable[Outcome2]="Win Half Stake",(BetTable[S2]/2)+BetTable[WBA2-Commission]/2,IF(BetTable[Outcome2]="Lose Half Stake",BetTable[S2]/2,IF(BetTable[Outcome2]="Lose",0,IF(BetTable[Outcome2]="Void",BetTable[S2],)))))</f>
        <v>0</v>
      </c>
      <c r="AH366" s="164">
        <f>IF(BetTable[Outcome3]="Win",BetTable[WBA3-Commission],IF(BetTable[Outcome3]="Win Half Stake",(BetTable[S3]/2)+BetTable[WBA3-Commission]/2,IF(BetTable[Outcome3]="Lose Half Stake",BetTable[S3]/2,IF(BetTable[Outcome3]="Lose",0,IF(BetTable[Outcome3]="Void",BetTable[S3],)))))</f>
        <v>0</v>
      </c>
      <c r="AI366" s="168">
        <f>IF(BetTable[Outcome]="",AI365,BetTable[Result]+AI365)</f>
        <v>527.31925000000035</v>
      </c>
      <c r="AJ366" s="160"/>
    </row>
    <row r="367" spans="1:36" x14ac:dyDescent="0.2">
      <c r="A367" s="159" t="s">
        <v>1048</v>
      </c>
      <c r="B367" s="160" t="s">
        <v>200</v>
      </c>
      <c r="C367" s="161" t="s">
        <v>234</v>
      </c>
      <c r="D367" s="161"/>
      <c r="E367" s="161"/>
      <c r="F367" s="162"/>
      <c r="G367" s="162"/>
      <c r="H367" s="162"/>
      <c r="I367" s="160" t="s">
        <v>1167</v>
      </c>
      <c r="J367" s="163">
        <v>1.75</v>
      </c>
      <c r="K367" s="163"/>
      <c r="L367" s="163"/>
      <c r="M367" s="164">
        <v>16</v>
      </c>
      <c r="N367" s="164"/>
      <c r="O367" s="164"/>
      <c r="P367" s="159" t="s">
        <v>360</v>
      </c>
      <c r="Q367" s="159" t="s">
        <v>474</v>
      </c>
      <c r="R367" s="159" t="s">
        <v>1168</v>
      </c>
      <c r="S367" s="165">
        <v>1.0007930210765299E-2</v>
      </c>
      <c r="T367" s="166" t="s">
        <v>372</v>
      </c>
      <c r="U367" s="166"/>
      <c r="V367" s="166"/>
      <c r="W367" s="167">
        <f>IF(BetTable[Sport]="","",BetTable[Stake]+BetTable[S2]+BetTable[S3])</f>
        <v>16</v>
      </c>
      <c r="X367" s="164">
        <f>IF(BetTable[Odds]="","",(BetTable[WBA1-Commission])-BetTable[TS])</f>
        <v>12</v>
      </c>
      <c r="Y367" s="168">
        <f>IF(BetTable[Outcome]="","",BetTable[WBA1]+BetTable[WBA2]+BetTable[WBA3]-BetTable[TS])</f>
        <v>12</v>
      </c>
      <c r="Z367" s="164">
        <f>(((BetTable[Odds]-1)*BetTable[Stake])*(1-(BetTable[Comm %]))+BetTable[Stake])</f>
        <v>28</v>
      </c>
      <c r="AA367" s="164">
        <f>(((BetTable[O2]-1)*BetTable[S2])*(1-(BetTable[C% 2]))+BetTable[S2])</f>
        <v>0</v>
      </c>
      <c r="AB367" s="164">
        <f>(((BetTable[O3]-1)*BetTable[S3])*(1-(BetTable[C% 3]))+BetTable[S3])</f>
        <v>0</v>
      </c>
      <c r="AC367" s="165">
        <f>IFERROR(IF(BetTable[Sport]="","",BetTable[R1]/BetTable[TS]),"")</f>
        <v>0.75</v>
      </c>
      <c r="AD367" s="165" t="str">
        <f>IF(BetTable[O2]="","",#REF!/BetTable[TS])</f>
        <v/>
      </c>
      <c r="AE367" s="165" t="str">
        <f>IFERROR(IF(BetTable[Sport]="","",#REF!/BetTable[TS]),"")</f>
        <v/>
      </c>
      <c r="AF367" s="164">
        <f>IF(BetTable[Outcome]="Win",BetTable[WBA1-Commission],IF(BetTable[Outcome]="Win Half Stake",(BetTable[Stake]/2)+BetTable[WBA1-Commission]/2,IF(BetTable[Outcome]="Lose Half Stake",BetTable[Stake]/2,IF(BetTable[Outcome]="Lose",0,IF(BetTable[Outcome]="Void",BetTable[Stake],)))))</f>
        <v>28</v>
      </c>
      <c r="AG367" s="164">
        <f>IF(BetTable[Outcome2]="Win",BetTable[WBA2-Commission],IF(BetTable[Outcome2]="Win Half Stake",(BetTable[S2]/2)+BetTable[WBA2-Commission]/2,IF(BetTable[Outcome2]="Lose Half Stake",BetTable[S2]/2,IF(BetTable[Outcome2]="Lose",0,IF(BetTable[Outcome2]="Void",BetTable[S2],)))))</f>
        <v>0</v>
      </c>
      <c r="AH367" s="164">
        <f>IF(BetTable[Outcome3]="Win",BetTable[WBA3-Commission],IF(BetTable[Outcome3]="Win Half Stake",(BetTable[S3]/2)+BetTable[WBA3-Commission]/2,IF(BetTable[Outcome3]="Lose Half Stake",BetTable[S3]/2,IF(BetTable[Outcome3]="Lose",0,IF(BetTable[Outcome3]="Void",BetTable[S3],)))))</f>
        <v>0</v>
      </c>
      <c r="AI367" s="168">
        <f>IF(BetTable[Outcome]="",AI366,BetTable[Result]+AI366)</f>
        <v>539.31925000000035</v>
      </c>
      <c r="AJ367" s="160"/>
    </row>
    <row r="368" spans="1:36" x14ac:dyDescent="0.2">
      <c r="A368" s="159" t="s">
        <v>1048</v>
      </c>
      <c r="B368" s="160" t="s">
        <v>201</v>
      </c>
      <c r="C368" s="161" t="s">
        <v>216</v>
      </c>
      <c r="D368" s="161"/>
      <c r="E368" s="161"/>
      <c r="F368" s="162"/>
      <c r="G368" s="162"/>
      <c r="H368" s="162"/>
      <c r="I368" s="160" t="s">
        <v>1115</v>
      </c>
      <c r="J368" s="163">
        <v>1.7689999999999999</v>
      </c>
      <c r="K368" s="163"/>
      <c r="L368" s="163"/>
      <c r="M368" s="164">
        <v>29</v>
      </c>
      <c r="N368" s="164"/>
      <c r="O368" s="164"/>
      <c r="P368" s="159" t="s">
        <v>1169</v>
      </c>
      <c r="Q368" s="159" t="s">
        <v>1117</v>
      </c>
      <c r="R368" s="159" t="s">
        <v>1170</v>
      </c>
      <c r="S368" s="165">
        <v>1.83305190925202E-2</v>
      </c>
      <c r="T368" s="166" t="s">
        <v>372</v>
      </c>
      <c r="U368" s="166"/>
      <c r="V368" s="166"/>
      <c r="W368" s="167">
        <f>IF(BetTable[Sport]="","",BetTable[Stake]+BetTable[S2]+BetTable[S3])</f>
        <v>29</v>
      </c>
      <c r="X368" s="164">
        <f>IF(BetTable[Odds]="","",(BetTable[WBA1-Commission])-BetTable[TS])</f>
        <v>22.301000000000002</v>
      </c>
      <c r="Y368" s="168">
        <f>IF(BetTable[Outcome]="","",BetTable[WBA1]+BetTable[WBA2]+BetTable[WBA3]-BetTable[TS])</f>
        <v>22.301000000000002</v>
      </c>
      <c r="Z368" s="164">
        <f>(((BetTable[Odds]-1)*BetTable[Stake])*(1-(BetTable[Comm %]))+BetTable[Stake])</f>
        <v>51.301000000000002</v>
      </c>
      <c r="AA368" s="164">
        <f>(((BetTable[O2]-1)*BetTable[S2])*(1-(BetTable[C% 2]))+BetTable[S2])</f>
        <v>0</v>
      </c>
      <c r="AB368" s="164">
        <f>(((BetTable[O3]-1)*BetTable[S3])*(1-(BetTable[C% 3]))+BetTable[S3])</f>
        <v>0</v>
      </c>
      <c r="AC368" s="165">
        <f>IFERROR(IF(BetTable[Sport]="","",BetTable[R1]/BetTable[TS]),"")</f>
        <v>0.76900000000000002</v>
      </c>
      <c r="AD368" s="165" t="str">
        <f>IF(BetTable[O2]="","",#REF!/BetTable[TS])</f>
        <v/>
      </c>
      <c r="AE368" s="165" t="str">
        <f>IFERROR(IF(BetTable[Sport]="","",#REF!/BetTable[TS]),"")</f>
        <v/>
      </c>
      <c r="AF368" s="164">
        <f>IF(BetTable[Outcome]="Win",BetTable[WBA1-Commission],IF(BetTable[Outcome]="Win Half Stake",(BetTable[Stake]/2)+BetTable[WBA1-Commission]/2,IF(BetTable[Outcome]="Lose Half Stake",BetTable[Stake]/2,IF(BetTable[Outcome]="Lose",0,IF(BetTable[Outcome]="Void",BetTable[Stake],)))))</f>
        <v>51.301000000000002</v>
      </c>
      <c r="AG368" s="164">
        <f>IF(BetTable[Outcome2]="Win",BetTable[WBA2-Commission],IF(BetTable[Outcome2]="Win Half Stake",(BetTable[S2]/2)+BetTable[WBA2-Commission]/2,IF(BetTable[Outcome2]="Lose Half Stake",BetTable[S2]/2,IF(BetTable[Outcome2]="Lose",0,IF(BetTable[Outcome2]="Void",BetTable[S2],)))))</f>
        <v>0</v>
      </c>
      <c r="AH368" s="164">
        <f>IF(BetTable[Outcome3]="Win",BetTable[WBA3-Commission],IF(BetTable[Outcome3]="Win Half Stake",(BetTable[S3]/2)+BetTable[WBA3-Commission]/2,IF(BetTable[Outcome3]="Lose Half Stake",BetTable[S3]/2,IF(BetTable[Outcome3]="Lose",0,IF(BetTable[Outcome3]="Void",BetTable[S3],)))))</f>
        <v>0</v>
      </c>
      <c r="AI368" s="168">
        <f>IF(BetTable[Outcome]="",AI367,BetTable[Result]+AI367)</f>
        <v>561.6202500000004</v>
      </c>
      <c r="AJ368" s="160"/>
    </row>
    <row r="369" spans="1:36" x14ac:dyDescent="0.2">
      <c r="A369" s="159" t="s">
        <v>1048</v>
      </c>
      <c r="B369" s="160" t="s">
        <v>8</v>
      </c>
      <c r="C369" s="161" t="s">
        <v>216</v>
      </c>
      <c r="D369" s="161"/>
      <c r="E369" s="161"/>
      <c r="F369" s="162"/>
      <c r="G369" s="162"/>
      <c r="H369" s="162"/>
      <c r="I369" s="160" t="s">
        <v>1121</v>
      </c>
      <c r="J369" s="163">
        <v>2.4</v>
      </c>
      <c r="K369" s="163"/>
      <c r="L369" s="163"/>
      <c r="M369" s="164">
        <v>34</v>
      </c>
      <c r="N369" s="164"/>
      <c r="O369" s="164"/>
      <c r="P369" s="159" t="s">
        <v>428</v>
      </c>
      <c r="Q369" s="159" t="s">
        <v>1171</v>
      </c>
      <c r="R369" s="159" t="s">
        <v>1172</v>
      </c>
      <c r="S369" s="165">
        <v>3.9746626597933599E-2</v>
      </c>
      <c r="T369" s="166" t="s">
        <v>383</v>
      </c>
      <c r="U369" s="166"/>
      <c r="V369" s="166"/>
      <c r="W369" s="167">
        <f>IF(BetTable[Sport]="","",BetTable[Stake]+BetTable[S2]+BetTable[S3])</f>
        <v>34</v>
      </c>
      <c r="X369" s="164">
        <f>IF(BetTable[Odds]="","",(BetTable[WBA1-Commission])-BetTable[TS])</f>
        <v>47.599999999999994</v>
      </c>
      <c r="Y369" s="168">
        <f>IF(BetTable[Outcome]="","",BetTable[WBA1]+BetTable[WBA2]+BetTable[WBA3]-BetTable[TS])</f>
        <v>0</v>
      </c>
      <c r="Z369" s="164">
        <f>(((BetTable[Odds]-1)*BetTable[Stake])*(1-(BetTable[Comm %]))+BetTable[Stake])</f>
        <v>81.599999999999994</v>
      </c>
      <c r="AA369" s="164">
        <f>(((BetTable[O2]-1)*BetTable[S2])*(1-(BetTable[C% 2]))+BetTable[S2])</f>
        <v>0</v>
      </c>
      <c r="AB369" s="164">
        <f>(((BetTable[O3]-1)*BetTable[S3])*(1-(BetTable[C% 3]))+BetTable[S3])</f>
        <v>0</v>
      </c>
      <c r="AC369" s="165">
        <f>IFERROR(IF(BetTable[Sport]="","",BetTable[R1]/BetTable[TS]),"")</f>
        <v>1.4</v>
      </c>
      <c r="AD369" s="165" t="str">
        <f>IF(BetTable[O2]="","",#REF!/BetTable[TS])</f>
        <v/>
      </c>
      <c r="AE369" s="165" t="str">
        <f>IFERROR(IF(BetTable[Sport]="","",#REF!/BetTable[TS]),"")</f>
        <v/>
      </c>
      <c r="AF369" s="164">
        <f>IF(BetTable[Outcome]="Win",BetTable[WBA1-Commission],IF(BetTable[Outcome]="Win Half Stake",(BetTable[Stake]/2)+BetTable[WBA1-Commission]/2,IF(BetTable[Outcome]="Lose Half Stake",BetTable[Stake]/2,IF(BetTable[Outcome]="Lose",0,IF(BetTable[Outcome]="Void",BetTable[Stake],)))))</f>
        <v>34</v>
      </c>
      <c r="AG369" s="164">
        <f>IF(BetTable[Outcome2]="Win",BetTable[WBA2-Commission],IF(BetTable[Outcome2]="Win Half Stake",(BetTable[S2]/2)+BetTable[WBA2-Commission]/2,IF(BetTable[Outcome2]="Lose Half Stake",BetTable[S2]/2,IF(BetTable[Outcome2]="Lose",0,IF(BetTable[Outcome2]="Void",BetTable[S2],)))))</f>
        <v>0</v>
      </c>
      <c r="AH369" s="164">
        <f>IF(BetTable[Outcome3]="Win",BetTable[WBA3-Commission],IF(BetTable[Outcome3]="Win Half Stake",(BetTable[S3]/2)+BetTable[WBA3-Commission]/2,IF(BetTable[Outcome3]="Lose Half Stake",BetTable[S3]/2,IF(BetTable[Outcome3]="Lose",0,IF(BetTable[Outcome3]="Void",BetTable[S3],)))))</f>
        <v>0</v>
      </c>
      <c r="AI369" s="168">
        <f>IF(BetTable[Outcome]="",AI368,BetTable[Result]+AI368)</f>
        <v>561.6202500000004</v>
      </c>
      <c r="AJ369" s="160"/>
    </row>
    <row r="370" spans="1:36" x14ac:dyDescent="0.2">
      <c r="A370" s="159" t="s">
        <v>1048</v>
      </c>
      <c r="B370" s="160" t="s">
        <v>200</v>
      </c>
      <c r="C370" s="161" t="s">
        <v>91</v>
      </c>
      <c r="D370" s="161"/>
      <c r="E370" s="161"/>
      <c r="F370" s="162"/>
      <c r="G370" s="162"/>
      <c r="H370" s="162"/>
      <c r="I370" s="160" t="s">
        <v>1173</v>
      </c>
      <c r="J370" s="163">
        <v>1.9</v>
      </c>
      <c r="K370" s="163"/>
      <c r="L370" s="163"/>
      <c r="M370" s="164">
        <v>26</v>
      </c>
      <c r="N370" s="164"/>
      <c r="O370" s="164"/>
      <c r="P370" s="159" t="s">
        <v>620</v>
      </c>
      <c r="Q370" s="159" t="s">
        <v>1174</v>
      </c>
      <c r="R370" s="159" t="s">
        <v>1175</v>
      </c>
      <c r="S370" s="165">
        <v>1.9162557459701E-2</v>
      </c>
      <c r="T370" s="166" t="s">
        <v>372</v>
      </c>
      <c r="U370" s="166"/>
      <c r="V370" s="166"/>
      <c r="W370" s="167">
        <f>IF(BetTable[Sport]="","",BetTable[Stake]+BetTable[S2]+BetTable[S3])</f>
        <v>26</v>
      </c>
      <c r="X370" s="164">
        <f>IF(BetTable[Odds]="","",(BetTable[WBA1-Commission])-BetTable[TS])</f>
        <v>23.4</v>
      </c>
      <c r="Y370" s="168">
        <f>IF(BetTable[Outcome]="","",BetTable[WBA1]+BetTable[WBA2]+BetTable[WBA3]-BetTable[TS])</f>
        <v>23.4</v>
      </c>
      <c r="Z370" s="164">
        <f>(((BetTable[Odds]-1)*BetTable[Stake])*(1-(BetTable[Comm %]))+BetTable[Stake])</f>
        <v>49.4</v>
      </c>
      <c r="AA370" s="164">
        <f>(((BetTable[O2]-1)*BetTable[S2])*(1-(BetTable[C% 2]))+BetTable[S2])</f>
        <v>0</v>
      </c>
      <c r="AB370" s="164">
        <f>(((BetTable[O3]-1)*BetTable[S3])*(1-(BetTable[C% 3]))+BetTable[S3])</f>
        <v>0</v>
      </c>
      <c r="AC370" s="165">
        <f>IFERROR(IF(BetTable[Sport]="","",BetTable[R1]/BetTable[TS]),"")</f>
        <v>0.89999999999999991</v>
      </c>
      <c r="AD370" s="165" t="str">
        <f>IF(BetTable[O2]="","",#REF!/BetTable[TS])</f>
        <v/>
      </c>
      <c r="AE370" s="165" t="str">
        <f>IFERROR(IF(BetTable[Sport]="","",#REF!/BetTable[TS]),"")</f>
        <v/>
      </c>
      <c r="AF370" s="164">
        <f>IF(BetTable[Outcome]="Win",BetTable[WBA1-Commission],IF(BetTable[Outcome]="Win Half Stake",(BetTable[Stake]/2)+BetTable[WBA1-Commission]/2,IF(BetTable[Outcome]="Lose Half Stake",BetTable[Stake]/2,IF(BetTable[Outcome]="Lose",0,IF(BetTable[Outcome]="Void",BetTable[Stake],)))))</f>
        <v>49.4</v>
      </c>
      <c r="AG370" s="164">
        <f>IF(BetTable[Outcome2]="Win",BetTable[WBA2-Commission],IF(BetTable[Outcome2]="Win Half Stake",(BetTable[S2]/2)+BetTable[WBA2-Commission]/2,IF(BetTable[Outcome2]="Lose Half Stake",BetTable[S2]/2,IF(BetTable[Outcome2]="Lose",0,IF(BetTable[Outcome2]="Void",BetTable[S2],)))))</f>
        <v>0</v>
      </c>
      <c r="AH370" s="164">
        <f>IF(BetTable[Outcome3]="Win",BetTable[WBA3-Commission],IF(BetTable[Outcome3]="Win Half Stake",(BetTable[S3]/2)+BetTable[WBA3-Commission]/2,IF(BetTable[Outcome3]="Lose Half Stake",BetTable[S3]/2,IF(BetTable[Outcome3]="Lose",0,IF(BetTable[Outcome3]="Void",BetTable[S3],)))))</f>
        <v>0</v>
      </c>
      <c r="AI370" s="168">
        <f>IF(BetTable[Outcome]="",AI369,BetTable[Result]+AI369)</f>
        <v>585.02025000000037</v>
      </c>
      <c r="AJ370" s="160"/>
    </row>
    <row r="371" spans="1:36" x14ac:dyDescent="0.2">
      <c r="A371" s="159" t="s">
        <v>1048</v>
      </c>
      <c r="B371" s="160" t="s">
        <v>8</v>
      </c>
      <c r="C371" s="161" t="s">
        <v>91</v>
      </c>
      <c r="D371" s="161"/>
      <c r="E371" s="161"/>
      <c r="F371" s="162"/>
      <c r="G371" s="162"/>
      <c r="H371" s="162"/>
      <c r="I371" s="160" t="s">
        <v>1143</v>
      </c>
      <c r="J371" s="163">
        <v>1.9</v>
      </c>
      <c r="K371" s="163"/>
      <c r="L371" s="163"/>
      <c r="M371" s="164">
        <v>42</v>
      </c>
      <c r="N371" s="164"/>
      <c r="O371" s="164"/>
      <c r="P371" s="159" t="s">
        <v>428</v>
      </c>
      <c r="Q371" s="159" t="s">
        <v>540</v>
      </c>
      <c r="R371" s="159" t="s">
        <v>1176</v>
      </c>
      <c r="S371" s="165">
        <v>3.1174872561687599E-2</v>
      </c>
      <c r="T371" s="166" t="s">
        <v>372</v>
      </c>
      <c r="U371" s="166"/>
      <c r="V371" s="166"/>
      <c r="W371" s="167">
        <f>IF(BetTable[Sport]="","",BetTable[Stake]+BetTable[S2]+BetTable[S3])</f>
        <v>42</v>
      </c>
      <c r="X371" s="164">
        <f>IF(BetTable[Odds]="","",(BetTable[WBA1-Commission])-BetTable[TS])</f>
        <v>37.799999999999997</v>
      </c>
      <c r="Y371" s="168">
        <f>IF(BetTable[Outcome]="","",BetTable[WBA1]+BetTable[WBA2]+BetTable[WBA3]-BetTable[TS])</f>
        <v>37.799999999999997</v>
      </c>
      <c r="Z371" s="164">
        <f>(((BetTable[Odds]-1)*BetTable[Stake])*(1-(BetTable[Comm %]))+BetTable[Stake])</f>
        <v>79.8</v>
      </c>
      <c r="AA371" s="164">
        <f>(((BetTable[O2]-1)*BetTable[S2])*(1-(BetTable[C% 2]))+BetTable[S2])</f>
        <v>0</v>
      </c>
      <c r="AB371" s="164">
        <f>(((BetTable[O3]-1)*BetTable[S3])*(1-(BetTable[C% 3]))+BetTable[S3])</f>
        <v>0</v>
      </c>
      <c r="AC371" s="165">
        <f>IFERROR(IF(BetTable[Sport]="","",BetTable[R1]/BetTable[TS]),"")</f>
        <v>0.89999999999999991</v>
      </c>
      <c r="AD371" s="165" t="str">
        <f>IF(BetTable[O2]="","",#REF!/BetTable[TS])</f>
        <v/>
      </c>
      <c r="AE371" s="165" t="str">
        <f>IFERROR(IF(BetTable[Sport]="","",#REF!/BetTable[TS]),"")</f>
        <v/>
      </c>
      <c r="AF371" s="164">
        <f>IF(BetTable[Outcome]="Win",BetTable[WBA1-Commission],IF(BetTable[Outcome]="Win Half Stake",(BetTable[Stake]/2)+BetTable[WBA1-Commission]/2,IF(BetTable[Outcome]="Lose Half Stake",BetTable[Stake]/2,IF(BetTable[Outcome]="Lose",0,IF(BetTable[Outcome]="Void",BetTable[Stake],)))))</f>
        <v>79.8</v>
      </c>
      <c r="AG371" s="164">
        <f>IF(BetTable[Outcome2]="Win",BetTable[WBA2-Commission],IF(BetTable[Outcome2]="Win Half Stake",(BetTable[S2]/2)+BetTable[WBA2-Commission]/2,IF(BetTable[Outcome2]="Lose Half Stake",BetTable[S2]/2,IF(BetTable[Outcome2]="Lose",0,IF(BetTable[Outcome2]="Void",BetTable[S2],)))))</f>
        <v>0</v>
      </c>
      <c r="AH371" s="164">
        <f>IF(BetTable[Outcome3]="Win",BetTable[WBA3-Commission],IF(BetTable[Outcome3]="Win Half Stake",(BetTable[S3]/2)+BetTable[WBA3-Commission]/2,IF(BetTable[Outcome3]="Lose Half Stake",BetTable[S3]/2,IF(BetTable[Outcome3]="Lose",0,IF(BetTable[Outcome3]="Void",BetTable[S3],)))))</f>
        <v>0</v>
      </c>
      <c r="AI371" s="168">
        <f>IF(BetTable[Outcome]="",AI370,BetTable[Result]+AI370)</f>
        <v>622.82025000000033</v>
      </c>
      <c r="AJ371" s="160"/>
    </row>
    <row r="372" spans="1:36" x14ac:dyDescent="0.2">
      <c r="A372" s="159" t="s">
        <v>1048</v>
      </c>
      <c r="B372" s="160" t="s">
        <v>8</v>
      </c>
      <c r="C372" s="161" t="s">
        <v>91</v>
      </c>
      <c r="D372" s="161"/>
      <c r="E372" s="161"/>
      <c r="F372" s="162"/>
      <c r="G372" s="162"/>
      <c r="H372" s="162"/>
      <c r="I372" s="160" t="s">
        <v>1177</v>
      </c>
      <c r="J372" s="163">
        <v>2.4</v>
      </c>
      <c r="K372" s="163"/>
      <c r="L372" s="163"/>
      <c r="M372" s="164">
        <v>34</v>
      </c>
      <c r="N372" s="164"/>
      <c r="O372" s="164"/>
      <c r="P372" s="159" t="s">
        <v>435</v>
      </c>
      <c r="Q372" s="159" t="s">
        <v>1132</v>
      </c>
      <c r="R372" s="159" t="s">
        <v>1178</v>
      </c>
      <c r="S372" s="165">
        <v>3.9746626597933599E-2</v>
      </c>
      <c r="T372" s="166" t="s">
        <v>372</v>
      </c>
      <c r="U372" s="166"/>
      <c r="V372" s="166"/>
      <c r="W372" s="167">
        <f>IF(BetTable[Sport]="","",BetTable[Stake]+BetTable[S2]+BetTable[S3])</f>
        <v>34</v>
      </c>
      <c r="X372" s="164">
        <f>IF(BetTable[Odds]="","",(BetTable[WBA1-Commission])-BetTable[TS])</f>
        <v>47.599999999999994</v>
      </c>
      <c r="Y372" s="168">
        <f>IF(BetTable[Outcome]="","",BetTable[WBA1]+BetTable[WBA2]+BetTable[WBA3]-BetTable[TS])</f>
        <v>47.599999999999994</v>
      </c>
      <c r="Z372" s="164">
        <f>(((BetTable[Odds]-1)*BetTable[Stake])*(1-(BetTable[Comm %]))+BetTable[Stake])</f>
        <v>81.599999999999994</v>
      </c>
      <c r="AA372" s="164">
        <f>(((BetTable[O2]-1)*BetTable[S2])*(1-(BetTable[C% 2]))+BetTable[S2])</f>
        <v>0</v>
      </c>
      <c r="AB372" s="164">
        <f>(((BetTable[O3]-1)*BetTable[S3])*(1-(BetTable[C% 3]))+BetTable[S3])</f>
        <v>0</v>
      </c>
      <c r="AC372" s="165">
        <f>IFERROR(IF(BetTable[Sport]="","",BetTable[R1]/BetTable[TS]),"")</f>
        <v>1.4</v>
      </c>
      <c r="AD372" s="165" t="str">
        <f>IF(BetTable[O2]="","",#REF!/BetTable[TS])</f>
        <v/>
      </c>
      <c r="AE372" s="165" t="str">
        <f>IFERROR(IF(BetTable[Sport]="","",#REF!/BetTable[TS]),"")</f>
        <v/>
      </c>
      <c r="AF372" s="164">
        <f>IF(BetTable[Outcome]="Win",BetTable[WBA1-Commission],IF(BetTable[Outcome]="Win Half Stake",(BetTable[Stake]/2)+BetTable[WBA1-Commission]/2,IF(BetTable[Outcome]="Lose Half Stake",BetTable[Stake]/2,IF(BetTable[Outcome]="Lose",0,IF(BetTable[Outcome]="Void",BetTable[Stake],)))))</f>
        <v>81.599999999999994</v>
      </c>
      <c r="AG372" s="164">
        <f>IF(BetTable[Outcome2]="Win",BetTable[WBA2-Commission],IF(BetTable[Outcome2]="Win Half Stake",(BetTable[S2]/2)+BetTable[WBA2-Commission]/2,IF(BetTable[Outcome2]="Lose Half Stake",BetTable[S2]/2,IF(BetTable[Outcome2]="Lose",0,IF(BetTable[Outcome2]="Void",BetTable[S2],)))))</f>
        <v>0</v>
      </c>
      <c r="AH372" s="164">
        <f>IF(BetTable[Outcome3]="Win",BetTable[WBA3-Commission],IF(BetTable[Outcome3]="Win Half Stake",(BetTable[S3]/2)+BetTable[WBA3-Commission]/2,IF(BetTable[Outcome3]="Lose Half Stake",BetTable[S3]/2,IF(BetTable[Outcome3]="Lose",0,IF(BetTable[Outcome3]="Void",BetTable[S3],)))))</f>
        <v>0</v>
      </c>
      <c r="AI372" s="168">
        <f>IF(BetTable[Outcome]="",AI371,BetTable[Result]+AI371)</f>
        <v>670.42025000000035</v>
      </c>
      <c r="AJ372" s="160"/>
    </row>
    <row r="373" spans="1:36" x14ac:dyDescent="0.2">
      <c r="A373" s="159" t="s">
        <v>1048</v>
      </c>
      <c r="B373" s="160" t="s">
        <v>8</v>
      </c>
      <c r="C373" s="161" t="s">
        <v>216</v>
      </c>
      <c r="D373" s="161"/>
      <c r="E373" s="161"/>
      <c r="F373" s="162"/>
      <c r="G373" s="162"/>
      <c r="H373" s="162"/>
      <c r="I373" s="160" t="s">
        <v>1179</v>
      </c>
      <c r="J373" s="163">
        <v>2.4500000000000002</v>
      </c>
      <c r="K373" s="163"/>
      <c r="L373" s="163"/>
      <c r="M373" s="164">
        <v>13</v>
      </c>
      <c r="N373" s="164"/>
      <c r="O373" s="164"/>
      <c r="P373" s="159" t="s">
        <v>435</v>
      </c>
      <c r="Q373" s="159" t="s">
        <v>1180</v>
      </c>
      <c r="R373" s="159" t="s">
        <v>1181</v>
      </c>
      <c r="S373" s="165">
        <v>1.57983095982401E-2</v>
      </c>
      <c r="T373" s="166" t="s">
        <v>382</v>
      </c>
      <c r="U373" s="166"/>
      <c r="V373" s="166"/>
      <c r="W373" s="167">
        <f>IF(BetTable[Sport]="","",BetTable[Stake]+BetTable[S2]+BetTable[S3])</f>
        <v>13</v>
      </c>
      <c r="X373" s="164">
        <f>IF(BetTable[Odds]="","",(BetTable[WBA1-Commission])-BetTable[TS])</f>
        <v>18.850000000000001</v>
      </c>
      <c r="Y373" s="168">
        <f>IF(BetTable[Outcome]="","",BetTable[WBA1]+BetTable[WBA2]+BetTable[WBA3]-BetTable[TS])</f>
        <v>-13</v>
      </c>
      <c r="Z373" s="164">
        <f>(((BetTable[Odds]-1)*BetTable[Stake])*(1-(BetTable[Comm %]))+BetTable[Stake])</f>
        <v>31.85</v>
      </c>
      <c r="AA373" s="164">
        <f>(((BetTable[O2]-1)*BetTable[S2])*(1-(BetTable[C% 2]))+BetTable[S2])</f>
        <v>0</v>
      </c>
      <c r="AB373" s="164">
        <f>(((BetTable[O3]-1)*BetTable[S3])*(1-(BetTable[C% 3]))+BetTable[S3])</f>
        <v>0</v>
      </c>
      <c r="AC373" s="165">
        <f>IFERROR(IF(BetTable[Sport]="","",BetTable[R1]/BetTable[TS]),"")</f>
        <v>1.4500000000000002</v>
      </c>
      <c r="AD373" s="165" t="str">
        <f>IF(BetTable[O2]="","",#REF!/BetTable[TS])</f>
        <v/>
      </c>
      <c r="AE373" s="165" t="str">
        <f>IFERROR(IF(BetTable[Sport]="","",#REF!/BetTable[TS]),"")</f>
        <v/>
      </c>
      <c r="AF373" s="164">
        <f>IF(BetTable[Outcome]="Win",BetTable[WBA1-Commission],IF(BetTable[Outcome]="Win Half Stake",(BetTable[Stake]/2)+BetTable[WBA1-Commission]/2,IF(BetTable[Outcome]="Lose Half Stake",BetTable[Stake]/2,IF(BetTable[Outcome]="Lose",0,IF(BetTable[Outcome]="Void",BetTable[Stake],)))))</f>
        <v>0</v>
      </c>
      <c r="AG373" s="164">
        <f>IF(BetTable[Outcome2]="Win",BetTable[WBA2-Commission],IF(BetTable[Outcome2]="Win Half Stake",(BetTable[S2]/2)+BetTable[WBA2-Commission]/2,IF(BetTable[Outcome2]="Lose Half Stake",BetTable[S2]/2,IF(BetTable[Outcome2]="Lose",0,IF(BetTable[Outcome2]="Void",BetTable[S2],)))))</f>
        <v>0</v>
      </c>
      <c r="AH373" s="164">
        <f>IF(BetTable[Outcome3]="Win",BetTable[WBA3-Commission],IF(BetTable[Outcome3]="Win Half Stake",(BetTable[S3]/2)+BetTable[WBA3-Commission]/2,IF(BetTable[Outcome3]="Lose Half Stake",BetTable[S3]/2,IF(BetTable[Outcome3]="Lose",0,IF(BetTable[Outcome3]="Void",BetTable[S3],)))))</f>
        <v>0</v>
      </c>
      <c r="AI373" s="168">
        <f>IF(BetTable[Outcome]="",AI372,BetTable[Result]+AI372)</f>
        <v>657.42025000000035</v>
      </c>
      <c r="AJ373" s="160"/>
    </row>
    <row r="374" spans="1:36" x14ac:dyDescent="0.2">
      <c r="A374" s="159" t="s">
        <v>1048</v>
      </c>
      <c r="B374" s="160" t="s">
        <v>7</v>
      </c>
      <c r="C374" s="161" t="s">
        <v>216</v>
      </c>
      <c r="D374" s="161"/>
      <c r="E374" s="161"/>
      <c r="F374" s="162"/>
      <c r="G374" s="162"/>
      <c r="H374" s="162"/>
      <c r="I374" s="160" t="s">
        <v>1182</v>
      </c>
      <c r="J374" s="163">
        <v>1.909</v>
      </c>
      <c r="K374" s="163"/>
      <c r="L374" s="163"/>
      <c r="M374" s="164">
        <v>31</v>
      </c>
      <c r="N374" s="164"/>
      <c r="O374" s="164"/>
      <c r="P374" s="159" t="s">
        <v>551</v>
      </c>
      <c r="Q374" s="159" t="s">
        <v>581</v>
      </c>
      <c r="R374" s="159" t="s">
        <v>1183</v>
      </c>
      <c r="S374" s="165">
        <v>2.36666666666666E-2</v>
      </c>
      <c r="T374" s="166" t="s">
        <v>372</v>
      </c>
      <c r="U374" s="166"/>
      <c r="V374" s="166"/>
      <c r="W374" s="167">
        <f>IF(BetTable[Sport]="","",BetTable[Stake]+BetTable[S2]+BetTable[S3])</f>
        <v>31</v>
      </c>
      <c r="X374" s="164">
        <f>IF(BetTable[Odds]="","",(BetTable[WBA1-Commission])-BetTable[TS])</f>
        <v>28.179000000000002</v>
      </c>
      <c r="Y374" s="168">
        <f>IF(BetTable[Outcome]="","",BetTable[WBA1]+BetTable[WBA2]+BetTable[WBA3]-BetTable[TS])</f>
        <v>28.179000000000002</v>
      </c>
      <c r="Z374" s="164">
        <f>(((BetTable[Odds]-1)*BetTable[Stake])*(1-(BetTable[Comm %]))+BetTable[Stake])</f>
        <v>59.179000000000002</v>
      </c>
      <c r="AA374" s="164">
        <f>(((BetTable[O2]-1)*BetTable[S2])*(1-(BetTable[C% 2]))+BetTable[S2])</f>
        <v>0</v>
      </c>
      <c r="AB374" s="164">
        <f>(((BetTable[O3]-1)*BetTable[S3])*(1-(BetTable[C% 3]))+BetTable[S3])</f>
        <v>0</v>
      </c>
      <c r="AC374" s="165">
        <f>IFERROR(IF(BetTable[Sport]="","",BetTable[R1]/BetTable[TS]),"")</f>
        <v>0.90900000000000003</v>
      </c>
      <c r="AD374" s="165" t="str">
        <f>IF(BetTable[O2]="","",#REF!/BetTable[TS])</f>
        <v/>
      </c>
      <c r="AE374" s="165" t="str">
        <f>IFERROR(IF(BetTable[Sport]="","",#REF!/BetTable[TS]),"")</f>
        <v/>
      </c>
      <c r="AF374" s="164">
        <f>IF(BetTable[Outcome]="Win",BetTable[WBA1-Commission],IF(BetTable[Outcome]="Win Half Stake",(BetTable[Stake]/2)+BetTable[WBA1-Commission]/2,IF(BetTable[Outcome]="Lose Half Stake",BetTable[Stake]/2,IF(BetTable[Outcome]="Lose",0,IF(BetTable[Outcome]="Void",BetTable[Stake],)))))</f>
        <v>59.179000000000002</v>
      </c>
      <c r="AG374" s="164">
        <f>IF(BetTable[Outcome2]="Win",BetTable[WBA2-Commission],IF(BetTable[Outcome2]="Win Half Stake",(BetTable[S2]/2)+BetTable[WBA2-Commission]/2,IF(BetTable[Outcome2]="Lose Half Stake",BetTable[S2]/2,IF(BetTable[Outcome2]="Lose",0,IF(BetTable[Outcome2]="Void",BetTable[S2],)))))</f>
        <v>0</v>
      </c>
      <c r="AH374" s="164">
        <f>IF(BetTable[Outcome3]="Win",BetTable[WBA3-Commission],IF(BetTable[Outcome3]="Win Half Stake",(BetTable[S3]/2)+BetTable[WBA3-Commission]/2,IF(BetTable[Outcome3]="Lose Half Stake",BetTable[S3]/2,IF(BetTable[Outcome3]="Lose",0,IF(BetTable[Outcome3]="Void",BetTable[S3],)))))</f>
        <v>0</v>
      </c>
      <c r="AI374" s="168">
        <f>IF(BetTable[Outcome]="",AI373,BetTable[Result]+AI373)</f>
        <v>685.59925000000032</v>
      </c>
      <c r="AJ374" s="160"/>
    </row>
    <row r="375" spans="1:36" x14ac:dyDescent="0.2">
      <c r="A375" s="159" t="s">
        <v>1048</v>
      </c>
      <c r="B375" s="160" t="s">
        <v>7</v>
      </c>
      <c r="C375" s="161" t="s">
        <v>216</v>
      </c>
      <c r="D375" s="161"/>
      <c r="E375" s="161"/>
      <c r="F375" s="162"/>
      <c r="G375" s="162"/>
      <c r="H375" s="162"/>
      <c r="I375" s="160" t="s">
        <v>1184</v>
      </c>
      <c r="J375" s="163">
        <v>1.909</v>
      </c>
      <c r="K375" s="163"/>
      <c r="L375" s="163"/>
      <c r="M375" s="164">
        <v>50</v>
      </c>
      <c r="N375" s="164"/>
      <c r="O375" s="164"/>
      <c r="P375" s="159" t="s">
        <v>1185</v>
      </c>
      <c r="Q375" s="159" t="s">
        <v>506</v>
      </c>
      <c r="R375" s="159" t="s">
        <v>1186</v>
      </c>
      <c r="S375" s="165">
        <v>3.7665113915371598E-2</v>
      </c>
      <c r="T375" s="166" t="s">
        <v>382</v>
      </c>
      <c r="U375" s="166"/>
      <c r="V375" s="166"/>
      <c r="W375" s="167">
        <f>IF(BetTable[Sport]="","",BetTable[Stake]+BetTable[S2]+BetTable[S3])</f>
        <v>50</v>
      </c>
      <c r="X375" s="164">
        <f>IF(BetTable[Odds]="","",(BetTable[WBA1-Commission])-BetTable[TS])</f>
        <v>45.45</v>
      </c>
      <c r="Y375" s="168">
        <f>IF(BetTable[Outcome]="","",BetTable[WBA1]+BetTable[WBA2]+BetTable[WBA3]-BetTable[TS])</f>
        <v>-50</v>
      </c>
      <c r="Z375" s="164">
        <f>(((BetTable[Odds]-1)*BetTable[Stake])*(1-(BetTable[Comm %]))+BetTable[Stake])</f>
        <v>95.45</v>
      </c>
      <c r="AA375" s="164">
        <f>(((BetTable[O2]-1)*BetTable[S2])*(1-(BetTable[C% 2]))+BetTable[S2])</f>
        <v>0</v>
      </c>
      <c r="AB375" s="164">
        <f>(((BetTable[O3]-1)*BetTable[S3])*(1-(BetTable[C% 3]))+BetTable[S3])</f>
        <v>0</v>
      </c>
      <c r="AC375" s="165">
        <f>IFERROR(IF(BetTable[Sport]="","",BetTable[R1]/BetTable[TS]),"")</f>
        <v>0.90900000000000003</v>
      </c>
      <c r="AD375" s="165" t="str">
        <f>IF(BetTable[O2]="","",#REF!/BetTable[TS])</f>
        <v/>
      </c>
      <c r="AE375" s="165" t="str">
        <f>IFERROR(IF(BetTable[Sport]="","",#REF!/BetTable[TS]),"")</f>
        <v/>
      </c>
      <c r="AF375" s="164">
        <f>IF(BetTable[Outcome]="Win",BetTable[WBA1-Commission],IF(BetTable[Outcome]="Win Half Stake",(BetTable[Stake]/2)+BetTable[WBA1-Commission]/2,IF(BetTable[Outcome]="Lose Half Stake",BetTable[Stake]/2,IF(BetTable[Outcome]="Lose",0,IF(BetTable[Outcome]="Void",BetTable[Stake],)))))</f>
        <v>0</v>
      </c>
      <c r="AG375" s="164">
        <f>IF(BetTable[Outcome2]="Win",BetTable[WBA2-Commission],IF(BetTable[Outcome2]="Win Half Stake",(BetTable[S2]/2)+BetTable[WBA2-Commission]/2,IF(BetTable[Outcome2]="Lose Half Stake",BetTable[S2]/2,IF(BetTable[Outcome2]="Lose",0,IF(BetTable[Outcome2]="Void",BetTable[S2],)))))</f>
        <v>0</v>
      </c>
      <c r="AH375" s="164">
        <f>IF(BetTable[Outcome3]="Win",BetTable[WBA3-Commission],IF(BetTable[Outcome3]="Win Half Stake",(BetTable[S3]/2)+BetTable[WBA3-Commission]/2,IF(BetTable[Outcome3]="Lose Half Stake",BetTable[S3]/2,IF(BetTable[Outcome3]="Lose",0,IF(BetTable[Outcome3]="Void",BetTable[S3],)))))</f>
        <v>0</v>
      </c>
      <c r="AI375" s="168">
        <f>IF(BetTable[Outcome]="",AI374,BetTable[Result]+AI374)</f>
        <v>635.59925000000032</v>
      </c>
      <c r="AJ375" s="160"/>
    </row>
    <row r="376" spans="1:36" x14ac:dyDescent="0.2">
      <c r="A376" s="159" t="s">
        <v>1048</v>
      </c>
      <c r="B376" s="160" t="s">
        <v>7</v>
      </c>
      <c r="C376" s="161" t="s">
        <v>216</v>
      </c>
      <c r="D376" s="161"/>
      <c r="E376" s="161"/>
      <c r="F376" s="162"/>
      <c r="G376" s="162"/>
      <c r="H376" s="162"/>
      <c r="I376" s="160" t="s">
        <v>1187</v>
      </c>
      <c r="J376" s="163">
        <v>1.9259999999999999</v>
      </c>
      <c r="K376" s="163"/>
      <c r="L376" s="163"/>
      <c r="M376" s="164">
        <v>19</v>
      </c>
      <c r="N376" s="164"/>
      <c r="O376" s="164"/>
      <c r="P376" s="159" t="s">
        <v>1188</v>
      </c>
      <c r="Q376" s="159" t="s">
        <v>1125</v>
      </c>
      <c r="R376" s="159" t="s">
        <v>1189</v>
      </c>
      <c r="S376" s="165">
        <v>1.4745709273894E-2</v>
      </c>
      <c r="T376" s="166" t="s">
        <v>382</v>
      </c>
      <c r="U376" s="166"/>
      <c r="V376" s="166"/>
      <c r="W376" s="167">
        <f>IF(BetTable[Sport]="","",BetTable[Stake]+BetTable[S2]+BetTable[S3])</f>
        <v>19</v>
      </c>
      <c r="X376" s="164">
        <f>IF(BetTable[Odds]="","",(BetTable[WBA1-Commission])-BetTable[TS])</f>
        <v>17.593999999999994</v>
      </c>
      <c r="Y376" s="168">
        <f>IF(BetTable[Outcome]="","",BetTable[WBA1]+BetTable[WBA2]+BetTable[WBA3]-BetTable[TS])</f>
        <v>-19</v>
      </c>
      <c r="Z376" s="164">
        <f>(((BetTable[Odds]-1)*BetTable[Stake])*(1-(BetTable[Comm %]))+BetTable[Stake])</f>
        <v>36.593999999999994</v>
      </c>
      <c r="AA376" s="164">
        <f>(((BetTable[O2]-1)*BetTable[S2])*(1-(BetTable[C% 2]))+BetTable[S2])</f>
        <v>0</v>
      </c>
      <c r="AB376" s="164">
        <f>(((BetTable[O3]-1)*BetTable[S3])*(1-(BetTable[C% 3]))+BetTable[S3])</f>
        <v>0</v>
      </c>
      <c r="AC376" s="165">
        <f>IFERROR(IF(BetTable[Sport]="","",BetTable[R1]/BetTable[TS]),"")</f>
        <v>0.92599999999999971</v>
      </c>
      <c r="AD376" s="165" t="str">
        <f>IF(BetTable[O2]="","",#REF!/BetTable[TS])</f>
        <v/>
      </c>
      <c r="AE376" s="165" t="str">
        <f>IFERROR(IF(BetTable[Sport]="","",#REF!/BetTable[TS]),"")</f>
        <v/>
      </c>
      <c r="AF376" s="164">
        <f>IF(BetTable[Outcome]="Win",BetTable[WBA1-Commission],IF(BetTable[Outcome]="Win Half Stake",(BetTable[Stake]/2)+BetTable[WBA1-Commission]/2,IF(BetTable[Outcome]="Lose Half Stake",BetTable[Stake]/2,IF(BetTable[Outcome]="Lose",0,IF(BetTable[Outcome]="Void",BetTable[Stake],)))))</f>
        <v>0</v>
      </c>
      <c r="AG376" s="164">
        <f>IF(BetTable[Outcome2]="Win",BetTable[WBA2-Commission],IF(BetTable[Outcome2]="Win Half Stake",(BetTable[S2]/2)+BetTable[WBA2-Commission]/2,IF(BetTable[Outcome2]="Lose Half Stake",BetTable[S2]/2,IF(BetTable[Outcome2]="Lose",0,IF(BetTable[Outcome2]="Void",BetTable[S2],)))))</f>
        <v>0</v>
      </c>
      <c r="AH376" s="164">
        <f>IF(BetTable[Outcome3]="Win",BetTable[WBA3-Commission],IF(BetTable[Outcome3]="Win Half Stake",(BetTable[S3]/2)+BetTable[WBA3-Commission]/2,IF(BetTable[Outcome3]="Lose Half Stake",BetTable[S3]/2,IF(BetTable[Outcome3]="Lose",0,IF(BetTable[Outcome3]="Void",BetTable[S3],)))))</f>
        <v>0</v>
      </c>
      <c r="AI376" s="168">
        <f>IF(BetTable[Outcome]="",AI375,BetTable[Result]+AI375)</f>
        <v>616.59925000000032</v>
      </c>
      <c r="AJ376" s="160"/>
    </row>
    <row r="377" spans="1:36" x14ac:dyDescent="0.2">
      <c r="A377" s="159" t="s">
        <v>1048</v>
      </c>
      <c r="B377" s="160" t="s">
        <v>9</v>
      </c>
      <c r="C377" s="161" t="s">
        <v>216</v>
      </c>
      <c r="D377" s="161"/>
      <c r="E377" s="161"/>
      <c r="F377" s="162"/>
      <c r="G377" s="162"/>
      <c r="H377" s="162"/>
      <c r="I377" s="160" t="s">
        <v>1190</v>
      </c>
      <c r="J377" s="163">
        <v>2</v>
      </c>
      <c r="K377" s="163"/>
      <c r="L377" s="163"/>
      <c r="M377" s="164">
        <v>23</v>
      </c>
      <c r="N377" s="164"/>
      <c r="O377" s="164"/>
      <c r="P377" s="159" t="s">
        <v>772</v>
      </c>
      <c r="Q377" s="159" t="s">
        <v>839</v>
      </c>
      <c r="R377" s="159" t="s">
        <v>1191</v>
      </c>
      <c r="S377" s="165">
        <v>1.9044112680638801E-2</v>
      </c>
      <c r="T377" s="166" t="s">
        <v>382</v>
      </c>
      <c r="U377" s="166"/>
      <c r="V377" s="166"/>
      <c r="W377" s="167">
        <f>IF(BetTable[Sport]="","",BetTable[Stake]+BetTable[S2]+BetTable[S3])</f>
        <v>23</v>
      </c>
      <c r="X377" s="164">
        <f>IF(BetTable[Odds]="","",(BetTable[WBA1-Commission])-BetTable[TS])</f>
        <v>23</v>
      </c>
      <c r="Y377" s="168">
        <f>IF(BetTable[Outcome]="","",BetTable[WBA1]+BetTable[WBA2]+BetTable[WBA3]-BetTable[TS])</f>
        <v>-23</v>
      </c>
      <c r="Z377" s="164">
        <f>(((BetTable[Odds]-1)*BetTable[Stake])*(1-(BetTable[Comm %]))+BetTable[Stake])</f>
        <v>46</v>
      </c>
      <c r="AA377" s="164">
        <f>(((BetTable[O2]-1)*BetTable[S2])*(1-(BetTable[C% 2]))+BetTable[S2])</f>
        <v>0</v>
      </c>
      <c r="AB377" s="164">
        <f>(((BetTable[O3]-1)*BetTable[S3])*(1-(BetTable[C% 3]))+BetTable[S3])</f>
        <v>0</v>
      </c>
      <c r="AC377" s="165">
        <f>IFERROR(IF(BetTable[Sport]="","",BetTable[R1]/BetTable[TS]),"")</f>
        <v>1</v>
      </c>
      <c r="AD377" s="165" t="str">
        <f>IF(BetTable[O2]="","",#REF!/BetTable[TS])</f>
        <v/>
      </c>
      <c r="AE377" s="165" t="str">
        <f>IFERROR(IF(BetTable[Sport]="","",#REF!/BetTable[TS]),"")</f>
        <v/>
      </c>
      <c r="AF377" s="164">
        <f>IF(BetTable[Outcome]="Win",BetTable[WBA1-Commission],IF(BetTable[Outcome]="Win Half Stake",(BetTable[Stake]/2)+BetTable[WBA1-Commission]/2,IF(BetTable[Outcome]="Lose Half Stake",BetTable[Stake]/2,IF(BetTable[Outcome]="Lose",0,IF(BetTable[Outcome]="Void",BetTable[Stake],)))))</f>
        <v>0</v>
      </c>
      <c r="AG377" s="164">
        <f>IF(BetTable[Outcome2]="Win",BetTable[WBA2-Commission],IF(BetTable[Outcome2]="Win Half Stake",(BetTable[S2]/2)+BetTable[WBA2-Commission]/2,IF(BetTable[Outcome2]="Lose Half Stake",BetTable[S2]/2,IF(BetTable[Outcome2]="Lose",0,IF(BetTable[Outcome2]="Void",BetTable[S2],)))))</f>
        <v>0</v>
      </c>
      <c r="AH377" s="164">
        <f>IF(BetTable[Outcome3]="Win",BetTable[WBA3-Commission],IF(BetTable[Outcome3]="Win Half Stake",(BetTable[S3]/2)+BetTable[WBA3-Commission]/2,IF(BetTable[Outcome3]="Lose Half Stake",BetTable[S3]/2,IF(BetTable[Outcome3]="Lose",0,IF(BetTable[Outcome3]="Void",BetTable[S3],)))))</f>
        <v>0</v>
      </c>
      <c r="AI377" s="168">
        <f>IF(BetTable[Outcome]="",AI376,BetTable[Result]+AI376)</f>
        <v>593.59925000000032</v>
      </c>
      <c r="AJ377" s="160"/>
    </row>
    <row r="378" spans="1:36" x14ac:dyDescent="0.2">
      <c r="A378" s="159" t="s">
        <v>1048</v>
      </c>
      <c r="B378" s="160" t="s">
        <v>200</v>
      </c>
      <c r="C378" s="161" t="s">
        <v>234</v>
      </c>
      <c r="D378" s="161"/>
      <c r="E378" s="161"/>
      <c r="F378" s="162"/>
      <c r="G378" s="162"/>
      <c r="H378" s="162"/>
      <c r="I378" s="160" t="s">
        <v>1192</v>
      </c>
      <c r="J378" s="163">
        <v>2.02</v>
      </c>
      <c r="K378" s="163"/>
      <c r="L378" s="163"/>
      <c r="M378" s="164">
        <v>17</v>
      </c>
      <c r="N378" s="164"/>
      <c r="O378" s="164"/>
      <c r="P378" s="159" t="s">
        <v>368</v>
      </c>
      <c r="Q378" s="159" t="s">
        <v>1132</v>
      </c>
      <c r="R378" s="159" t="s">
        <v>1193</v>
      </c>
      <c r="S378" s="165">
        <v>1.44931227296855E-2</v>
      </c>
      <c r="T378" s="166" t="s">
        <v>382</v>
      </c>
      <c r="U378" s="166"/>
      <c r="V378" s="166"/>
      <c r="W378" s="167">
        <f>IF(BetTable[Sport]="","",BetTable[Stake]+BetTable[S2]+BetTable[S3])</f>
        <v>17</v>
      </c>
      <c r="X378" s="164">
        <f>IF(BetTable[Odds]="","",(BetTable[WBA1-Commission])-BetTable[TS])</f>
        <v>17.340000000000003</v>
      </c>
      <c r="Y378" s="168">
        <f>IF(BetTable[Outcome]="","",BetTable[WBA1]+BetTable[WBA2]+BetTable[WBA3]-BetTable[TS])</f>
        <v>-17</v>
      </c>
      <c r="Z378" s="164">
        <f>(((BetTable[Odds]-1)*BetTable[Stake])*(1-(BetTable[Comm %]))+BetTable[Stake])</f>
        <v>34.340000000000003</v>
      </c>
      <c r="AA378" s="164">
        <f>(((BetTable[O2]-1)*BetTable[S2])*(1-(BetTable[C% 2]))+BetTable[S2])</f>
        <v>0</v>
      </c>
      <c r="AB378" s="164">
        <f>(((BetTable[O3]-1)*BetTable[S3])*(1-(BetTable[C% 3]))+BetTable[S3])</f>
        <v>0</v>
      </c>
      <c r="AC378" s="165">
        <f>IFERROR(IF(BetTable[Sport]="","",BetTable[R1]/BetTable[TS]),"")</f>
        <v>1.0200000000000002</v>
      </c>
      <c r="AD378" s="165" t="str">
        <f>IF(BetTable[O2]="","",#REF!/BetTable[TS])</f>
        <v/>
      </c>
      <c r="AE378" s="165" t="str">
        <f>IFERROR(IF(BetTable[Sport]="","",#REF!/BetTable[TS]),"")</f>
        <v/>
      </c>
      <c r="AF378" s="164">
        <f>IF(BetTable[Outcome]="Win",BetTable[WBA1-Commission],IF(BetTable[Outcome]="Win Half Stake",(BetTable[Stake]/2)+BetTable[WBA1-Commission]/2,IF(BetTable[Outcome]="Lose Half Stake",BetTable[Stake]/2,IF(BetTable[Outcome]="Lose",0,IF(BetTable[Outcome]="Void",BetTable[Stake],)))))</f>
        <v>0</v>
      </c>
      <c r="AG378" s="164">
        <f>IF(BetTable[Outcome2]="Win",BetTable[WBA2-Commission],IF(BetTable[Outcome2]="Win Half Stake",(BetTable[S2]/2)+BetTable[WBA2-Commission]/2,IF(BetTable[Outcome2]="Lose Half Stake",BetTable[S2]/2,IF(BetTable[Outcome2]="Lose",0,IF(BetTable[Outcome2]="Void",BetTable[S2],)))))</f>
        <v>0</v>
      </c>
      <c r="AH378" s="164">
        <f>IF(BetTable[Outcome3]="Win",BetTable[WBA3-Commission],IF(BetTable[Outcome3]="Win Half Stake",(BetTable[S3]/2)+BetTable[WBA3-Commission]/2,IF(BetTable[Outcome3]="Lose Half Stake",BetTable[S3]/2,IF(BetTable[Outcome3]="Lose",0,IF(BetTable[Outcome3]="Void",BetTable[S3],)))))</f>
        <v>0</v>
      </c>
      <c r="AI378" s="168">
        <f>IF(BetTable[Outcome]="",AI377,BetTable[Result]+AI377)</f>
        <v>576.59925000000032</v>
      </c>
      <c r="AJ378" s="160"/>
    </row>
    <row r="379" spans="1:36" x14ac:dyDescent="0.2">
      <c r="A379" s="159" t="s">
        <v>1048</v>
      </c>
      <c r="B379" s="160" t="s">
        <v>200</v>
      </c>
      <c r="C379" s="161" t="s">
        <v>185</v>
      </c>
      <c r="D379" s="161"/>
      <c r="E379" s="161"/>
      <c r="F379" s="162"/>
      <c r="G379" s="162"/>
      <c r="H379" s="162"/>
      <c r="I379" s="160" t="s">
        <v>1194</v>
      </c>
      <c r="J379" s="163">
        <v>2.0499999999999998</v>
      </c>
      <c r="K379" s="163"/>
      <c r="L379" s="163"/>
      <c r="M379" s="164">
        <v>25</v>
      </c>
      <c r="N379" s="164"/>
      <c r="O379" s="164"/>
      <c r="P379" s="159" t="s">
        <v>428</v>
      </c>
      <c r="Q379" s="159" t="s">
        <v>547</v>
      </c>
      <c r="R379" s="159" t="s">
        <v>1195</v>
      </c>
      <c r="S379" s="165">
        <v>2.2276602990107499E-2</v>
      </c>
      <c r="T379" s="166" t="s">
        <v>372</v>
      </c>
      <c r="U379" s="166"/>
      <c r="V379" s="166"/>
      <c r="W379" s="167">
        <f>IF(BetTable[Sport]="","",BetTable[Stake]+BetTable[S2]+BetTable[S3])</f>
        <v>25</v>
      </c>
      <c r="X379" s="164">
        <f>IF(BetTable[Odds]="","",(BetTable[WBA1-Commission])-BetTable[TS])</f>
        <v>26.25</v>
      </c>
      <c r="Y379" s="168">
        <f>IF(BetTable[Outcome]="","",BetTable[WBA1]+BetTable[WBA2]+BetTable[WBA3]-BetTable[TS])</f>
        <v>26.25</v>
      </c>
      <c r="Z379" s="164">
        <f>(((BetTable[Odds]-1)*BetTable[Stake])*(1-(BetTable[Comm %]))+BetTable[Stake])</f>
        <v>51.25</v>
      </c>
      <c r="AA379" s="164">
        <f>(((BetTable[O2]-1)*BetTable[S2])*(1-(BetTable[C% 2]))+BetTable[S2])</f>
        <v>0</v>
      </c>
      <c r="AB379" s="164">
        <f>(((BetTable[O3]-1)*BetTable[S3])*(1-(BetTable[C% 3]))+BetTable[S3])</f>
        <v>0</v>
      </c>
      <c r="AC379" s="165">
        <f>IFERROR(IF(BetTable[Sport]="","",BetTable[R1]/BetTable[TS]),"")</f>
        <v>1.05</v>
      </c>
      <c r="AD379" s="165" t="str">
        <f>IF(BetTable[O2]="","",#REF!/BetTable[TS])</f>
        <v/>
      </c>
      <c r="AE379" s="165" t="str">
        <f>IFERROR(IF(BetTable[Sport]="","",#REF!/BetTable[TS]),"")</f>
        <v/>
      </c>
      <c r="AF379" s="164">
        <f>IF(BetTable[Outcome]="Win",BetTable[WBA1-Commission],IF(BetTable[Outcome]="Win Half Stake",(BetTable[Stake]/2)+BetTable[WBA1-Commission]/2,IF(BetTable[Outcome]="Lose Half Stake",BetTable[Stake]/2,IF(BetTable[Outcome]="Lose",0,IF(BetTable[Outcome]="Void",BetTable[Stake],)))))</f>
        <v>51.25</v>
      </c>
      <c r="AG379" s="164">
        <f>IF(BetTable[Outcome2]="Win",BetTable[WBA2-Commission],IF(BetTable[Outcome2]="Win Half Stake",(BetTable[S2]/2)+BetTable[WBA2-Commission]/2,IF(BetTable[Outcome2]="Lose Half Stake",BetTable[S2]/2,IF(BetTable[Outcome2]="Lose",0,IF(BetTable[Outcome2]="Void",BetTable[S2],)))))</f>
        <v>0</v>
      </c>
      <c r="AH379" s="164">
        <f>IF(BetTable[Outcome3]="Win",BetTable[WBA3-Commission],IF(BetTable[Outcome3]="Win Half Stake",(BetTable[S3]/2)+BetTable[WBA3-Commission]/2,IF(BetTable[Outcome3]="Lose Half Stake",BetTable[S3]/2,IF(BetTable[Outcome3]="Lose",0,IF(BetTable[Outcome3]="Void",BetTable[S3],)))))</f>
        <v>0</v>
      </c>
      <c r="AI379" s="168">
        <f>IF(BetTable[Outcome]="",AI378,BetTable[Result]+AI378)</f>
        <v>602.84925000000032</v>
      </c>
      <c r="AJ379" s="160"/>
    </row>
    <row r="380" spans="1:36" x14ac:dyDescent="0.2">
      <c r="A380" s="159" t="s">
        <v>1048</v>
      </c>
      <c r="B380" s="160" t="s">
        <v>200</v>
      </c>
      <c r="C380" s="161" t="s">
        <v>185</v>
      </c>
      <c r="D380" s="161"/>
      <c r="E380" s="161"/>
      <c r="F380" s="162"/>
      <c r="G380" s="162"/>
      <c r="H380" s="162"/>
      <c r="I380" s="160" t="s">
        <v>1196</v>
      </c>
      <c r="J380" s="163">
        <v>3.6</v>
      </c>
      <c r="K380" s="163"/>
      <c r="L380" s="163"/>
      <c r="M380" s="164">
        <v>12</v>
      </c>
      <c r="N380" s="164"/>
      <c r="O380" s="164"/>
      <c r="P380" s="159" t="s">
        <v>494</v>
      </c>
      <c r="Q380" s="159" t="s">
        <v>547</v>
      </c>
      <c r="R380" s="159" t="s">
        <v>1197</v>
      </c>
      <c r="S380" s="165">
        <v>2.7013645694964301E-2</v>
      </c>
      <c r="T380" s="166" t="s">
        <v>372</v>
      </c>
      <c r="U380" s="166"/>
      <c r="V380" s="166"/>
      <c r="W380" s="167">
        <f>IF(BetTable[Sport]="","",BetTable[Stake]+BetTable[S2]+BetTable[S3])</f>
        <v>12</v>
      </c>
      <c r="X380" s="164">
        <f>IF(BetTable[Odds]="","",(BetTable[WBA1-Commission])-BetTable[TS])</f>
        <v>31.200000000000003</v>
      </c>
      <c r="Y380" s="168">
        <f>IF(BetTable[Outcome]="","",BetTable[WBA1]+BetTable[WBA2]+BetTable[WBA3]-BetTable[TS])</f>
        <v>31.200000000000003</v>
      </c>
      <c r="Z380" s="164">
        <f>(((BetTable[Odds]-1)*BetTable[Stake])*(1-(BetTable[Comm %]))+BetTable[Stake])</f>
        <v>43.2</v>
      </c>
      <c r="AA380" s="164">
        <f>(((BetTable[O2]-1)*BetTable[S2])*(1-(BetTable[C% 2]))+BetTable[S2])</f>
        <v>0</v>
      </c>
      <c r="AB380" s="164">
        <f>(((BetTable[O3]-1)*BetTable[S3])*(1-(BetTable[C% 3]))+BetTable[S3])</f>
        <v>0</v>
      </c>
      <c r="AC380" s="165">
        <f>IFERROR(IF(BetTable[Sport]="","",BetTable[R1]/BetTable[TS]),"")</f>
        <v>2.6</v>
      </c>
      <c r="AD380" s="165" t="str">
        <f>IF(BetTable[O2]="","",#REF!/BetTable[TS])</f>
        <v/>
      </c>
      <c r="AE380" s="165" t="str">
        <f>IFERROR(IF(BetTable[Sport]="","",#REF!/BetTable[TS]),"")</f>
        <v/>
      </c>
      <c r="AF380" s="164">
        <f>IF(BetTable[Outcome]="Win",BetTable[WBA1-Commission],IF(BetTable[Outcome]="Win Half Stake",(BetTable[Stake]/2)+BetTable[WBA1-Commission]/2,IF(BetTable[Outcome]="Lose Half Stake",BetTable[Stake]/2,IF(BetTable[Outcome]="Lose",0,IF(BetTable[Outcome]="Void",BetTable[Stake],)))))</f>
        <v>43.2</v>
      </c>
      <c r="AG380" s="164">
        <f>IF(BetTable[Outcome2]="Win",BetTable[WBA2-Commission],IF(BetTable[Outcome2]="Win Half Stake",(BetTable[S2]/2)+BetTable[WBA2-Commission]/2,IF(BetTable[Outcome2]="Lose Half Stake",BetTable[S2]/2,IF(BetTable[Outcome2]="Lose",0,IF(BetTable[Outcome2]="Void",BetTable[S2],)))))</f>
        <v>0</v>
      </c>
      <c r="AH380" s="164">
        <f>IF(BetTable[Outcome3]="Win",BetTable[WBA3-Commission],IF(BetTable[Outcome3]="Win Half Stake",(BetTable[S3]/2)+BetTable[WBA3-Commission]/2,IF(BetTable[Outcome3]="Lose Half Stake",BetTable[S3]/2,IF(BetTable[Outcome3]="Lose",0,IF(BetTable[Outcome3]="Void",BetTable[S3],)))))</f>
        <v>0</v>
      </c>
      <c r="AI380" s="168">
        <f>IF(BetTable[Outcome]="",AI379,BetTable[Result]+AI379)</f>
        <v>634.04925000000037</v>
      </c>
      <c r="AJ380" s="160"/>
    </row>
    <row r="381" spans="1:36" x14ac:dyDescent="0.2">
      <c r="A381" s="159" t="s">
        <v>1048</v>
      </c>
      <c r="B381" s="160" t="s">
        <v>200</v>
      </c>
      <c r="C381" s="161" t="s">
        <v>185</v>
      </c>
      <c r="D381" s="161"/>
      <c r="E381" s="161"/>
      <c r="F381" s="162"/>
      <c r="G381" s="162"/>
      <c r="H381" s="162"/>
      <c r="I381" s="160" t="s">
        <v>1198</v>
      </c>
      <c r="J381" s="163">
        <v>3.6</v>
      </c>
      <c r="K381" s="163"/>
      <c r="L381" s="163"/>
      <c r="M381" s="164">
        <v>8</v>
      </c>
      <c r="N381" s="164"/>
      <c r="O381" s="164"/>
      <c r="P381" s="159" t="s">
        <v>494</v>
      </c>
      <c r="Q381" s="159" t="s">
        <v>547</v>
      </c>
      <c r="R381" s="159" t="s">
        <v>1199</v>
      </c>
      <c r="S381" s="165">
        <v>1.7999167926615101E-2</v>
      </c>
      <c r="T381" s="166" t="s">
        <v>382</v>
      </c>
      <c r="U381" s="166"/>
      <c r="V381" s="166"/>
      <c r="W381" s="167">
        <f>IF(BetTable[Sport]="","",BetTable[Stake]+BetTable[S2]+BetTable[S3])</f>
        <v>8</v>
      </c>
      <c r="X381" s="164">
        <f>IF(BetTable[Odds]="","",(BetTable[WBA1-Commission])-BetTable[TS])</f>
        <v>20.8</v>
      </c>
      <c r="Y381" s="168">
        <f>IF(BetTable[Outcome]="","",BetTable[WBA1]+BetTable[WBA2]+BetTable[WBA3]-BetTable[TS])</f>
        <v>-8</v>
      </c>
      <c r="Z381" s="164">
        <f>(((BetTable[Odds]-1)*BetTable[Stake])*(1-(BetTable[Comm %]))+BetTable[Stake])</f>
        <v>28.8</v>
      </c>
      <c r="AA381" s="164">
        <f>(((BetTable[O2]-1)*BetTable[S2])*(1-(BetTable[C% 2]))+BetTable[S2])</f>
        <v>0</v>
      </c>
      <c r="AB381" s="164">
        <f>(((BetTable[O3]-1)*BetTable[S3])*(1-(BetTable[C% 3]))+BetTable[S3])</f>
        <v>0</v>
      </c>
      <c r="AC381" s="165">
        <f>IFERROR(IF(BetTable[Sport]="","",BetTable[R1]/BetTable[TS]),"")</f>
        <v>2.6</v>
      </c>
      <c r="AD381" s="165" t="str">
        <f>IF(BetTable[O2]="","",#REF!/BetTable[TS])</f>
        <v/>
      </c>
      <c r="AE381" s="165" t="str">
        <f>IFERROR(IF(BetTable[Sport]="","",#REF!/BetTable[TS]),"")</f>
        <v/>
      </c>
      <c r="AF381" s="164">
        <f>IF(BetTable[Outcome]="Win",BetTable[WBA1-Commission],IF(BetTable[Outcome]="Win Half Stake",(BetTable[Stake]/2)+BetTable[WBA1-Commission]/2,IF(BetTable[Outcome]="Lose Half Stake",BetTable[Stake]/2,IF(BetTable[Outcome]="Lose",0,IF(BetTable[Outcome]="Void",BetTable[Stake],)))))</f>
        <v>0</v>
      </c>
      <c r="AG381" s="164">
        <f>IF(BetTable[Outcome2]="Win",BetTable[WBA2-Commission],IF(BetTable[Outcome2]="Win Half Stake",(BetTable[S2]/2)+BetTable[WBA2-Commission]/2,IF(BetTable[Outcome2]="Lose Half Stake",BetTable[S2]/2,IF(BetTable[Outcome2]="Lose",0,IF(BetTable[Outcome2]="Void",BetTable[S2],)))))</f>
        <v>0</v>
      </c>
      <c r="AH381" s="164">
        <f>IF(BetTable[Outcome3]="Win",BetTable[WBA3-Commission],IF(BetTable[Outcome3]="Win Half Stake",(BetTable[S3]/2)+BetTable[WBA3-Commission]/2,IF(BetTable[Outcome3]="Lose Half Stake",BetTable[S3]/2,IF(BetTable[Outcome3]="Lose",0,IF(BetTable[Outcome3]="Void",BetTable[S3],)))))</f>
        <v>0</v>
      </c>
      <c r="AI381" s="168">
        <f>IF(BetTable[Outcome]="",AI380,BetTable[Result]+AI380)</f>
        <v>626.04925000000037</v>
      </c>
      <c r="AJ381" s="160"/>
    </row>
    <row r="382" spans="1:36" x14ac:dyDescent="0.2">
      <c r="A382" s="159" t="s">
        <v>1048</v>
      </c>
      <c r="B382" s="160" t="s">
        <v>200</v>
      </c>
      <c r="C382" s="161" t="s">
        <v>185</v>
      </c>
      <c r="D382" s="161"/>
      <c r="E382" s="161"/>
      <c r="F382" s="162"/>
      <c r="G382" s="162"/>
      <c r="H382" s="162"/>
      <c r="I382" s="160" t="s">
        <v>1200</v>
      </c>
      <c r="J382" s="163">
        <v>4.2</v>
      </c>
      <c r="K382" s="163"/>
      <c r="L382" s="163"/>
      <c r="M382" s="164">
        <v>6</v>
      </c>
      <c r="N382" s="164"/>
      <c r="O382" s="164"/>
      <c r="P382" s="159" t="s">
        <v>494</v>
      </c>
      <c r="Q382" s="159" t="s">
        <v>547</v>
      </c>
      <c r="R382" s="159" t="s">
        <v>1201</v>
      </c>
      <c r="S382" s="165">
        <v>1.7247002140825501E-2</v>
      </c>
      <c r="T382" s="166" t="s">
        <v>372</v>
      </c>
      <c r="U382" s="166"/>
      <c r="V382" s="166"/>
      <c r="W382" s="167">
        <f>IF(BetTable[Sport]="","",BetTable[Stake]+BetTable[S2]+BetTable[S3])</f>
        <v>6</v>
      </c>
      <c r="X382" s="164">
        <f>IF(BetTable[Odds]="","",(BetTable[WBA1-Commission])-BetTable[TS])</f>
        <v>19.200000000000003</v>
      </c>
      <c r="Y382" s="168">
        <f>IF(BetTable[Outcome]="","",BetTable[WBA1]+BetTable[WBA2]+BetTable[WBA3]-BetTable[TS])</f>
        <v>19.200000000000003</v>
      </c>
      <c r="Z382" s="164">
        <f>(((BetTable[Odds]-1)*BetTable[Stake])*(1-(BetTable[Comm %]))+BetTable[Stake])</f>
        <v>25.200000000000003</v>
      </c>
      <c r="AA382" s="164">
        <f>(((BetTable[O2]-1)*BetTable[S2])*(1-(BetTable[C% 2]))+BetTable[S2])</f>
        <v>0</v>
      </c>
      <c r="AB382" s="164">
        <f>(((BetTable[O3]-1)*BetTable[S3])*(1-(BetTable[C% 3]))+BetTable[S3])</f>
        <v>0</v>
      </c>
      <c r="AC382" s="165">
        <f>IFERROR(IF(BetTable[Sport]="","",BetTable[R1]/BetTable[TS]),"")</f>
        <v>3.2000000000000006</v>
      </c>
      <c r="AD382" s="165" t="str">
        <f>IF(BetTable[O2]="","",#REF!/BetTable[TS])</f>
        <v/>
      </c>
      <c r="AE382" s="165" t="str">
        <f>IFERROR(IF(BetTable[Sport]="","",#REF!/BetTable[TS]),"")</f>
        <v/>
      </c>
      <c r="AF382" s="164">
        <f>IF(BetTable[Outcome]="Win",BetTable[WBA1-Commission],IF(BetTable[Outcome]="Win Half Stake",(BetTable[Stake]/2)+BetTable[WBA1-Commission]/2,IF(BetTable[Outcome]="Lose Half Stake",BetTable[Stake]/2,IF(BetTable[Outcome]="Lose",0,IF(BetTable[Outcome]="Void",BetTable[Stake],)))))</f>
        <v>25.200000000000003</v>
      </c>
      <c r="AG382" s="164">
        <f>IF(BetTable[Outcome2]="Win",BetTable[WBA2-Commission],IF(BetTable[Outcome2]="Win Half Stake",(BetTable[S2]/2)+BetTable[WBA2-Commission]/2,IF(BetTable[Outcome2]="Lose Half Stake",BetTable[S2]/2,IF(BetTable[Outcome2]="Lose",0,IF(BetTable[Outcome2]="Void",BetTable[S2],)))))</f>
        <v>0</v>
      </c>
      <c r="AH382" s="164">
        <f>IF(BetTable[Outcome3]="Win",BetTable[WBA3-Commission],IF(BetTable[Outcome3]="Win Half Stake",(BetTable[S3]/2)+BetTable[WBA3-Commission]/2,IF(BetTable[Outcome3]="Lose Half Stake",BetTable[S3]/2,IF(BetTable[Outcome3]="Lose",0,IF(BetTable[Outcome3]="Void",BetTable[S3],)))))</f>
        <v>0</v>
      </c>
      <c r="AI382" s="168">
        <f>IF(BetTable[Outcome]="",AI381,BetTable[Result]+AI381)</f>
        <v>645.24925000000042</v>
      </c>
      <c r="AJ382" s="160"/>
    </row>
    <row r="383" spans="1:36" x14ac:dyDescent="0.2">
      <c r="A383" s="159" t="s">
        <v>1202</v>
      </c>
      <c r="B383" s="160" t="s">
        <v>7</v>
      </c>
      <c r="C383" s="161" t="s">
        <v>216</v>
      </c>
      <c r="D383" s="161"/>
      <c r="E383" s="161"/>
      <c r="F383" s="162"/>
      <c r="G383" s="162"/>
      <c r="H383" s="162"/>
      <c r="I383" s="160" t="s">
        <v>1203</v>
      </c>
      <c r="J383" s="163">
        <v>1.909</v>
      </c>
      <c r="K383" s="163"/>
      <c r="L383" s="163"/>
      <c r="M383" s="164">
        <v>45</v>
      </c>
      <c r="N383" s="164"/>
      <c r="O383" s="164"/>
      <c r="P383" s="159" t="s">
        <v>1204</v>
      </c>
      <c r="Q383" s="159" t="s">
        <v>1205</v>
      </c>
      <c r="R383" s="159" t="s">
        <v>1206</v>
      </c>
      <c r="S383" s="165">
        <v>3.4355108331149603E-2</v>
      </c>
      <c r="T383" s="166" t="s">
        <v>372</v>
      </c>
      <c r="U383" s="166"/>
      <c r="V383" s="166"/>
      <c r="W383" s="167">
        <f>IF(BetTable[Sport]="","",BetTable[Stake]+BetTable[S2]+BetTable[S3])</f>
        <v>45</v>
      </c>
      <c r="X383" s="164">
        <f>IF(BetTable[Odds]="","",(BetTable[WBA1-Commission])-BetTable[TS])</f>
        <v>40.905000000000001</v>
      </c>
      <c r="Y383" s="168">
        <f>IF(BetTable[Outcome]="","",BetTable[WBA1]+BetTable[WBA2]+BetTable[WBA3]-BetTable[TS])</f>
        <v>40.905000000000001</v>
      </c>
      <c r="Z383" s="164">
        <f>(((BetTable[Odds]-1)*BetTable[Stake])*(1-(BetTable[Comm %]))+BetTable[Stake])</f>
        <v>85.905000000000001</v>
      </c>
      <c r="AA383" s="164">
        <f>(((BetTable[O2]-1)*BetTable[S2])*(1-(BetTable[C% 2]))+BetTable[S2])</f>
        <v>0</v>
      </c>
      <c r="AB383" s="164">
        <f>(((BetTable[O3]-1)*BetTable[S3])*(1-(BetTable[C% 3]))+BetTable[S3])</f>
        <v>0</v>
      </c>
      <c r="AC383" s="165">
        <f>IFERROR(IF(BetTable[Sport]="","",BetTable[R1]/BetTable[TS]),"")</f>
        <v>0.90900000000000003</v>
      </c>
      <c r="AD383" s="165" t="str">
        <f>IF(BetTable[O2]="","",#REF!/BetTable[TS])</f>
        <v/>
      </c>
      <c r="AE383" s="165" t="str">
        <f>IFERROR(IF(BetTable[Sport]="","",#REF!/BetTable[TS]),"")</f>
        <v/>
      </c>
      <c r="AF383" s="164">
        <f>IF(BetTable[Outcome]="Win",BetTable[WBA1-Commission],IF(BetTable[Outcome]="Win Half Stake",(BetTable[Stake]/2)+BetTable[WBA1-Commission]/2,IF(BetTable[Outcome]="Lose Half Stake",BetTable[Stake]/2,IF(BetTable[Outcome]="Lose",0,IF(BetTable[Outcome]="Void",BetTable[Stake],)))))</f>
        <v>85.905000000000001</v>
      </c>
      <c r="AG383" s="164">
        <f>IF(BetTable[Outcome2]="Win",BetTable[WBA2-Commission],IF(BetTable[Outcome2]="Win Half Stake",(BetTable[S2]/2)+BetTable[WBA2-Commission]/2,IF(BetTable[Outcome2]="Lose Half Stake",BetTable[S2]/2,IF(BetTable[Outcome2]="Lose",0,IF(BetTable[Outcome2]="Void",BetTable[S2],)))))</f>
        <v>0</v>
      </c>
      <c r="AH383" s="164">
        <f>IF(BetTable[Outcome3]="Win",BetTable[WBA3-Commission],IF(BetTable[Outcome3]="Win Half Stake",(BetTable[S3]/2)+BetTable[WBA3-Commission]/2,IF(BetTable[Outcome3]="Lose Half Stake",BetTable[S3]/2,IF(BetTable[Outcome3]="Lose",0,IF(BetTable[Outcome3]="Void",BetTable[S3],)))))</f>
        <v>0</v>
      </c>
      <c r="AI383" s="168">
        <f>IF(BetTable[Outcome]="",AI382,BetTable[Result]+AI382)</f>
        <v>686.15425000000039</v>
      </c>
      <c r="AJ383" s="160"/>
    </row>
    <row r="384" spans="1:36" x14ac:dyDescent="0.2">
      <c r="A384" s="159" t="s">
        <v>1202</v>
      </c>
      <c r="B384" s="160" t="s">
        <v>7</v>
      </c>
      <c r="C384" s="161" t="s">
        <v>216</v>
      </c>
      <c r="D384" s="161"/>
      <c r="E384" s="161"/>
      <c r="F384" s="162"/>
      <c r="G384" s="162"/>
      <c r="H384" s="162"/>
      <c r="I384" s="160" t="s">
        <v>1207</v>
      </c>
      <c r="J384" s="163">
        <v>1.909</v>
      </c>
      <c r="K384" s="163"/>
      <c r="L384" s="163"/>
      <c r="M384" s="164">
        <v>60</v>
      </c>
      <c r="N384" s="164"/>
      <c r="O384" s="164"/>
      <c r="P384" s="159" t="s">
        <v>1208</v>
      </c>
      <c r="Q384" s="159" t="s">
        <v>1209</v>
      </c>
      <c r="R384" s="159" t="s">
        <v>1210</v>
      </c>
      <c r="S384" s="165">
        <v>7.0193797744139294E-2</v>
      </c>
      <c r="T384" s="166" t="s">
        <v>372</v>
      </c>
      <c r="U384" s="166"/>
      <c r="V384" s="166"/>
      <c r="W384" s="167">
        <f>IF(BetTable[Sport]="","",BetTable[Stake]+BetTable[S2]+BetTable[S3])</f>
        <v>60</v>
      </c>
      <c r="X384" s="164">
        <f>IF(BetTable[Odds]="","",(BetTable[WBA1-Commission])-BetTable[TS])</f>
        <v>54.539999999999992</v>
      </c>
      <c r="Y384" s="168">
        <f>IF(BetTable[Outcome]="","",BetTable[WBA1]+BetTable[WBA2]+BetTable[WBA3]-BetTable[TS])</f>
        <v>54.539999999999992</v>
      </c>
      <c r="Z384" s="164">
        <f>(((BetTable[Odds]-1)*BetTable[Stake])*(1-(BetTable[Comm %]))+BetTable[Stake])</f>
        <v>114.53999999999999</v>
      </c>
      <c r="AA384" s="164">
        <f>(((BetTable[O2]-1)*BetTable[S2])*(1-(BetTable[C% 2]))+BetTable[S2])</f>
        <v>0</v>
      </c>
      <c r="AB384" s="164">
        <f>(((BetTable[O3]-1)*BetTable[S3])*(1-(BetTable[C% 3]))+BetTable[S3])</f>
        <v>0</v>
      </c>
      <c r="AC384" s="165">
        <f>IFERROR(IF(BetTable[Sport]="","",BetTable[R1]/BetTable[TS]),"")</f>
        <v>0.90899999999999992</v>
      </c>
      <c r="AD384" s="165" t="str">
        <f>IF(BetTable[O2]="","",#REF!/BetTable[TS])</f>
        <v/>
      </c>
      <c r="AE384" s="165" t="str">
        <f>IFERROR(IF(BetTable[Sport]="","",#REF!/BetTable[TS]),"")</f>
        <v/>
      </c>
      <c r="AF384" s="164">
        <f>IF(BetTable[Outcome]="Win",BetTable[WBA1-Commission],IF(BetTable[Outcome]="Win Half Stake",(BetTable[Stake]/2)+BetTable[WBA1-Commission]/2,IF(BetTable[Outcome]="Lose Half Stake",BetTable[Stake]/2,IF(BetTable[Outcome]="Lose",0,IF(BetTable[Outcome]="Void",BetTable[Stake],)))))</f>
        <v>114.53999999999999</v>
      </c>
      <c r="AG384" s="164">
        <f>IF(BetTable[Outcome2]="Win",BetTable[WBA2-Commission],IF(BetTable[Outcome2]="Win Half Stake",(BetTable[S2]/2)+BetTable[WBA2-Commission]/2,IF(BetTable[Outcome2]="Lose Half Stake",BetTable[S2]/2,IF(BetTable[Outcome2]="Lose",0,IF(BetTable[Outcome2]="Void",BetTable[S2],)))))</f>
        <v>0</v>
      </c>
      <c r="AH384" s="164">
        <f>IF(BetTable[Outcome3]="Win",BetTable[WBA3-Commission],IF(BetTable[Outcome3]="Win Half Stake",(BetTable[S3]/2)+BetTable[WBA3-Commission]/2,IF(BetTable[Outcome3]="Lose Half Stake",BetTable[S3]/2,IF(BetTable[Outcome3]="Lose",0,IF(BetTable[Outcome3]="Void",BetTable[S3],)))))</f>
        <v>0</v>
      </c>
      <c r="AI384" s="168">
        <f>IF(BetTable[Outcome]="",AI383,BetTable[Result]+AI383)</f>
        <v>740.69425000000035</v>
      </c>
      <c r="AJ384" s="160"/>
    </row>
    <row r="385" spans="1:36" x14ac:dyDescent="0.2">
      <c r="A385" s="159" t="s">
        <v>1202</v>
      </c>
      <c r="B385" s="160" t="s">
        <v>7</v>
      </c>
      <c r="C385" s="161" t="s">
        <v>91</v>
      </c>
      <c r="D385" s="161"/>
      <c r="E385" s="161"/>
      <c r="F385" s="162"/>
      <c r="G385" s="162"/>
      <c r="H385" s="162"/>
      <c r="I385" s="160" t="s">
        <v>1211</v>
      </c>
      <c r="J385" s="163">
        <v>1.79</v>
      </c>
      <c r="K385" s="163"/>
      <c r="L385" s="163"/>
      <c r="M385" s="164">
        <v>34</v>
      </c>
      <c r="N385" s="164"/>
      <c r="O385" s="164"/>
      <c r="P385" s="159" t="s">
        <v>1212</v>
      </c>
      <c r="Q385" s="159" t="s">
        <v>503</v>
      </c>
      <c r="R385" s="159" t="s">
        <v>1213</v>
      </c>
      <c r="S385" s="165">
        <v>2.2675114807960001E-2</v>
      </c>
      <c r="T385" s="166" t="s">
        <v>372</v>
      </c>
      <c r="U385" s="166"/>
      <c r="V385" s="166"/>
      <c r="W385" s="167">
        <f>IF(BetTable[Sport]="","",BetTable[Stake]+BetTable[S2]+BetTable[S3])</f>
        <v>34</v>
      </c>
      <c r="X385" s="164">
        <f>IF(BetTable[Odds]="","",(BetTable[WBA1-Commission])-BetTable[TS])</f>
        <v>26.86</v>
      </c>
      <c r="Y385" s="168">
        <f>IF(BetTable[Outcome]="","",BetTable[WBA1]+BetTable[WBA2]+BetTable[WBA3]-BetTable[TS])</f>
        <v>26.86</v>
      </c>
      <c r="Z385" s="164">
        <f>(((BetTable[Odds]-1)*BetTable[Stake])*(1-(BetTable[Comm %]))+BetTable[Stake])</f>
        <v>60.86</v>
      </c>
      <c r="AA385" s="164">
        <f>(((BetTable[O2]-1)*BetTable[S2])*(1-(BetTable[C% 2]))+BetTable[S2])</f>
        <v>0</v>
      </c>
      <c r="AB385" s="164">
        <f>(((BetTable[O3]-1)*BetTable[S3])*(1-(BetTable[C% 3]))+BetTable[S3])</f>
        <v>0</v>
      </c>
      <c r="AC385" s="165">
        <f>IFERROR(IF(BetTable[Sport]="","",BetTable[R1]/BetTable[TS]),"")</f>
        <v>0.79</v>
      </c>
      <c r="AD385" s="165" t="str">
        <f>IF(BetTable[O2]="","",#REF!/BetTable[TS])</f>
        <v/>
      </c>
      <c r="AE385" s="165" t="str">
        <f>IFERROR(IF(BetTable[Sport]="","",#REF!/BetTable[TS]),"")</f>
        <v/>
      </c>
      <c r="AF385" s="164">
        <f>IF(BetTable[Outcome]="Win",BetTable[WBA1-Commission],IF(BetTable[Outcome]="Win Half Stake",(BetTable[Stake]/2)+BetTable[WBA1-Commission]/2,IF(BetTable[Outcome]="Lose Half Stake",BetTable[Stake]/2,IF(BetTable[Outcome]="Lose",0,IF(BetTable[Outcome]="Void",BetTable[Stake],)))))</f>
        <v>60.86</v>
      </c>
      <c r="AG385" s="164">
        <f>IF(BetTable[Outcome2]="Win",BetTable[WBA2-Commission],IF(BetTable[Outcome2]="Win Half Stake",(BetTable[S2]/2)+BetTable[WBA2-Commission]/2,IF(BetTable[Outcome2]="Lose Half Stake",BetTable[S2]/2,IF(BetTable[Outcome2]="Lose",0,IF(BetTable[Outcome2]="Void",BetTable[S2],)))))</f>
        <v>0</v>
      </c>
      <c r="AH385" s="164">
        <f>IF(BetTable[Outcome3]="Win",BetTable[WBA3-Commission],IF(BetTable[Outcome3]="Win Half Stake",(BetTable[S3]/2)+BetTable[WBA3-Commission]/2,IF(BetTable[Outcome3]="Lose Half Stake",BetTable[S3]/2,IF(BetTable[Outcome3]="Lose",0,IF(BetTable[Outcome3]="Void",BetTable[S3],)))))</f>
        <v>0</v>
      </c>
      <c r="AI385" s="168">
        <f>IF(BetTable[Outcome]="",AI384,BetTable[Result]+AI384)</f>
        <v>767.55425000000037</v>
      </c>
      <c r="AJ385" s="160"/>
    </row>
    <row r="386" spans="1:36" x14ac:dyDescent="0.2">
      <c r="A386" s="159" t="s">
        <v>1202</v>
      </c>
      <c r="B386" s="160" t="s">
        <v>200</v>
      </c>
      <c r="C386" s="161" t="s">
        <v>234</v>
      </c>
      <c r="D386" s="161"/>
      <c r="E386" s="161"/>
      <c r="F386" s="162"/>
      <c r="G386" s="162"/>
      <c r="H386" s="162"/>
      <c r="I386" s="160" t="s">
        <v>1214</v>
      </c>
      <c r="J386" s="163">
        <v>2.0299999999999998</v>
      </c>
      <c r="K386" s="163"/>
      <c r="L386" s="163"/>
      <c r="M386" s="164">
        <v>12</v>
      </c>
      <c r="N386" s="164"/>
      <c r="O386" s="164"/>
      <c r="P386" s="159" t="s">
        <v>360</v>
      </c>
      <c r="Q386" s="159" t="s">
        <v>530</v>
      </c>
      <c r="R386" s="159" t="s">
        <v>1215</v>
      </c>
      <c r="S386" s="165">
        <v>1.02166187067177E-2</v>
      </c>
      <c r="T386" s="166" t="s">
        <v>382</v>
      </c>
      <c r="U386" s="166"/>
      <c r="V386" s="166"/>
      <c r="W386" s="167">
        <f>IF(BetTable[Sport]="","",BetTable[Stake]+BetTable[S2]+BetTable[S3])</f>
        <v>12</v>
      </c>
      <c r="X386" s="164">
        <f>IF(BetTable[Odds]="","",(BetTable[WBA1-Commission])-BetTable[TS])</f>
        <v>12.36</v>
      </c>
      <c r="Y386" s="168">
        <f>IF(BetTable[Outcome]="","",BetTable[WBA1]+BetTable[WBA2]+BetTable[WBA3]-BetTable[TS])</f>
        <v>-12</v>
      </c>
      <c r="Z386" s="164">
        <f>(((BetTable[Odds]-1)*BetTable[Stake])*(1-(BetTable[Comm %]))+BetTable[Stake])</f>
        <v>24.36</v>
      </c>
      <c r="AA386" s="164">
        <f>(((BetTable[O2]-1)*BetTable[S2])*(1-(BetTable[C% 2]))+BetTable[S2])</f>
        <v>0</v>
      </c>
      <c r="AB386" s="164">
        <f>(((BetTable[O3]-1)*BetTable[S3])*(1-(BetTable[C% 3]))+BetTable[S3])</f>
        <v>0</v>
      </c>
      <c r="AC386" s="165">
        <f>IFERROR(IF(BetTable[Sport]="","",BetTable[R1]/BetTable[TS]),"")</f>
        <v>1.03</v>
      </c>
      <c r="AD386" s="165" t="str">
        <f>IF(BetTable[O2]="","",#REF!/BetTable[TS])</f>
        <v/>
      </c>
      <c r="AE386" s="165" t="str">
        <f>IFERROR(IF(BetTable[Sport]="","",#REF!/BetTable[TS]),"")</f>
        <v/>
      </c>
      <c r="AF386" s="164">
        <f>IF(BetTable[Outcome]="Win",BetTable[WBA1-Commission],IF(BetTable[Outcome]="Win Half Stake",(BetTable[Stake]/2)+BetTable[WBA1-Commission]/2,IF(BetTable[Outcome]="Lose Half Stake",BetTable[Stake]/2,IF(BetTable[Outcome]="Lose",0,IF(BetTable[Outcome]="Void",BetTable[Stake],)))))</f>
        <v>0</v>
      </c>
      <c r="AG386" s="164">
        <f>IF(BetTable[Outcome2]="Win",BetTable[WBA2-Commission],IF(BetTable[Outcome2]="Win Half Stake",(BetTable[S2]/2)+BetTable[WBA2-Commission]/2,IF(BetTable[Outcome2]="Lose Half Stake",BetTable[S2]/2,IF(BetTable[Outcome2]="Lose",0,IF(BetTable[Outcome2]="Void",BetTable[S2],)))))</f>
        <v>0</v>
      </c>
      <c r="AH386" s="164">
        <f>IF(BetTable[Outcome3]="Win",BetTable[WBA3-Commission],IF(BetTable[Outcome3]="Win Half Stake",(BetTable[S3]/2)+BetTable[WBA3-Commission]/2,IF(BetTable[Outcome3]="Lose Half Stake",BetTable[S3]/2,IF(BetTable[Outcome3]="Lose",0,IF(BetTable[Outcome3]="Void",BetTable[S3],)))))</f>
        <v>0</v>
      </c>
      <c r="AI386" s="168">
        <f>IF(BetTable[Outcome]="",AI385,BetTable[Result]+AI385)</f>
        <v>755.55425000000037</v>
      </c>
      <c r="AJ386" s="160"/>
    </row>
    <row r="387" spans="1:36" x14ac:dyDescent="0.2">
      <c r="A387" s="159" t="s">
        <v>1202</v>
      </c>
      <c r="B387" s="160" t="s">
        <v>200</v>
      </c>
      <c r="C387" s="161" t="s">
        <v>91</v>
      </c>
      <c r="D387" s="161"/>
      <c r="E387" s="161"/>
      <c r="F387" s="162"/>
      <c r="G387" s="162"/>
      <c r="H387" s="162"/>
      <c r="I387" s="160" t="s">
        <v>1216</v>
      </c>
      <c r="J387" s="163">
        <v>1.6</v>
      </c>
      <c r="K387" s="163"/>
      <c r="L387" s="163"/>
      <c r="M387" s="164">
        <v>50</v>
      </c>
      <c r="N387" s="164"/>
      <c r="O387" s="164"/>
      <c r="P387" s="159" t="s">
        <v>852</v>
      </c>
      <c r="Q387" s="159" t="s">
        <v>581</v>
      </c>
      <c r="R387" s="159" t="s">
        <v>1217</v>
      </c>
      <c r="S387" s="165">
        <v>2.4835474905171E-2</v>
      </c>
      <c r="T387" s="166" t="s">
        <v>372</v>
      </c>
      <c r="U387" s="166"/>
      <c r="V387" s="166"/>
      <c r="W387" s="167">
        <f>IF(BetTable[Sport]="","",BetTable[Stake]+BetTable[S2]+BetTable[S3])</f>
        <v>50</v>
      </c>
      <c r="X387" s="164">
        <f>IF(BetTable[Odds]="","",(BetTable[WBA1-Commission])-BetTable[TS])</f>
        <v>30</v>
      </c>
      <c r="Y387" s="168">
        <f>IF(BetTable[Outcome]="","",BetTable[WBA1]+BetTable[WBA2]+BetTable[WBA3]-BetTable[TS])</f>
        <v>30</v>
      </c>
      <c r="Z387" s="164">
        <f>(((BetTable[Odds]-1)*BetTable[Stake])*(1-(BetTable[Comm %]))+BetTable[Stake])</f>
        <v>80</v>
      </c>
      <c r="AA387" s="164">
        <f>(((BetTable[O2]-1)*BetTable[S2])*(1-(BetTable[C% 2]))+BetTable[S2])</f>
        <v>0</v>
      </c>
      <c r="AB387" s="164">
        <f>(((BetTable[O3]-1)*BetTable[S3])*(1-(BetTable[C% 3]))+BetTable[S3])</f>
        <v>0</v>
      </c>
      <c r="AC387" s="165">
        <f>IFERROR(IF(BetTable[Sport]="","",BetTable[R1]/BetTable[TS]),"")</f>
        <v>0.6</v>
      </c>
      <c r="AD387" s="165" t="str">
        <f>IF(BetTable[O2]="","",#REF!/BetTable[TS])</f>
        <v/>
      </c>
      <c r="AE387" s="165" t="str">
        <f>IFERROR(IF(BetTable[Sport]="","",#REF!/BetTable[TS]),"")</f>
        <v/>
      </c>
      <c r="AF387" s="164">
        <f>IF(BetTable[Outcome]="Win",BetTable[WBA1-Commission],IF(BetTable[Outcome]="Win Half Stake",(BetTable[Stake]/2)+BetTable[WBA1-Commission]/2,IF(BetTable[Outcome]="Lose Half Stake",BetTable[Stake]/2,IF(BetTable[Outcome]="Lose",0,IF(BetTable[Outcome]="Void",BetTable[Stake],)))))</f>
        <v>80</v>
      </c>
      <c r="AG387" s="164">
        <f>IF(BetTable[Outcome2]="Win",BetTable[WBA2-Commission],IF(BetTable[Outcome2]="Win Half Stake",(BetTable[S2]/2)+BetTable[WBA2-Commission]/2,IF(BetTable[Outcome2]="Lose Half Stake",BetTable[S2]/2,IF(BetTable[Outcome2]="Lose",0,IF(BetTable[Outcome2]="Void",BetTable[S2],)))))</f>
        <v>0</v>
      </c>
      <c r="AH387" s="164">
        <f>IF(BetTable[Outcome3]="Win",BetTable[WBA3-Commission],IF(BetTable[Outcome3]="Win Half Stake",(BetTable[S3]/2)+BetTable[WBA3-Commission]/2,IF(BetTable[Outcome3]="Lose Half Stake",BetTable[S3]/2,IF(BetTable[Outcome3]="Lose",0,IF(BetTable[Outcome3]="Void",BetTable[S3],)))))</f>
        <v>0</v>
      </c>
      <c r="AI387" s="168">
        <f>IF(BetTable[Outcome]="",AI386,BetTable[Result]+AI386)</f>
        <v>785.55425000000037</v>
      </c>
      <c r="AJ387" s="160"/>
    </row>
    <row r="388" spans="1:36" x14ac:dyDescent="0.2">
      <c r="A388" s="159" t="s">
        <v>1202</v>
      </c>
      <c r="B388" s="160" t="s">
        <v>200</v>
      </c>
      <c r="C388" s="161" t="s">
        <v>91</v>
      </c>
      <c r="D388" s="161"/>
      <c r="E388" s="161"/>
      <c r="F388" s="162"/>
      <c r="G388" s="162"/>
      <c r="H388" s="162"/>
      <c r="I388" s="160" t="s">
        <v>1218</v>
      </c>
      <c r="J388" s="163">
        <v>1.75</v>
      </c>
      <c r="K388" s="163"/>
      <c r="L388" s="163"/>
      <c r="M388" s="164">
        <v>24</v>
      </c>
      <c r="N388" s="164"/>
      <c r="O388" s="164"/>
      <c r="P388" s="159" t="s">
        <v>508</v>
      </c>
      <c r="Q388" s="159" t="s">
        <v>436</v>
      </c>
      <c r="R388" s="159" t="s">
        <v>1219</v>
      </c>
      <c r="S388" s="165">
        <v>1.5100000000000001E-2</v>
      </c>
      <c r="T388" s="166" t="s">
        <v>382</v>
      </c>
      <c r="U388" s="166"/>
      <c r="V388" s="166"/>
      <c r="W388" s="167">
        <f>IF(BetTable[Sport]="","",BetTable[Stake]+BetTable[S2]+BetTable[S3])</f>
        <v>24</v>
      </c>
      <c r="X388" s="164">
        <f>IF(BetTable[Odds]="","",(BetTable[WBA1-Commission])-BetTable[TS])</f>
        <v>18</v>
      </c>
      <c r="Y388" s="168">
        <f>IF(BetTable[Outcome]="","",BetTable[WBA1]+BetTable[WBA2]+BetTable[WBA3]-BetTable[TS])</f>
        <v>-24</v>
      </c>
      <c r="Z388" s="164">
        <f>(((BetTable[Odds]-1)*BetTable[Stake])*(1-(BetTable[Comm %]))+BetTable[Stake])</f>
        <v>42</v>
      </c>
      <c r="AA388" s="164">
        <f>(((BetTable[O2]-1)*BetTable[S2])*(1-(BetTable[C% 2]))+BetTable[S2])</f>
        <v>0</v>
      </c>
      <c r="AB388" s="164">
        <f>(((BetTable[O3]-1)*BetTable[S3])*(1-(BetTable[C% 3]))+BetTable[S3])</f>
        <v>0</v>
      </c>
      <c r="AC388" s="165">
        <f>IFERROR(IF(BetTable[Sport]="","",BetTable[R1]/BetTable[TS]),"")</f>
        <v>0.75</v>
      </c>
      <c r="AD388" s="165" t="str">
        <f>IF(BetTable[O2]="","",#REF!/BetTable[TS])</f>
        <v/>
      </c>
      <c r="AE388" s="165" t="str">
        <f>IFERROR(IF(BetTable[Sport]="","",#REF!/BetTable[TS]),"")</f>
        <v/>
      </c>
      <c r="AF388" s="164">
        <f>IF(BetTable[Outcome]="Win",BetTable[WBA1-Commission],IF(BetTable[Outcome]="Win Half Stake",(BetTable[Stake]/2)+BetTable[WBA1-Commission]/2,IF(BetTable[Outcome]="Lose Half Stake",BetTable[Stake]/2,IF(BetTable[Outcome]="Lose",0,IF(BetTable[Outcome]="Void",BetTable[Stake],)))))</f>
        <v>0</v>
      </c>
      <c r="AG388" s="164">
        <f>IF(BetTable[Outcome2]="Win",BetTable[WBA2-Commission],IF(BetTable[Outcome2]="Win Half Stake",(BetTable[S2]/2)+BetTable[WBA2-Commission]/2,IF(BetTable[Outcome2]="Lose Half Stake",BetTable[S2]/2,IF(BetTable[Outcome2]="Lose",0,IF(BetTable[Outcome2]="Void",BetTable[S2],)))))</f>
        <v>0</v>
      </c>
      <c r="AH388" s="164">
        <f>IF(BetTable[Outcome3]="Win",BetTable[WBA3-Commission],IF(BetTable[Outcome3]="Win Half Stake",(BetTable[S3]/2)+BetTable[WBA3-Commission]/2,IF(BetTable[Outcome3]="Lose Half Stake",BetTable[S3]/2,IF(BetTable[Outcome3]="Lose",0,IF(BetTable[Outcome3]="Void",BetTable[S3],)))))</f>
        <v>0</v>
      </c>
      <c r="AI388" s="168">
        <f>IF(BetTable[Outcome]="",AI387,BetTable[Result]+AI387)</f>
        <v>761.55425000000037</v>
      </c>
      <c r="AJ388" s="160"/>
    </row>
    <row r="389" spans="1:36" x14ac:dyDescent="0.2">
      <c r="A389" s="159" t="s">
        <v>1202</v>
      </c>
      <c r="B389" s="160" t="s">
        <v>200</v>
      </c>
      <c r="C389" s="161" t="s">
        <v>234</v>
      </c>
      <c r="D389" s="161"/>
      <c r="E389" s="161"/>
      <c r="F389" s="162"/>
      <c r="G389" s="162"/>
      <c r="H389" s="162"/>
      <c r="I389" s="160" t="s">
        <v>1216</v>
      </c>
      <c r="J389" s="163">
        <v>1.76</v>
      </c>
      <c r="K389" s="163"/>
      <c r="L389" s="163"/>
      <c r="M389" s="164">
        <v>21</v>
      </c>
      <c r="N389" s="164"/>
      <c r="O389" s="164"/>
      <c r="P389" s="159" t="s">
        <v>360</v>
      </c>
      <c r="Q389" s="159" t="s">
        <v>581</v>
      </c>
      <c r="R389" s="159" t="s">
        <v>1220</v>
      </c>
      <c r="S389" s="165">
        <v>1.35435171431169E-2</v>
      </c>
      <c r="T389" s="166" t="s">
        <v>372</v>
      </c>
      <c r="U389" s="166"/>
      <c r="V389" s="166"/>
      <c r="W389" s="167">
        <f>IF(BetTable[Sport]="","",BetTable[Stake]+BetTable[S2]+BetTable[S3])</f>
        <v>21</v>
      </c>
      <c r="X389" s="164">
        <f>IF(BetTable[Odds]="","",(BetTable[WBA1-Commission])-BetTable[TS])</f>
        <v>15.96</v>
      </c>
      <c r="Y389" s="168">
        <f>IF(BetTable[Outcome]="","",BetTable[WBA1]+BetTable[WBA2]+BetTable[WBA3]-BetTable[TS])</f>
        <v>15.96</v>
      </c>
      <c r="Z389" s="164">
        <f>(((BetTable[Odds]-1)*BetTable[Stake])*(1-(BetTable[Comm %]))+BetTable[Stake])</f>
        <v>36.96</v>
      </c>
      <c r="AA389" s="164">
        <f>(((BetTable[O2]-1)*BetTable[S2])*(1-(BetTable[C% 2]))+BetTable[S2])</f>
        <v>0</v>
      </c>
      <c r="AB389" s="164">
        <f>(((BetTable[O3]-1)*BetTable[S3])*(1-(BetTable[C% 3]))+BetTable[S3])</f>
        <v>0</v>
      </c>
      <c r="AC389" s="165">
        <f>IFERROR(IF(BetTable[Sport]="","",BetTable[R1]/BetTable[TS]),"")</f>
        <v>0.76</v>
      </c>
      <c r="AD389" s="165" t="str">
        <f>IF(BetTable[O2]="","",#REF!/BetTable[TS])</f>
        <v/>
      </c>
      <c r="AE389" s="165" t="str">
        <f>IFERROR(IF(BetTable[Sport]="","",#REF!/BetTable[TS]),"")</f>
        <v/>
      </c>
      <c r="AF389" s="164">
        <f>IF(BetTable[Outcome]="Win",BetTable[WBA1-Commission],IF(BetTable[Outcome]="Win Half Stake",(BetTable[Stake]/2)+BetTable[WBA1-Commission]/2,IF(BetTable[Outcome]="Lose Half Stake",BetTable[Stake]/2,IF(BetTable[Outcome]="Lose",0,IF(BetTable[Outcome]="Void",BetTable[Stake],)))))</f>
        <v>36.96</v>
      </c>
      <c r="AG389" s="164">
        <f>IF(BetTable[Outcome2]="Win",BetTable[WBA2-Commission],IF(BetTable[Outcome2]="Win Half Stake",(BetTable[S2]/2)+BetTable[WBA2-Commission]/2,IF(BetTable[Outcome2]="Lose Half Stake",BetTable[S2]/2,IF(BetTable[Outcome2]="Lose",0,IF(BetTable[Outcome2]="Void",BetTable[S2],)))))</f>
        <v>0</v>
      </c>
      <c r="AH389" s="164">
        <f>IF(BetTable[Outcome3]="Win",BetTable[WBA3-Commission],IF(BetTable[Outcome3]="Win Half Stake",(BetTable[S3]/2)+BetTable[WBA3-Commission]/2,IF(BetTable[Outcome3]="Lose Half Stake",BetTable[S3]/2,IF(BetTable[Outcome3]="Lose",0,IF(BetTable[Outcome3]="Void",BetTable[S3],)))))</f>
        <v>0</v>
      </c>
      <c r="AI389" s="168">
        <f>IF(BetTable[Outcome]="",AI388,BetTable[Result]+AI388)</f>
        <v>777.5142500000004</v>
      </c>
      <c r="AJ389" s="160"/>
    </row>
    <row r="390" spans="1:36" x14ac:dyDescent="0.2">
      <c r="A390" s="159" t="s">
        <v>1202</v>
      </c>
      <c r="B390" s="160" t="s">
        <v>200</v>
      </c>
      <c r="C390" s="161" t="s">
        <v>234</v>
      </c>
      <c r="D390" s="161"/>
      <c r="E390" s="161"/>
      <c r="F390" s="162"/>
      <c r="G390" s="162"/>
      <c r="H390" s="162"/>
      <c r="I390" s="160" t="s">
        <v>1221</v>
      </c>
      <c r="J390" s="163">
        <v>2.06</v>
      </c>
      <c r="K390" s="163"/>
      <c r="L390" s="163"/>
      <c r="M390" s="164">
        <v>13</v>
      </c>
      <c r="N390" s="164"/>
      <c r="O390" s="164"/>
      <c r="P390" s="159" t="s">
        <v>1222</v>
      </c>
      <c r="Q390" s="159" t="s">
        <v>882</v>
      </c>
      <c r="R390" s="159" t="s">
        <v>1223</v>
      </c>
      <c r="S390" s="165">
        <v>1.1130539467181901E-2</v>
      </c>
      <c r="T390" s="166" t="s">
        <v>372</v>
      </c>
      <c r="U390" s="166"/>
      <c r="V390" s="166"/>
      <c r="W390" s="167">
        <f>IF(BetTable[Sport]="","",BetTable[Stake]+BetTable[S2]+BetTable[S3])</f>
        <v>13</v>
      </c>
      <c r="X390" s="164">
        <f>IF(BetTable[Odds]="","",(BetTable[WBA1-Commission])-BetTable[TS])</f>
        <v>13.780000000000001</v>
      </c>
      <c r="Y390" s="168">
        <f>IF(BetTable[Outcome]="","",BetTable[WBA1]+BetTable[WBA2]+BetTable[WBA3]-BetTable[TS])</f>
        <v>13.780000000000001</v>
      </c>
      <c r="Z390" s="164">
        <f>(((BetTable[Odds]-1)*BetTable[Stake])*(1-(BetTable[Comm %]))+BetTable[Stake])</f>
        <v>26.78</v>
      </c>
      <c r="AA390" s="164">
        <f>(((BetTable[O2]-1)*BetTable[S2])*(1-(BetTable[C% 2]))+BetTable[S2])</f>
        <v>0</v>
      </c>
      <c r="AB390" s="164">
        <f>(((BetTable[O3]-1)*BetTable[S3])*(1-(BetTable[C% 3]))+BetTable[S3])</f>
        <v>0</v>
      </c>
      <c r="AC390" s="165">
        <f>IFERROR(IF(BetTable[Sport]="","",BetTable[R1]/BetTable[TS]),"")</f>
        <v>1.06</v>
      </c>
      <c r="AD390" s="165" t="str">
        <f>IF(BetTable[O2]="","",#REF!/BetTable[TS])</f>
        <v/>
      </c>
      <c r="AE390" s="165" t="str">
        <f>IFERROR(IF(BetTable[Sport]="","",#REF!/BetTable[TS]),"")</f>
        <v/>
      </c>
      <c r="AF390" s="164">
        <f>IF(BetTable[Outcome]="Win",BetTable[WBA1-Commission],IF(BetTable[Outcome]="Win Half Stake",(BetTable[Stake]/2)+BetTable[WBA1-Commission]/2,IF(BetTable[Outcome]="Lose Half Stake",BetTable[Stake]/2,IF(BetTable[Outcome]="Lose",0,IF(BetTable[Outcome]="Void",BetTable[Stake],)))))</f>
        <v>26.78</v>
      </c>
      <c r="AG390" s="164">
        <f>IF(BetTable[Outcome2]="Win",BetTable[WBA2-Commission],IF(BetTable[Outcome2]="Win Half Stake",(BetTable[S2]/2)+BetTable[WBA2-Commission]/2,IF(BetTable[Outcome2]="Lose Half Stake",BetTable[S2]/2,IF(BetTable[Outcome2]="Lose",0,IF(BetTable[Outcome2]="Void",BetTable[S2],)))))</f>
        <v>0</v>
      </c>
      <c r="AH390" s="164">
        <f>IF(BetTable[Outcome3]="Win",BetTable[WBA3-Commission],IF(BetTable[Outcome3]="Win Half Stake",(BetTable[S3]/2)+BetTable[WBA3-Commission]/2,IF(BetTable[Outcome3]="Lose Half Stake",BetTable[S3]/2,IF(BetTable[Outcome3]="Lose",0,IF(BetTable[Outcome3]="Void",BetTable[S3],)))))</f>
        <v>0</v>
      </c>
      <c r="AI390" s="168">
        <f>IF(BetTable[Outcome]="",AI389,BetTable[Result]+AI389)</f>
        <v>791.29425000000037</v>
      </c>
      <c r="AJ390" s="160"/>
    </row>
    <row r="391" spans="1:36" x14ac:dyDescent="0.2">
      <c r="A391" s="159" t="s">
        <v>1202</v>
      </c>
      <c r="B391" s="160" t="s">
        <v>7</v>
      </c>
      <c r="C391" s="161" t="s">
        <v>216</v>
      </c>
      <c r="D391" s="161"/>
      <c r="E391" s="161"/>
      <c r="F391" s="162"/>
      <c r="G391" s="162"/>
      <c r="H391" s="162"/>
      <c r="I391" s="160" t="s">
        <v>1224</v>
      </c>
      <c r="J391" s="163">
        <v>1.476</v>
      </c>
      <c r="K391" s="163"/>
      <c r="L391" s="163"/>
      <c r="M391" s="164">
        <v>80</v>
      </c>
      <c r="N391" s="164"/>
      <c r="O391" s="164"/>
      <c r="P391" s="159" t="s">
        <v>435</v>
      </c>
      <c r="Q391" s="159" t="s">
        <v>968</v>
      </c>
      <c r="R391" s="159" t="s">
        <v>1225</v>
      </c>
      <c r="S391" s="165">
        <v>5.3107423177261803E-2</v>
      </c>
      <c r="T391" s="166" t="s">
        <v>382</v>
      </c>
      <c r="U391" s="166"/>
      <c r="V391" s="166"/>
      <c r="W391" s="167">
        <f>IF(BetTable[Sport]="","",BetTable[Stake]+BetTable[S2]+BetTable[S3])</f>
        <v>80</v>
      </c>
      <c r="X391" s="164">
        <f>IF(BetTable[Odds]="","",(BetTable[WBA1-Commission])-BetTable[TS])</f>
        <v>38.08</v>
      </c>
      <c r="Y391" s="168">
        <f>IF(BetTable[Outcome]="","",BetTable[WBA1]+BetTable[WBA2]+BetTable[WBA3]-BetTable[TS])</f>
        <v>-80</v>
      </c>
      <c r="Z391" s="164">
        <f>(((BetTable[Odds]-1)*BetTable[Stake])*(1-(BetTable[Comm %]))+BetTable[Stake])</f>
        <v>118.08</v>
      </c>
      <c r="AA391" s="164">
        <f>(((BetTable[O2]-1)*BetTable[S2])*(1-(BetTable[C% 2]))+BetTable[S2])</f>
        <v>0</v>
      </c>
      <c r="AB391" s="164">
        <f>(((BetTable[O3]-1)*BetTable[S3])*(1-(BetTable[C% 3]))+BetTable[S3])</f>
        <v>0</v>
      </c>
      <c r="AC391" s="165">
        <f>IFERROR(IF(BetTable[Sport]="","",BetTable[R1]/BetTable[TS]),"")</f>
        <v>0.47599999999999998</v>
      </c>
      <c r="AD391" s="165" t="str">
        <f>IF(BetTable[O2]="","",#REF!/BetTable[TS])</f>
        <v/>
      </c>
      <c r="AE391" s="165" t="str">
        <f>IFERROR(IF(BetTable[Sport]="","",#REF!/BetTable[TS]),"")</f>
        <v/>
      </c>
      <c r="AF391" s="164">
        <f>IF(BetTable[Outcome]="Win",BetTable[WBA1-Commission],IF(BetTable[Outcome]="Win Half Stake",(BetTable[Stake]/2)+BetTable[WBA1-Commission]/2,IF(BetTable[Outcome]="Lose Half Stake",BetTable[Stake]/2,IF(BetTable[Outcome]="Lose",0,IF(BetTable[Outcome]="Void",BetTable[Stake],)))))</f>
        <v>0</v>
      </c>
      <c r="AG391" s="164">
        <f>IF(BetTable[Outcome2]="Win",BetTable[WBA2-Commission],IF(BetTable[Outcome2]="Win Half Stake",(BetTable[S2]/2)+BetTable[WBA2-Commission]/2,IF(BetTable[Outcome2]="Lose Half Stake",BetTable[S2]/2,IF(BetTable[Outcome2]="Lose",0,IF(BetTable[Outcome2]="Void",BetTable[S2],)))))</f>
        <v>0</v>
      </c>
      <c r="AH391" s="164">
        <f>IF(BetTable[Outcome3]="Win",BetTable[WBA3-Commission],IF(BetTable[Outcome3]="Win Half Stake",(BetTable[S3]/2)+BetTable[WBA3-Commission]/2,IF(BetTable[Outcome3]="Lose Half Stake",BetTable[S3]/2,IF(BetTable[Outcome3]="Lose",0,IF(BetTable[Outcome3]="Void",BetTable[S3],)))))</f>
        <v>0</v>
      </c>
      <c r="AI391" s="168">
        <f>IF(BetTable[Outcome]="",AI390,BetTable[Result]+AI390)</f>
        <v>711.29425000000037</v>
      </c>
      <c r="AJ391" s="160"/>
    </row>
    <row r="392" spans="1:36" x14ac:dyDescent="0.2">
      <c r="A392" s="159" t="s">
        <v>1202</v>
      </c>
      <c r="B392" s="160" t="s">
        <v>200</v>
      </c>
      <c r="C392" s="161" t="s">
        <v>91</v>
      </c>
      <c r="D392" s="161"/>
      <c r="E392" s="161"/>
      <c r="F392" s="162"/>
      <c r="G392" s="162"/>
      <c r="H392" s="162"/>
      <c r="I392" s="160" t="s">
        <v>1226</v>
      </c>
      <c r="J392" s="163">
        <v>1.7</v>
      </c>
      <c r="K392" s="163"/>
      <c r="L392" s="163"/>
      <c r="M392" s="164">
        <v>26</v>
      </c>
      <c r="N392" s="164"/>
      <c r="O392" s="164"/>
      <c r="P392" s="159" t="s">
        <v>360</v>
      </c>
      <c r="Q392" s="159" t="s">
        <v>474</v>
      </c>
      <c r="R392" s="159" t="s">
        <v>1227</v>
      </c>
      <c r="S392" s="165">
        <v>1.5404311402949801E-2</v>
      </c>
      <c r="T392" s="166" t="s">
        <v>383</v>
      </c>
      <c r="U392" s="166"/>
      <c r="V392" s="166"/>
      <c r="W392" s="167">
        <f>IF(BetTable[Sport]="","",BetTable[Stake]+BetTable[S2]+BetTable[S3])</f>
        <v>26</v>
      </c>
      <c r="X392" s="164">
        <f>IF(BetTable[Odds]="","",(BetTable[WBA1-Commission])-BetTable[TS])</f>
        <v>18.200000000000003</v>
      </c>
      <c r="Y392" s="168">
        <f>IF(BetTable[Outcome]="","",BetTable[WBA1]+BetTable[WBA2]+BetTable[WBA3]-BetTable[TS])</f>
        <v>0</v>
      </c>
      <c r="Z392" s="164">
        <f>(((BetTable[Odds]-1)*BetTable[Stake])*(1-(BetTable[Comm %]))+BetTable[Stake])</f>
        <v>44.2</v>
      </c>
      <c r="AA392" s="164">
        <f>(((BetTable[O2]-1)*BetTable[S2])*(1-(BetTable[C% 2]))+BetTable[S2])</f>
        <v>0</v>
      </c>
      <c r="AB392" s="164">
        <f>(((BetTable[O3]-1)*BetTable[S3])*(1-(BetTable[C% 3]))+BetTable[S3])</f>
        <v>0</v>
      </c>
      <c r="AC392" s="165">
        <f>IFERROR(IF(BetTable[Sport]="","",BetTable[R1]/BetTable[TS]),"")</f>
        <v>0.70000000000000007</v>
      </c>
      <c r="AD392" s="165" t="str">
        <f>IF(BetTable[O2]="","",#REF!/BetTable[TS])</f>
        <v/>
      </c>
      <c r="AE392" s="165" t="str">
        <f>IFERROR(IF(BetTable[Sport]="","",#REF!/BetTable[TS]),"")</f>
        <v/>
      </c>
      <c r="AF392" s="164">
        <f>IF(BetTable[Outcome]="Win",BetTable[WBA1-Commission],IF(BetTable[Outcome]="Win Half Stake",(BetTable[Stake]/2)+BetTable[WBA1-Commission]/2,IF(BetTable[Outcome]="Lose Half Stake",BetTable[Stake]/2,IF(BetTable[Outcome]="Lose",0,IF(BetTable[Outcome]="Void",BetTable[Stake],)))))</f>
        <v>26</v>
      </c>
      <c r="AG392" s="164">
        <f>IF(BetTable[Outcome2]="Win",BetTable[WBA2-Commission],IF(BetTable[Outcome2]="Win Half Stake",(BetTable[S2]/2)+BetTable[WBA2-Commission]/2,IF(BetTable[Outcome2]="Lose Half Stake",BetTable[S2]/2,IF(BetTable[Outcome2]="Lose",0,IF(BetTable[Outcome2]="Void",BetTable[S2],)))))</f>
        <v>0</v>
      </c>
      <c r="AH392" s="164">
        <f>IF(BetTable[Outcome3]="Win",BetTable[WBA3-Commission],IF(BetTable[Outcome3]="Win Half Stake",(BetTable[S3]/2)+BetTable[WBA3-Commission]/2,IF(BetTable[Outcome3]="Lose Half Stake",BetTable[S3]/2,IF(BetTable[Outcome3]="Lose",0,IF(BetTable[Outcome3]="Void",BetTable[S3],)))))</f>
        <v>0</v>
      </c>
      <c r="AI392" s="168">
        <f>IF(BetTable[Outcome]="",AI391,BetTable[Result]+AI391)</f>
        <v>711.29425000000037</v>
      </c>
      <c r="AJ392" s="160"/>
    </row>
    <row r="393" spans="1:36" x14ac:dyDescent="0.2">
      <c r="A393" s="159" t="s">
        <v>1202</v>
      </c>
      <c r="B393" s="160" t="s">
        <v>200</v>
      </c>
      <c r="C393" s="161" t="s">
        <v>91</v>
      </c>
      <c r="D393" s="161"/>
      <c r="E393" s="161"/>
      <c r="F393" s="162"/>
      <c r="G393" s="162"/>
      <c r="H393" s="162"/>
      <c r="I393" s="160" t="s">
        <v>1228</v>
      </c>
      <c r="J393" s="163">
        <v>2.2200000000000002</v>
      </c>
      <c r="K393" s="163"/>
      <c r="L393" s="163"/>
      <c r="M393" s="164">
        <v>20</v>
      </c>
      <c r="N393" s="164"/>
      <c r="O393" s="164"/>
      <c r="P393" s="159" t="s">
        <v>428</v>
      </c>
      <c r="Q393" s="159" t="s">
        <v>547</v>
      </c>
      <c r="R393" s="159" t="s">
        <v>1229</v>
      </c>
      <c r="S393" s="165">
        <v>2.0712267297791801E-2</v>
      </c>
      <c r="T393" s="166" t="s">
        <v>382</v>
      </c>
      <c r="U393" s="166"/>
      <c r="V393" s="166"/>
      <c r="W393" s="167">
        <f>IF(BetTable[Sport]="","",BetTable[Stake]+BetTable[S2]+BetTable[S3])</f>
        <v>20</v>
      </c>
      <c r="X393" s="164">
        <f>IF(BetTable[Odds]="","",(BetTable[WBA1-Commission])-BetTable[TS])</f>
        <v>24.400000000000006</v>
      </c>
      <c r="Y393" s="168">
        <f>IF(BetTable[Outcome]="","",BetTable[WBA1]+BetTable[WBA2]+BetTable[WBA3]-BetTable[TS])</f>
        <v>-20</v>
      </c>
      <c r="Z393" s="164">
        <f>(((BetTable[Odds]-1)*BetTable[Stake])*(1-(BetTable[Comm %]))+BetTable[Stake])</f>
        <v>44.400000000000006</v>
      </c>
      <c r="AA393" s="164">
        <f>(((BetTable[O2]-1)*BetTable[S2])*(1-(BetTable[C% 2]))+BetTable[S2])</f>
        <v>0</v>
      </c>
      <c r="AB393" s="164">
        <f>(((BetTable[O3]-1)*BetTable[S3])*(1-(BetTable[C% 3]))+BetTable[S3])</f>
        <v>0</v>
      </c>
      <c r="AC393" s="165">
        <f>IFERROR(IF(BetTable[Sport]="","",BetTable[R1]/BetTable[TS]),"")</f>
        <v>1.2200000000000002</v>
      </c>
      <c r="AD393" s="165" t="str">
        <f>IF(BetTable[O2]="","",#REF!/BetTable[TS])</f>
        <v/>
      </c>
      <c r="AE393" s="165" t="str">
        <f>IFERROR(IF(BetTable[Sport]="","",#REF!/BetTable[TS]),"")</f>
        <v/>
      </c>
      <c r="AF393" s="164">
        <f>IF(BetTable[Outcome]="Win",BetTable[WBA1-Commission],IF(BetTable[Outcome]="Win Half Stake",(BetTable[Stake]/2)+BetTable[WBA1-Commission]/2,IF(BetTable[Outcome]="Lose Half Stake",BetTable[Stake]/2,IF(BetTable[Outcome]="Lose",0,IF(BetTable[Outcome]="Void",BetTable[Stake],)))))</f>
        <v>0</v>
      </c>
      <c r="AG393" s="164">
        <f>IF(BetTable[Outcome2]="Win",BetTable[WBA2-Commission],IF(BetTable[Outcome2]="Win Half Stake",(BetTable[S2]/2)+BetTable[WBA2-Commission]/2,IF(BetTable[Outcome2]="Lose Half Stake",BetTable[S2]/2,IF(BetTable[Outcome2]="Lose",0,IF(BetTable[Outcome2]="Void",BetTable[S2],)))))</f>
        <v>0</v>
      </c>
      <c r="AH393" s="164">
        <f>IF(BetTable[Outcome3]="Win",BetTable[WBA3-Commission],IF(BetTable[Outcome3]="Win Half Stake",(BetTable[S3]/2)+BetTable[WBA3-Commission]/2,IF(BetTable[Outcome3]="Lose Half Stake",BetTable[S3]/2,IF(BetTable[Outcome3]="Lose",0,IF(BetTable[Outcome3]="Void",BetTable[S3],)))))</f>
        <v>0</v>
      </c>
      <c r="AI393" s="168">
        <f>IF(BetTable[Outcome]="",AI392,BetTable[Result]+AI392)</f>
        <v>691.29425000000037</v>
      </c>
      <c r="AJ393" s="160"/>
    </row>
    <row r="394" spans="1:36" x14ac:dyDescent="0.2">
      <c r="A394" s="159" t="s">
        <v>1202</v>
      </c>
      <c r="B394" s="160" t="s">
        <v>8</v>
      </c>
      <c r="C394" s="161" t="s">
        <v>91</v>
      </c>
      <c r="D394" s="161"/>
      <c r="E394" s="161"/>
      <c r="F394" s="162"/>
      <c r="G394" s="162"/>
      <c r="H394" s="162"/>
      <c r="I394" s="160" t="s">
        <v>1230</v>
      </c>
      <c r="J394" s="163">
        <v>3.17</v>
      </c>
      <c r="K394" s="163"/>
      <c r="L394" s="163"/>
      <c r="M394" s="164">
        <v>14</v>
      </c>
      <c r="N394" s="164"/>
      <c r="O394" s="164"/>
      <c r="P394" s="159" t="s">
        <v>428</v>
      </c>
      <c r="Q394" s="159" t="s">
        <v>818</v>
      </c>
      <c r="R394" s="159" t="s">
        <v>1231</v>
      </c>
      <c r="S394" s="165">
        <v>2.48977879559245E-2</v>
      </c>
      <c r="T394" s="166" t="s">
        <v>382</v>
      </c>
      <c r="U394" s="166"/>
      <c r="V394" s="166"/>
      <c r="W394" s="167">
        <f>IF(BetTable[Sport]="","",BetTable[Stake]+BetTable[S2]+BetTable[S3])</f>
        <v>14</v>
      </c>
      <c r="X394" s="164">
        <f>IF(BetTable[Odds]="","",(BetTable[WBA1-Commission])-BetTable[TS])</f>
        <v>30.379999999999995</v>
      </c>
      <c r="Y394" s="168">
        <f>IF(BetTable[Outcome]="","",BetTable[WBA1]+BetTable[WBA2]+BetTable[WBA3]-BetTable[TS])</f>
        <v>-14</v>
      </c>
      <c r="Z394" s="164">
        <f>(((BetTable[Odds]-1)*BetTable[Stake])*(1-(BetTable[Comm %]))+BetTable[Stake])</f>
        <v>44.379999999999995</v>
      </c>
      <c r="AA394" s="164">
        <f>(((BetTable[O2]-1)*BetTable[S2])*(1-(BetTable[C% 2]))+BetTable[S2])</f>
        <v>0</v>
      </c>
      <c r="AB394" s="164">
        <f>(((BetTable[O3]-1)*BetTable[S3])*(1-(BetTable[C% 3]))+BetTable[S3])</f>
        <v>0</v>
      </c>
      <c r="AC394" s="165">
        <f>IFERROR(IF(BetTable[Sport]="","",BetTable[R1]/BetTable[TS]),"")</f>
        <v>2.1699999999999995</v>
      </c>
      <c r="AD394" s="165" t="str">
        <f>IF(BetTable[O2]="","",#REF!/BetTable[TS])</f>
        <v/>
      </c>
      <c r="AE394" s="165" t="str">
        <f>IFERROR(IF(BetTable[Sport]="","",#REF!/BetTable[TS]),"")</f>
        <v/>
      </c>
      <c r="AF394" s="164">
        <f>IF(BetTable[Outcome]="Win",BetTable[WBA1-Commission],IF(BetTable[Outcome]="Win Half Stake",(BetTable[Stake]/2)+BetTable[WBA1-Commission]/2,IF(BetTable[Outcome]="Lose Half Stake",BetTable[Stake]/2,IF(BetTable[Outcome]="Lose",0,IF(BetTable[Outcome]="Void",BetTable[Stake],)))))</f>
        <v>0</v>
      </c>
      <c r="AG394" s="164">
        <f>IF(BetTable[Outcome2]="Win",BetTable[WBA2-Commission],IF(BetTable[Outcome2]="Win Half Stake",(BetTable[S2]/2)+BetTable[WBA2-Commission]/2,IF(BetTable[Outcome2]="Lose Half Stake",BetTable[S2]/2,IF(BetTable[Outcome2]="Lose",0,IF(BetTable[Outcome2]="Void",BetTable[S2],)))))</f>
        <v>0</v>
      </c>
      <c r="AH394" s="164">
        <f>IF(BetTable[Outcome3]="Win",BetTable[WBA3-Commission],IF(BetTable[Outcome3]="Win Half Stake",(BetTable[S3]/2)+BetTable[WBA3-Commission]/2,IF(BetTable[Outcome3]="Lose Half Stake",BetTable[S3]/2,IF(BetTable[Outcome3]="Lose",0,IF(BetTable[Outcome3]="Void",BetTable[S3],)))))</f>
        <v>0</v>
      </c>
      <c r="AI394" s="168">
        <f>IF(BetTable[Outcome]="",AI393,BetTable[Result]+AI393)</f>
        <v>677.29425000000037</v>
      </c>
      <c r="AJ394" s="160"/>
    </row>
    <row r="395" spans="1:36" x14ac:dyDescent="0.2">
      <c r="A395" s="159" t="s">
        <v>1202</v>
      </c>
      <c r="B395" s="160" t="s">
        <v>200</v>
      </c>
      <c r="C395" s="161" t="s">
        <v>91</v>
      </c>
      <c r="D395" s="161"/>
      <c r="E395" s="161"/>
      <c r="F395" s="162"/>
      <c r="G395" s="162"/>
      <c r="H395" s="162"/>
      <c r="I395" s="160" t="s">
        <v>1232</v>
      </c>
      <c r="J395" s="163">
        <v>2.11</v>
      </c>
      <c r="K395" s="163"/>
      <c r="L395" s="163"/>
      <c r="M395" s="164">
        <v>17</v>
      </c>
      <c r="N395" s="164"/>
      <c r="O395" s="164"/>
      <c r="P395" s="159" t="s">
        <v>1086</v>
      </c>
      <c r="Q395" s="159" t="s">
        <v>491</v>
      </c>
      <c r="R395" s="159" t="s">
        <v>1233</v>
      </c>
      <c r="S395" s="165">
        <v>1.55747398695477E-2</v>
      </c>
      <c r="T395" s="166" t="s">
        <v>382</v>
      </c>
      <c r="U395" s="166"/>
      <c r="V395" s="166"/>
      <c r="W395" s="167">
        <f>IF(BetTable[Sport]="","",BetTable[Stake]+BetTable[S2]+BetTable[S3])</f>
        <v>17</v>
      </c>
      <c r="X395" s="164">
        <f>IF(BetTable[Odds]="","",(BetTable[WBA1-Commission])-BetTable[TS])</f>
        <v>18.869999999999997</v>
      </c>
      <c r="Y395" s="168">
        <f>IF(BetTable[Outcome]="","",BetTable[WBA1]+BetTable[WBA2]+BetTable[WBA3]-BetTable[TS])</f>
        <v>-17</v>
      </c>
      <c r="Z395" s="164">
        <f>(((BetTable[Odds]-1)*BetTable[Stake])*(1-(BetTable[Comm %]))+BetTable[Stake])</f>
        <v>35.869999999999997</v>
      </c>
      <c r="AA395" s="164">
        <f>(((BetTable[O2]-1)*BetTable[S2])*(1-(BetTable[C% 2]))+BetTable[S2])</f>
        <v>0</v>
      </c>
      <c r="AB395" s="164">
        <f>(((BetTable[O3]-1)*BetTable[S3])*(1-(BetTable[C% 3]))+BetTable[S3])</f>
        <v>0</v>
      </c>
      <c r="AC395" s="165">
        <f>IFERROR(IF(BetTable[Sport]="","",BetTable[R1]/BetTable[TS]),"")</f>
        <v>1.1099999999999999</v>
      </c>
      <c r="AD395" s="165" t="str">
        <f>IF(BetTable[O2]="","",#REF!/BetTable[TS])</f>
        <v/>
      </c>
      <c r="AE395" s="165" t="str">
        <f>IFERROR(IF(BetTable[Sport]="","",#REF!/BetTable[TS]),"")</f>
        <v/>
      </c>
      <c r="AF395" s="164">
        <f>IF(BetTable[Outcome]="Win",BetTable[WBA1-Commission],IF(BetTable[Outcome]="Win Half Stake",(BetTable[Stake]/2)+BetTable[WBA1-Commission]/2,IF(BetTable[Outcome]="Lose Half Stake",BetTable[Stake]/2,IF(BetTable[Outcome]="Lose",0,IF(BetTable[Outcome]="Void",BetTable[Stake],)))))</f>
        <v>0</v>
      </c>
      <c r="AG395" s="164">
        <f>IF(BetTable[Outcome2]="Win",BetTable[WBA2-Commission],IF(BetTable[Outcome2]="Win Half Stake",(BetTable[S2]/2)+BetTable[WBA2-Commission]/2,IF(BetTable[Outcome2]="Lose Half Stake",BetTable[S2]/2,IF(BetTable[Outcome2]="Lose",0,IF(BetTable[Outcome2]="Void",BetTable[S2],)))))</f>
        <v>0</v>
      </c>
      <c r="AH395" s="164">
        <f>IF(BetTable[Outcome3]="Win",BetTable[WBA3-Commission],IF(BetTable[Outcome3]="Win Half Stake",(BetTable[S3]/2)+BetTable[WBA3-Commission]/2,IF(BetTable[Outcome3]="Lose Half Stake",BetTable[S3]/2,IF(BetTable[Outcome3]="Lose",0,IF(BetTable[Outcome3]="Void",BetTable[S3],)))))</f>
        <v>0</v>
      </c>
      <c r="AI395" s="168">
        <f>IF(BetTable[Outcome]="",AI394,BetTable[Result]+AI394)</f>
        <v>660.29425000000037</v>
      </c>
      <c r="AJ395" s="160"/>
    </row>
    <row r="396" spans="1:36" x14ac:dyDescent="0.2">
      <c r="A396" s="159" t="s">
        <v>1202</v>
      </c>
      <c r="B396" s="160" t="s">
        <v>200</v>
      </c>
      <c r="C396" s="161" t="s">
        <v>216</v>
      </c>
      <c r="D396" s="161"/>
      <c r="E396" s="161"/>
      <c r="F396" s="162"/>
      <c r="G396" s="162"/>
      <c r="H396" s="162"/>
      <c r="I396" s="160" t="s">
        <v>1234</v>
      </c>
      <c r="J396" s="163">
        <v>1.7190000000000001</v>
      </c>
      <c r="K396" s="163"/>
      <c r="L396" s="163"/>
      <c r="M396" s="164">
        <v>30</v>
      </c>
      <c r="N396" s="164"/>
      <c r="O396" s="164"/>
      <c r="P396" s="159" t="s">
        <v>1235</v>
      </c>
      <c r="Q396" s="159" t="s">
        <v>547</v>
      </c>
      <c r="R396" s="159" t="s">
        <v>1236</v>
      </c>
      <c r="S396" s="165">
        <v>1.7511740420942098E-2</v>
      </c>
      <c r="T396" s="166" t="s">
        <v>372</v>
      </c>
      <c r="U396" s="166"/>
      <c r="V396" s="166"/>
      <c r="W396" s="167">
        <f>IF(BetTable[Sport]="","",BetTable[Stake]+BetTable[S2]+BetTable[S3])</f>
        <v>30</v>
      </c>
      <c r="X396" s="164">
        <f>IF(BetTable[Odds]="","",(BetTable[WBA1-Commission])-BetTable[TS])</f>
        <v>21.570000000000007</v>
      </c>
      <c r="Y396" s="168">
        <f>IF(BetTable[Outcome]="","",BetTable[WBA1]+BetTable[WBA2]+BetTable[WBA3]-BetTable[TS])</f>
        <v>21.570000000000007</v>
      </c>
      <c r="Z396" s="164">
        <f>(((BetTable[Odds]-1)*BetTable[Stake])*(1-(BetTable[Comm %]))+BetTable[Stake])</f>
        <v>51.570000000000007</v>
      </c>
      <c r="AA396" s="164">
        <f>(((BetTable[O2]-1)*BetTable[S2])*(1-(BetTable[C% 2]))+BetTable[S2])</f>
        <v>0</v>
      </c>
      <c r="AB396" s="164">
        <f>(((BetTable[O3]-1)*BetTable[S3])*(1-(BetTable[C% 3]))+BetTable[S3])</f>
        <v>0</v>
      </c>
      <c r="AC396" s="165">
        <f>IFERROR(IF(BetTable[Sport]="","",BetTable[R1]/BetTable[TS]),"")</f>
        <v>0.71900000000000019</v>
      </c>
      <c r="AD396" s="165" t="str">
        <f>IF(BetTable[O2]="","",#REF!/BetTable[TS])</f>
        <v/>
      </c>
      <c r="AE396" s="165" t="str">
        <f>IFERROR(IF(BetTable[Sport]="","",#REF!/BetTable[TS]),"")</f>
        <v/>
      </c>
      <c r="AF396" s="164">
        <f>IF(BetTable[Outcome]="Win",BetTable[WBA1-Commission],IF(BetTable[Outcome]="Win Half Stake",(BetTable[Stake]/2)+BetTable[WBA1-Commission]/2,IF(BetTable[Outcome]="Lose Half Stake",BetTable[Stake]/2,IF(BetTable[Outcome]="Lose",0,IF(BetTable[Outcome]="Void",BetTable[Stake],)))))</f>
        <v>51.570000000000007</v>
      </c>
      <c r="AG396" s="164">
        <f>IF(BetTable[Outcome2]="Win",BetTable[WBA2-Commission],IF(BetTable[Outcome2]="Win Half Stake",(BetTable[S2]/2)+BetTable[WBA2-Commission]/2,IF(BetTable[Outcome2]="Lose Half Stake",BetTable[S2]/2,IF(BetTable[Outcome2]="Lose",0,IF(BetTable[Outcome2]="Void",BetTable[S2],)))))</f>
        <v>0</v>
      </c>
      <c r="AH396" s="164">
        <f>IF(BetTable[Outcome3]="Win",BetTable[WBA3-Commission],IF(BetTable[Outcome3]="Win Half Stake",(BetTable[S3]/2)+BetTable[WBA3-Commission]/2,IF(BetTable[Outcome3]="Lose Half Stake",BetTable[S3]/2,IF(BetTable[Outcome3]="Lose",0,IF(BetTable[Outcome3]="Void",BetTable[S3],)))))</f>
        <v>0</v>
      </c>
      <c r="AI396" s="168">
        <f>IF(BetTable[Outcome]="",AI395,BetTable[Result]+AI395)</f>
        <v>681.86425000000042</v>
      </c>
      <c r="AJ396" s="160"/>
    </row>
    <row r="397" spans="1:36" x14ac:dyDescent="0.2">
      <c r="A397" s="159" t="s">
        <v>1202</v>
      </c>
      <c r="B397" s="160" t="s">
        <v>200</v>
      </c>
      <c r="C397" s="161" t="s">
        <v>234</v>
      </c>
      <c r="D397" s="161"/>
      <c r="E397" s="161"/>
      <c r="F397" s="162"/>
      <c r="G397" s="162"/>
      <c r="H397" s="162"/>
      <c r="I397" s="160" t="s">
        <v>1237</v>
      </c>
      <c r="J397" s="163">
        <v>1.99</v>
      </c>
      <c r="K397" s="163"/>
      <c r="L397" s="163"/>
      <c r="M397" s="164">
        <v>13</v>
      </c>
      <c r="N397" s="164"/>
      <c r="O397" s="164"/>
      <c r="P397" s="159" t="s">
        <v>864</v>
      </c>
      <c r="Q397" s="159" t="s">
        <v>503</v>
      </c>
      <c r="R397" s="159" t="s">
        <v>1238</v>
      </c>
      <c r="S397" s="165">
        <v>1.0873363107440401E-2</v>
      </c>
      <c r="T397" s="166" t="s">
        <v>382</v>
      </c>
      <c r="U397" s="166"/>
      <c r="V397" s="166"/>
      <c r="W397" s="167">
        <f>IF(BetTable[Sport]="","",BetTable[Stake]+BetTable[S2]+BetTable[S3])</f>
        <v>13</v>
      </c>
      <c r="X397" s="164">
        <f>IF(BetTable[Odds]="","",(BetTable[WBA1-Commission])-BetTable[TS])</f>
        <v>12.869999999999997</v>
      </c>
      <c r="Y397" s="168">
        <f>IF(BetTable[Outcome]="","",BetTable[WBA1]+BetTable[WBA2]+BetTable[WBA3]-BetTable[TS])</f>
        <v>-13</v>
      </c>
      <c r="Z397" s="164">
        <f>(((BetTable[Odds]-1)*BetTable[Stake])*(1-(BetTable[Comm %]))+BetTable[Stake])</f>
        <v>25.869999999999997</v>
      </c>
      <c r="AA397" s="164">
        <f>(((BetTable[O2]-1)*BetTable[S2])*(1-(BetTable[C% 2]))+BetTable[S2])</f>
        <v>0</v>
      </c>
      <c r="AB397" s="164">
        <f>(((BetTable[O3]-1)*BetTable[S3])*(1-(BetTable[C% 3]))+BetTable[S3])</f>
        <v>0</v>
      </c>
      <c r="AC397" s="165">
        <f>IFERROR(IF(BetTable[Sport]="","",BetTable[R1]/BetTable[TS]),"")</f>
        <v>0.98999999999999977</v>
      </c>
      <c r="AD397" s="165" t="str">
        <f>IF(BetTable[O2]="","",#REF!/BetTable[TS])</f>
        <v/>
      </c>
      <c r="AE397" s="165" t="str">
        <f>IFERROR(IF(BetTable[Sport]="","",#REF!/BetTable[TS]),"")</f>
        <v/>
      </c>
      <c r="AF397" s="164">
        <f>IF(BetTable[Outcome]="Win",BetTable[WBA1-Commission],IF(BetTable[Outcome]="Win Half Stake",(BetTable[Stake]/2)+BetTable[WBA1-Commission]/2,IF(BetTable[Outcome]="Lose Half Stake",BetTable[Stake]/2,IF(BetTable[Outcome]="Lose",0,IF(BetTable[Outcome]="Void",BetTable[Stake],)))))</f>
        <v>0</v>
      </c>
      <c r="AG397" s="164">
        <f>IF(BetTable[Outcome2]="Win",BetTable[WBA2-Commission],IF(BetTable[Outcome2]="Win Half Stake",(BetTable[S2]/2)+BetTable[WBA2-Commission]/2,IF(BetTable[Outcome2]="Lose Half Stake",BetTable[S2]/2,IF(BetTable[Outcome2]="Lose",0,IF(BetTable[Outcome2]="Void",BetTable[S2],)))))</f>
        <v>0</v>
      </c>
      <c r="AH397" s="164">
        <f>IF(BetTable[Outcome3]="Win",BetTable[WBA3-Commission],IF(BetTable[Outcome3]="Win Half Stake",(BetTable[S3]/2)+BetTable[WBA3-Commission]/2,IF(BetTable[Outcome3]="Lose Half Stake",BetTable[S3]/2,IF(BetTable[Outcome3]="Lose",0,IF(BetTable[Outcome3]="Void",BetTable[S3],)))))</f>
        <v>0</v>
      </c>
      <c r="AI397" s="168">
        <f>IF(BetTable[Outcome]="",AI396,BetTable[Result]+AI396)</f>
        <v>668.86425000000042</v>
      </c>
      <c r="AJ397" s="160"/>
    </row>
    <row r="398" spans="1:36" x14ac:dyDescent="0.2">
      <c r="A398" s="159" t="s">
        <v>1202</v>
      </c>
      <c r="B398" s="160" t="s">
        <v>7</v>
      </c>
      <c r="C398" s="161" t="s">
        <v>91</v>
      </c>
      <c r="D398" s="161"/>
      <c r="E398" s="161"/>
      <c r="F398" s="162"/>
      <c r="G398" s="162"/>
      <c r="H398" s="162"/>
      <c r="I398" s="160" t="s">
        <v>1134</v>
      </c>
      <c r="J398" s="163">
        <v>1.92</v>
      </c>
      <c r="K398" s="163"/>
      <c r="L398" s="163"/>
      <c r="M398" s="164">
        <v>28</v>
      </c>
      <c r="N398" s="164"/>
      <c r="O398" s="164"/>
      <c r="P398" s="159" t="s">
        <v>1239</v>
      </c>
      <c r="Q398" s="159" t="s">
        <v>1136</v>
      </c>
      <c r="R398" s="159" t="s">
        <v>1240</v>
      </c>
      <c r="S398" s="165">
        <v>2.1213497403119199E-2</v>
      </c>
      <c r="T398" s="166" t="s">
        <v>382</v>
      </c>
      <c r="U398" s="166"/>
      <c r="V398" s="166"/>
      <c r="W398" s="167">
        <f>IF(BetTable[Sport]="","",BetTable[Stake]+BetTable[S2]+BetTable[S3])</f>
        <v>28</v>
      </c>
      <c r="X398" s="164">
        <f>IF(BetTable[Odds]="","",(BetTable[WBA1-Commission])-BetTable[TS])</f>
        <v>25.759999999999998</v>
      </c>
      <c r="Y398" s="168">
        <f>IF(BetTable[Outcome]="","",BetTable[WBA1]+BetTable[WBA2]+BetTable[WBA3]-BetTable[TS])</f>
        <v>-28</v>
      </c>
      <c r="Z398" s="164">
        <f>(((BetTable[Odds]-1)*BetTable[Stake])*(1-(BetTable[Comm %]))+BetTable[Stake])</f>
        <v>53.76</v>
      </c>
      <c r="AA398" s="164">
        <f>(((BetTable[O2]-1)*BetTable[S2])*(1-(BetTable[C% 2]))+BetTable[S2])</f>
        <v>0</v>
      </c>
      <c r="AB398" s="164">
        <f>(((BetTable[O3]-1)*BetTable[S3])*(1-(BetTable[C% 3]))+BetTable[S3])</f>
        <v>0</v>
      </c>
      <c r="AC398" s="165">
        <f>IFERROR(IF(BetTable[Sport]="","",BetTable[R1]/BetTable[TS]),"")</f>
        <v>0.91999999999999993</v>
      </c>
      <c r="AD398" s="165" t="str">
        <f>IF(BetTable[O2]="","",#REF!/BetTable[TS])</f>
        <v/>
      </c>
      <c r="AE398" s="165" t="str">
        <f>IFERROR(IF(BetTable[Sport]="","",#REF!/BetTable[TS]),"")</f>
        <v/>
      </c>
      <c r="AF398" s="164">
        <f>IF(BetTable[Outcome]="Win",BetTable[WBA1-Commission],IF(BetTable[Outcome]="Win Half Stake",(BetTable[Stake]/2)+BetTable[WBA1-Commission]/2,IF(BetTable[Outcome]="Lose Half Stake",BetTable[Stake]/2,IF(BetTable[Outcome]="Lose",0,IF(BetTable[Outcome]="Void",BetTable[Stake],)))))</f>
        <v>0</v>
      </c>
      <c r="AG398" s="164">
        <f>IF(BetTable[Outcome2]="Win",BetTable[WBA2-Commission],IF(BetTable[Outcome2]="Win Half Stake",(BetTable[S2]/2)+BetTable[WBA2-Commission]/2,IF(BetTable[Outcome2]="Lose Half Stake",BetTable[S2]/2,IF(BetTable[Outcome2]="Lose",0,IF(BetTable[Outcome2]="Void",BetTable[S2],)))))</f>
        <v>0</v>
      </c>
      <c r="AH398" s="164">
        <f>IF(BetTable[Outcome3]="Win",BetTable[WBA3-Commission],IF(BetTable[Outcome3]="Win Half Stake",(BetTable[S3]/2)+BetTable[WBA3-Commission]/2,IF(BetTable[Outcome3]="Lose Half Stake",BetTable[S3]/2,IF(BetTable[Outcome3]="Lose",0,IF(BetTable[Outcome3]="Void",BetTable[S3],)))))</f>
        <v>0</v>
      </c>
      <c r="AI398" s="168">
        <f>IF(BetTable[Outcome]="",AI397,BetTable[Result]+AI397)</f>
        <v>640.86425000000042</v>
      </c>
      <c r="AJ398" s="160"/>
    </row>
    <row r="399" spans="1:36" x14ac:dyDescent="0.2">
      <c r="A399" s="159" t="s">
        <v>1202</v>
      </c>
      <c r="B399" s="160" t="s">
        <v>200</v>
      </c>
      <c r="C399" s="161" t="s">
        <v>234</v>
      </c>
      <c r="D399" s="161"/>
      <c r="E399" s="161"/>
      <c r="F399" s="162"/>
      <c r="G399" s="162"/>
      <c r="H399" s="162"/>
      <c r="I399" s="160" t="s">
        <v>1241</v>
      </c>
      <c r="J399" s="163">
        <v>1.96</v>
      </c>
      <c r="K399" s="163"/>
      <c r="L399" s="163"/>
      <c r="M399" s="164">
        <v>28</v>
      </c>
      <c r="N399" s="164"/>
      <c r="O399" s="164"/>
      <c r="P399" s="159" t="s">
        <v>351</v>
      </c>
      <c r="Q399" s="159" t="s">
        <v>796</v>
      </c>
      <c r="R399" s="159" t="s">
        <v>1242</v>
      </c>
      <c r="S399" s="165">
        <v>2.2108860496588299E-2</v>
      </c>
      <c r="T399" s="166" t="s">
        <v>372</v>
      </c>
      <c r="U399" s="166"/>
      <c r="V399" s="166"/>
      <c r="W399" s="167">
        <f>IF(BetTable[Sport]="","",BetTable[Stake]+BetTable[S2]+BetTable[S3])</f>
        <v>28</v>
      </c>
      <c r="X399" s="164">
        <f>IF(BetTable[Odds]="","",(BetTable[WBA1-Commission])-BetTable[TS])</f>
        <v>26.879999999999995</v>
      </c>
      <c r="Y399" s="168">
        <f>IF(BetTable[Outcome]="","",BetTable[WBA1]+BetTable[WBA2]+BetTable[WBA3]-BetTable[TS])</f>
        <v>26.879999999999995</v>
      </c>
      <c r="Z399" s="164">
        <f>(((BetTable[Odds]-1)*BetTable[Stake])*(1-(BetTable[Comm %]))+BetTable[Stake])</f>
        <v>54.879999999999995</v>
      </c>
      <c r="AA399" s="164">
        <f>(((BetTable[O2]-1)*BetTable[S2])*(1-(BetTable[C% 2]))+BetTable[S2])</f>
        <v>0</v>
      </c>
      <c r="AB399" s="164">
        <f>(((BetTable[O3]-1)*BetTable[S3])*(1-(BetTable[C% 3]))+BetTable[S3])</f>
        <v>0</v>
      </c>
      <c r="AC399" s="165">
        <f>IFERROR(IF(BetTable[Sport]="","",BetTable[R1]/BetTable[TS]),"")</f>
        <v>0.95999999999999985</v>
      </c>
      <c r="AD399" s="165" t="str">
        <f>IF(BetTable[O2]="","",#REF!/BetTable[TS])</f>
        <v/>
      </c>
      <c r="AE399" s="165" t="str">
        <f>IFERROR(IF(BetTable[Sport]="","",#REF!/BetTable[TS]),"")</f>
        <v/>
      </c>
      <c r="AF399" s="164">
        <f>IF(BetTable[Outcome]="Win",BetTable[WBA1-Commission],IF(BetTable[Outcome]="Win Half Stake",(BetTable[Stake]/2)+BetTable[WBA1-Commission]/2,IF(BetTable[Outcome]="Lose Half Stake",BetTable[Stake]/2,IF(BetTable[Outcome]="Lose",0,IF(BetTable[Outcome]="Void",BetTable[Stake],)))))</f>
        <v>54.879999999999995</v>
      </c>
      <c r="AG399" s="164">
        <f>IF(BetTable[Outcome2]="Win",BetTable[WBA2-Commission],IF(BetTable[Outcome2]="Win Half Stake",(BetTable[S2]/2)+BetTable[WBA2-Commission]/2,IF(BetTable[Outcome2]="Lose Half Stake",BetTable[S2]/2,IF(BetTable[Outcome2]="Lose",0,IF(BetTable[Outcome2]="Void",BetTable[S2],)))))</f>
        <v>0</v>
      </c>
      <c r="AH399" s="164">
        <f>IF(BetTable[Outcome3]="Win",BetTable[WBA3-Commission],IF(BetTable[Outcome3]="Win Half Stake",(BetTable[S3]/2)+BetTable[WBA3-Commission]/2,IF(BetTable[Outcome3]="Lose Half Stake",BetTable[S3]/2,IF(BetTable[Outcome3]="Lose",0,IF(BetTable[Outcome3]="Void",BetTable[S3],)))))</f>
        <v>0</v>
      </c>
      <c r="AI399" s="168">
        <f>IF(BetTable[Outcome]="",AI398,BetTable[Result]+AI398)</f>
        <v>667.74425000000042</v>
      </c>
      <c r="AJ399" s="160"/>
    </row>
    <row r="400" spans="1:36" x14ac:dyDescent="0.2">
      <c r="A400" s="159" t="s">
        <v>1202</v>
      </c>
      <c r="B400" s="160" t="s">
        <v>200</v>
      </c>
      <c r="C400" s="161" t="s">
        <v>91</v>
      </c>
      <c r="D400" s="161"/>
      <c r="E400" s="161"/>
      <c r="F400" s="162"/>
      <c r="G400" s="162"/>
      <c r="H400" s="162"/>
      <c r="I400" s="160" t="s">
        <v>1241</v>
      </c>
      <c r="J400" s="163">
        <v>1.72</v>
      </c>
      <c r="K400" s="163"/>
      <c r="L400" s="163"/>
      <c r="M400" s="164">
        <v>35</v>
      </c>
      <c r="N400" s="164"/>
      <c r="O400" s="164"/>
      <c r="P400" s="159" t="s">
        <v>688</v>
      </c>
      <c r="Q400" s="159" t="s">
        <v>796</v>
      </c>
      <c r="R400" s="159" t="s">
        <v>1243</v>
      </c>
      <c r="S400" s="165">
        <v>2.0710445114537599E-2</v>
      </c>
      <c r="T400" s="166" t="s">
        <v>382</v>
      </c>
      <c r="U400" s="166"/>
      <c r="V400" s="166"/>
      <c r="W400" s="167">
        <f>IF(BetTable[Sport]="","",BetTable[Stake]+BetTable[S2]+BetTable[S3])</f>
        <v>35</v>
      </c>
      <c r="X400" s="164">
        <f>IF(BetTable[Odds]="","",(BetTable[WBA1-Commission])-BetTable[TS])</f>
        <v>25.200000000000003</v>
      </c>
      <c r="Y400" s="168">
        <f>IF(BetTable[Outcome]="","",BetTable[WBA1]+BetTable[WBA2]+BetTable[WBA3]-BetTable[TS])</f>
        <v>-35</v>
      </c>
      <c r="Z400" s="164">
        <f>(((BetTable[Odds]-1)*BetTable[Stake])*(1-(BetTable[Comm %]))+BetTable[Stake])</f>
        <v>60.2</v>
      </c>
      <c r="AA400" s="164">
        <f>(((BetTable[O2]-1)*BetTable[S2])*(1-(BetTable[C% 2]))+BetTable[S2])</f>
        <v>0</v>
      </c>
      <c r="AB400" s="164">
        <f>(((BetTable[O3]-1)*BetTable[S3])*(1-(BetTable[C% 3]))+BetTable[S3])</f>
        <v>0</v>
      </c>
      <c r="AC400" s="165">
        <f>IFERROR(IF(BetTable[Sport]="","",BetTable[R1]/BetTable[TS]),"")</f>
        <v>0.72000000000000008</v>
      </c>
      <c r="AD400" s="165" t="str">
        <f>IF(BetTable[O2]="","",#REF!/BetTable[TS])</f>
        <v/>
      </c>
      <c r="AE400" s="165" t="str">
        <f>IFERROR(IF(BetTable[Sport]="","",#REF!/BetTable[TS]),"")</f>
        <v/>
      </c>
      <c r="AF400" s="164">
        <f>IF(BetTable[Outcome]="Win",BetTable[WBA1-Commission],IF(BetTable[Outcome]="Win Half Stake",(BetTable[Stake]/2)+BetTable[WBA1-Commission]/2,IF(BetTable[Outcome]="Lose Half Stake",BetTable[Stake]/2,IF(BetTable[Outcome]="Lose",0,IF(BetTable[Outcome]="Void",BetTable[Stake],)))))</f>
        <v>0</v>
      </c>
      <c r="AG400" s="164">
        <f>IF(BetTable[Outcome2]="Win",BetTable[WBA2-Commission],IF(BetTable[Outcome2]="Win Half Stake",(BetTable[S2]/2)+BetTable[WBA2-Commission]/2,IF(BetTable[Outcome2]="Lose Half Stake",BetTable[S2]/2,IF(BetTable[Outcome2]="Lose",0,IF(BetTable[Outcome2]="Void",BetTable[S2],)))))</f>
        <v>0</v>
      </c>
      <c r="AH400" s="164">
        <f>IF(BetTable[Outcome3]="Win",BetTable[WBA3-Commission],IF(BetTable[Outcome3]="Win Half Stake",(BetTable[S3]/2)+BetTable[WBA3-Commission]/2,IF(BetTable[Outcome3]="Lose Half Stake",BetTable[S3]/2,IF(BetTable[Outcome3]="Lose",0,IF(BetTable[Outcome3]="Void",BetTable[S3],)))))</f>
        <v>0</v>
      </c>
      <c r="AI400" s="168">
        <f>IF(BetTable[Outcome]="",AI399,BetTable[Result]+AI399)</f>
        <v>632.74425000000042</v>
      </c>
      <c r="AJ400" s="160"/>
    </row>
    <row r="401" spans="1:36" x14ac:dyDescent="0.2">
      <c r="A401" s="159" t="s">
        <v>1202</v>
      </c>
      <c r="B401" s="160" t="s">
        <v>7</v>
      </c>
      <c r="C401" s="161" t="s">
        <v>91</v>
      </c>
      <c r="D401" s="161"/>
      <c r="E401" s="161"/>
      <c r="F401" s="162"/>
      <c r="G401" s="162"/>
      <c r="H401" s="162"/>
      <c r="I401" s="160" t="s">
        <v>1244</v>
      </c>
      <c r="J401" s="163">
        <v>1.92</v>
      </c>
      <c r="K401" s="163"/>
      <c r="L401" s="163"/>
      <c r="M401" s="164">
        <v>24</v>
      </c>
      <c r="N401" s="164"/>
      <c r="O401" s="164"/>
      <c r="P401" s="159" t="s">
        <v>1245</v>
      </c>
      <c r="Q401" s="159" t="s">
        <v>1132</v>
      </c>
      <c r="R401" s="159" t="s">
        <v>1246</v>
      </c>
      <c r="S401" s="165">
        <v>1.8522641977904201E-2</v>
      </c>
      <c r="T401" s="166" t="s">
        <v>372</v>
      </c>
      <c r="U401" s="166"/>
      <c r="V401" s="166"/>
      <c r="W401" s="167">
        <f>IF(BetTable[Sport]="","",BetTable[Stake]+BetTable[S2]+BetTable[S3])</f>
        <v>24</v>
      </c>
      <c r="X401" s="164">
        <f>IF(BetTable[Odds]="","",(BetTable[WBA1-Commission])-BetTable[TS])</f>
        <v>22.08</v>
      </c>
      <c r="Y401" s="168">
        <f>IF(BetTable[Outcome]="","",BetTable[WBA1]+BetTable[WBA2]+BetTable[WBA3]-BetTable[TS])</f>
        <v>22.08</v>
      </c>
      <c r="Z401" s="164">
        <f>(((BetTable[Odds]-1)*BetTable[Stake])*(1-(BetTable[Comm %]))+BetTable[Stake])</f>
        <v>46.08</v>
      </c>
      <c r="AA401" s="164">
        <f>(((BetTable[O2]-1)*BetTable[S2])*(1-(BetTable[C% 2]))+BetTable[S2])</f>
        <v>0</v>
      </c>
      <c r="AB401" s="164">
        <f>(((BetTable[O3]-1)*BetTable[S3])*(1-(BetTable[C% 3]))+BetTable[S3])</f>
        <v>0</v>
      </c>
      <c r="AC401" s="165">
        <f>IFERROR(IF(BetTable[Sport]="","",BetTable[R1]/BetTable[TS]),"")</f>
        <v>0.91999999999999993</v>
      </c>
      <c r="AD401" s="165" t="str">
        <f>IF(BetTable[O2]="","",#REF!/BetTable[TS])</f>
        <v/>
      </c>
      <c r="AE401" s="165" t="str">
        <f>IFERROR(IF(BetTable[Sport]="","",#REF!/BetTable[TS]),"")</f>
        <v/>
      </c>
      <c r="AF401" s="164">
        <f>IF(BetTable[Outcome]="Win",BetTable[WBA1-Commission],IF(BetTable[Outcome]="Win Half Stake",(BetTable[Stake]/2)+BetTable[WBA1-Commission]/2,IF(BetTable[Outcome]="Lose Half Stake",BetTable[Stake]/2,IF(BetTable[Outcome]="Lose",0,IF(BetTable[Outcome]="Void",BetTable[Stake],)))))</f>
        <v>46.08</v>
      </c>
      <c r="AG401" s="164">
        <f>IF(BetTable[Outcome2]="Win",BetTable[WBA2-Commission],IF(BetTable[Outcome2]="Win Half Stake",(BetTable[S2]/2)+BetTable[WBA2-Commission]/2,IF(BetTable[Outcome2]="Lose Half Stake",BetTable[S2]/2,IF(BetTable[Outcome2]="Lose",0,IF(BetTable[Outcome2]="Void",BetTable[S2],)))))</f>
        <v>0</v>
      </c>
      <c r="AH401" s="164">
        <f>IF(BetTable[Outcome3]="Win",BetTable[WBA3-Commission],IF(BetTable[Outcome3]="Win Half Stake",(BetTable[S3]/2)+BetTable[WBA3-Commission]/2,IF(BetTable[Outcome3]="Lose Half Stake",BetTable[S3]/2,IF(BetTable[Outcome3]="Lose",0,IF(BetTable[Outcome3]="Void",BetTable[S3],)))))</f>
        <v>0</v>
      </c>
      <c r="AI401" s="168">
        <f>IF(BetTable[Outcome]="",AI400,BetTable[Result]+AI400)</f>
        <v>654.82425000000046</v>
      </c>
      <c r="AJ401" s="160"/>
    </row>
    <row r="402" spans="1:36" x14ac:dyDescent="0.2">
      <c r="A402" s="159" t="s">
        <v>1202</v>
      </c>
      <c r="B402" s="160" t="s">
        <v>200</v>
      </c>
      <c r="C402" s="161" t="s">
        <v>91</v>
      </c>
      <c r="D402" s="161"/>
      <c r="E402" s="161"/>
      <c r="F402" s="162"/>
      <c r="G402" s="162"/>
      <c r="H402" s="162"/>
      <c r="I402" s="160" t="s">
        <v>1247</v>
      </c>
      <c r="J402" s="163">
        <v>1.93</v>
      </c>
      <c r="K402" s="163"/>
      <c r="L402" s="163"/>
      <c r="M402" s="164">
        <v>21</v>
      </c>
      <c r="N402" s="164"/>
      <c r="O402" s="164"/>
      <c r="P402" s="159" t="s">
        <v>668</v>
      </c>
      <c r="Q402" s="159" t="s">
        <v>488</v>
      </c>
      <c r="R402" s="159" t="s">
        <v>1248</v>
      </c>
      <c r="S402" s="165">
        <v>1.6607071330366999E-2</v>
      </c>
      <c r="T402" s="166" t="s">
        <v>383</v>
      </c>
      <c r="U402" s="166"/>
      <c r="V402" s="166"/>
      <c r="W402" s="167">
        <f>IF(BetTable[Sport]="","",BetTable[Stake]+BetTable[S2]+BetTable[S3])</f>
        <v>21</v>
      </c>
      <c r="X402" s="164">
        <f>IF(BetTable[Odds]="","",(BetTable[WBA1-Commission])-BetTable[TS])</f>
        <v>19.53</v>
      </c>
      <c r="Y402" s="168">
        <f>IF(BetTable[Outcome]="","",BetTable[WBA1]+BetTable[WBA2]+BetTable[WBA3]-BetTable[TS])</f>
        <v>0</v>
      </c>
      <c r="Z402" s="164">
        <f>(((BetTable[Odds]-1)*BetTable[Stake])*(1-(BetTable[Comm %]))+BetTable[Stake])</f>
        <v>40.53</v>
      </c>
      <c r="AA402" s="164">
        <f>(((BetTable[O2]-1)*BetTable[S2])*(1-(BetTable[C% 2]))+BetTable[S2])</f>
        <v>0</v>
      </c>
      <c r="AB402" s="164">
        <f>(((BetTable[O3]-1)*BetTable[S3])*(1-(BetTable[C% 3]))+BetTable[S3])</f>
        <v>0</v>
      </c>
      <c r="AC402" s="165">
        <f>IFERROR(IF(BetTable[Sport]="","",BetTable[R1]/BetTable[TS]),"")</f>
        <v>0.93</v>
      </c>
      <c r="AD402" s="165" t="str">
        <f>IF(BetTable[O2]="","",#REF!/BetTable[TS])</f>
        <v/>
      </c>
      <c r="AE402" s="165" t="str">
        <f>IFERROR(IF(BetTable[Sport]="","",#REF!/BetTable[TS]),"")</f>
        <v/>
      </c>
      <c r="AF402" s="164">
        <f>IF(BetTable[Outcome]="Win",BetTable[WBA1-Commission],IF(BetTable[Outcome]="Win Half Stake",(BetTable[Stake]/2)+BetTable[WBA1-Commission]/2,IF(BetTable[Outcome]="Lose Half Stake",BetTable[Stake]/2,IF(BetTable[Outcome]="Lose",0,IF(BetTable[Outcome]="Void",BetTable[Stake],)))))</f>
        <v>21</v>
      </c>
      <c r="AG402" s="164">
        <f>IF(BetTable[Outcome2]="Win",BetTable[WBA2-Commission],IF(BetTable[Outcome2]="Win Half Stake",(BetTable[S2]/2)+BetTable[WBA2-Commission]/2,IF(BetTable[Outcome2]="Lose Half Stake",BetTable[S2]/2,IF(BetTable[Outcome2]="Lose",0,IF(BetTable[Outcome2]="Void",BetTable[S2],)))))</f>
        <v>0</v>
      </c>
      <c r="AH402" s="164">
        <f>IF(BetTable[Outcome3]="Win",BetTable[WBA3-Commission],IF(BetTable[Outcome3]="Win Half Stake",(BetTable[S3]/2)+BetTable[WBA3-Commission]/2,IF(BetTable[Outcome3]="Lose Half Stake",BetTable[S3]/2,IF(BetTable[Outcome3]="Lose",0,IF(BetTable[Outcome3]="Void",BetTable[S3],)))))</f>
        <v>0</v>
      </c>
      <c r="AI402" s="168">
        <f>IF(BetTable[Outcome]="",AI401,BetTable[Result]+AI401)</f>
        <v>654.82425000000046</v>
      </c>
      <c r="AJ402" s="160"/>
    </row>
    <row r="403" spans="1:36" x14ac:dyDescent="0.2">
      <c r="A403" s="159" t="s">
        <v>1202</v>
      </c>
      <c r="B403" s="160" t="s">
        <v>200</v>
      </c>
      <c r="C403" s="161" t="s">
        <v>91</v>
      </c>
      <c r="D403" s="161"/>
      <c r="E403" s="161"/>
      <c r="F403" s="162"/>
      <c r="G403" s="162"/>
      <c r="H403" s="162"/>
      <c r="I403" s="160" t="s">
        <v>1249</v>
      </c>
      <c r="J403" s="163">
        <v>1.96</v>
      </c>
      <c r="K403" s="163"/>
      <c r="L403" s="163"/>
      <c r="M403" s="164">
        <v>23</v>
      </c>
      <c r="N403" s="164"/>
      <c r="O403" s="164"/>
      <c r="P403" s="159" t="s">
        <v>448</v>
      </c>
      <c r="Q403" s="159" t="s">
        <v>491</v>
      </c>
      <c r="R403" s="159" t="s">
        <v>1250</v>
      </c>
      <c r="S403" s="165">
        <v>1.8387340270663698E-2</v>
      </c>
      <c r="T403" s="166" t="s">
        <v>382</v>
      </c>
      <c r="U403" s="166"/>
      <c r="V403" s="166"/>
      <c r="W403" s="167">
        <f>IF(BetTable[Sport]="","",BetTable[Stake]+BetTable[S2]+BetTable[S3])</f>
        <v>23</v>
      </c>
      <c r="X403" s="164">
        <f>IF(BetTable[Odds]="","",(BetTable[WBA1-Commission])-BetTable[TS])</f>
        <v>22.08</v>
      </c>
      <c r="Y403" s="168">
        <f>IF(BetTable[Outcome]="","",BetTable[WBA1]+BetTable[WBA2]+BetTable[WBA3]-BetTable[TS])</f>
        <v>-23</v>
      </c>
      <c r="Z403" s="164">
        <f>(((BetTable[Odds]-1)*BetTable[Stake])*(1-(BetTable[Comm %]))+BetTable[Stake])</f>
        <v>45.08</v>
      </c>
      <c r="AA403" s="164">
        <f>(((BetTable[O2]-1)*BetTable[S2])*(1-(BetTable[C% 2]))+BetTable[S2])</f>
        <v>0</v>
      </c>
      <c r="AB403" s="164">
        <f>(((BetTable[O3]-1)*BetTable[S3])*(1-(BetTable[C% 3]))+BetTable[S3])</f>
        <v>0</v>
      </c>
      <c r="AC403" s="165">
        <f>IFERROR(IF(BetTable[Sport]="","",BetTable[R1]/BetTable[TS]),"")</f>
        <v>0.96</v>
      </c>
      <c r="AD403" s="165" t="str">
        <f>IF(BetTable[O2]="","",#REF!/BetTable[TS])</f>
        <v/>
      </c>
      <c r="AE403" s="165" t="str">
        <f>IFERROR(IF(BetTable[Sport]="","",#REF!/BetTable[TS]),"")</f>
        <v/>
      </c>
      <c r="AF403" s="164">
        <f>IF(BetTable[Outcome]="Win",BetTable[WBA1-Commission],IF(BetTable[Outcome]="Win Half Stake",(BetTable[Stake]/2)+BetTable[WBA1-Commission]/2,IF(BetTable[Outcome]="Lose Half Stake",BetTable[Stake]/2,IF(BetTable[Outcome]="Lose",0,IF(BetTable[Outcome]="Void",BetTable[Stake],)))))</f>
        <v>0</v>
      </c>
      <c r="AG403" s="164">
        <f>IF(BetTable[Outcome2]="Win",BetTable[WBA2-Commission],IF(BetTable[Outcome2]="Win Half Stake",(BetTable[S2]/2)+BetTable[WBA2-Commission]/2,IF(BetTable[Outcome2]="Lose Half Stake",BetTable[S2]/2,IF(BetTable[Outcome2]="Lose",0,IF(BetTable[Outcome2]="Void",BetTable[S2],)))))</f>
        <v>0</v>
      </c>
      <c r="AH403" s="164">
        <f>IF(BetTable[Outcome3]="Win",BetTable[WBA3-Commission],IF(BetTable[Outcome3]="Win Half Stake",(BetTable[S3]/2)+BetTable[WBA3-Commission]/2,IF(BetTable[Outcome3]="Lose Half Stake",BetTable[S3]/2,IF(BetTable[Outcome3]="Lose",0,IF(BetTable[Outcome3]="Void",BetTable[S3],)))))</f>
        <v>0</v>
      </c>
      <c r="AI403" s="168">
        <f>IF(BetTable[Outcome]="",AI402,BetTable[Result]+AI402)</f>
        <v>631.82425000000046</v>
      </c>
      <c r="AJ403" s="160"/>
    </row>
    <row r="404" spans="1:36" x14ac:dyDescent="0.2">
      <c r="A404" s="159" t="s">
        <v>1202</v>
      </c>
      <c r="B404" s="160" t="s">
        <v>8</v>
      </c>
      <c r="C404" s="161" t="s">
        <v>91</v>
      </c>
      <c r="D404" s="161"/>
      <c r="E404" s="161"/>
      <c r="F404" s="162"/>
      <c r="G404" s="162"/>
      <c r="H404" s="162"/>
      <c r="I404" s="160" t="s">
        <v>1251</v>
      </c>
      <c r="J404" s="163">
        <v>1.85</v>
      </c>
      <c r="K404" s="163"/>
      <c r="L404" s="163"/>
      <c r="M404" s="164">
        <v>23</v>
      </c>
      <c r="N404" s="164"/>
      <c r="O404" s="164"/>
      <c r="P404" s="159" t="s">
        <v>428</v>
      </c>
      <c r="Q404" s="159" t="s">
        <v>1171</v>
      </c>
      <c r="R404" s="159" t="s">
        <v>1252</v>
      </c>
      <c r="S404" s="165">
        <v>1.6311821646555098E-2</v>
      </c>
      <c r="T404" s="166" t="s">
        <v>372</v>
      </c>
      <c r="U404" s="166"/>
      <c r="V404" s="166"/>
      <c r="W404" s="167">
        <f>IF(BetTable[Sport]="","",BetTable[Stake]+BetTable[S2]+BetTable[S3])</f>
        <v>23</v>
      </c>
      <c r="X404" s="164">
        <f>IF(BetTable[Odds]="","",(BetTable[WBA1-Commission])-BetTable[TS])</f>
        <v>19.549999999999997</v>
      </c>
      <c r="Y404" s="168">
        <f>IF(BetTable[Outcome]="","",BetTable[WBA1]+BetTable[WBA2]+BetTable[WBA3]-BetTable[TS])</f>
        <v>19.549999999999997</v>
      </c>
      <c r="Z404" s="164">
        <f>(((BetTable[Odds]-1)*BetTable[Stake])*(1-(BetTable[Comm %]))+BetTable[Stake])</f>
        <v>42.55</v>
      </c>
      <c r="AA404" s="164">
        <f>(((BetTable[O2]-1)*BetTable[S2])*(1-(BetTable[C% 2]))+BetTable[S2])</f>
        <v>0</v>
      </c>
      <c r="AB404" s="164">
        <f>(((BetTable[O3]-1)*BetTable[S3])*(1-(BetTable[C% 3]))+BetTable[S3])</f>
        <v>0</v>
      </c>
      <c r="AC404" s="165">
        <f>IFERROR(IF(BetTable[Sport]="","",BetTable[R1]/BetTable[TS]),"")</f>
        <v>0.84999999999999987</v>
      </c>
      <c r="AD404" s="165" t="str">
        <f>IF(BetTable[O2]="","",#REF!/BetTable[TS])</f>
        <v/>
      </c>
      <c r="AE404" s="165" t="str">
        <f>IFERROR(IF(BetTable[Sport]="","",#REF!/BetTable[TS]),"")</f>
        <v/>
      </c>
      <c r="AF404" s="164">
        <f>IF(BetTable[Outcome]="Win",BetTable[WBA1-Commission],IF(BetTable[Outcome]="Win Half Stake",(BetTable[Stake]/2)+BetTable[WBA1-Commission]/2,IF(BetTable[Outcome]="Lose Half Stake",BetTable[Stake]/2,IF(BetTable[Outcome]="Lose",0,IF(BetTable[Outcome]="Void",BetTable[Stake],)))))</f>
        <v>42.55</v>
      </c>
      <c r="AG404" s="164">
        <f>IF(BetTable[Outcome2]="Win",BetTable[WBA2-Commission],IF(BetTable[Outcome2]="Win Half Stake",(BetTable[S2]/2)+BetTable[WBA2-Commission]/2,IF(BetTable[Outcome2]="Lose Half Stake",BetTable[S2]/2,IF(BetTable[Outcome2]="Lose",0,IF(BetTable[Outcome2]="Void",BetTable[S2],)))))</f>
        <v>0</v>
      </c>
      <c r="AH404" s="164">
        <f>IF(BetTable[Outcome3]="Win",BetTable[WBA3-Commission],IF(BetTable[Outcome3]="Win Half Stake",(BetTable[S3]/2)+BetTable[WBA3-Commission]/2,IF(BetTable[Outcome3]="Lose Half Stake",BetTable[S3]/2,IF(BetTable[Outcome3]="Lose",0,IF(BetTable[Outcome3]="Void",BetTable[S3],)))))</f>
        <v>0</v>
      </c>
      <c r="AI404" s="168">
        <f>IF(BetTable[Outcome]="",AI403,BetTable[Result]+AI403)</f>
        <v>651.37425000000042</v>
      </c>
      <c r="AJ404" s="160"/>
    </row>
    <row r="405" spans="1:36" x14ac:dyDescent="0.2">
      <c r="A405" s="159" t="s">
        <v>1202</v>
      </c>
      <c r="B405" s="160" t="s">
        <v>175</v>
      </c>
      <c r="C405" s="161" t="s">
        <v>91</v>
      </c>
      <c r="D405" s="161"/>
      <c r="E405" s="161"/>
      <c r="F405" s="162"/>
      <c r="G405" s="162"/>
      <c r="H405" s="162"/>
      <c r="I405" s="160" t="s">
        <v>1253</v>
      </c>
      <c r="J405" s="163">
        <v>1.7</v>
      </c>
      <c r="K405" s="163"/>
      <c r="L405" s="163"/>
      <c r="M405" s="164">
        <v>27</v>
      </c>
      <c r="N405" s="164"/>
      <c r="O405" s="164"/>
      <c r="P405" s="159" t="s">
        <v>1086</v>
      </c>
      <c r="Q405" s="159" t="s">
        <v>585</v>
      </c>
      <c r="R405" s="159" t="s">
        <v>1254</v>
      </c>
      <c r="S405" s="165">
        <v>1.5679070030866799E-2</v>
      </c>
      <c r="T405" s="166" t="s">
        <v>372</v>
      </c>
      <c r="U405" s="166"/>
      <c r="V405" s="166"/>
      <c r="W405" s="167">
        <f>IF(BetTable[Sport]="","",BetTable[Stake]+BetTable[S2]+BetTable[S3])</f>
        <v>27</v>
      </c>
      <c r="X405" s="164">
        <f>IF(BetTable[Odds]="","",(BetTable[WBA1-Commission])-BetTable[TS])</f>
        <v>18.899999999999999</v>
      </c>
      <c r="Y405" s="168">
        <f>IF(BetTable[Outcome]="","",BetTable[WBA1]+BetTable[WBA2]+BetTable[WBA3]-BetTable[TS])</f>
        <v>18.899999999999999</v>
      </c>
      <c r="Z405" s="164">
        <f>(((BetTable[Odds]-1)*BetTable[Stake])*(1-(BetTable[Comm %]))+BetTable[Stake])</f>
        <v>45.9</v>
      </c>
      <c r="AA405" s="164">
        <f>(((BetTable[O2]-1)*BetTable[S2])*(1-(BetTable[C% 2]))+BetTable[S2])</f>
        <v>0</v>
      </c>
      <c r="AB405" s="164">
        <f>(((BetTable[O3]-1)*BetTable[S3])*(1-(BetTable[C% 3]))+BetTable[S3])</f>
        <v>0</v>
      </c>
      <c r="AC405" s="165">
        <f>IFERROR(IF(BetTable[Sport]="","",BetTable[R1]/BetTable[TS]),"")</f>
        <v>0.7</v>
      </c>
      <c r="AD405" s="165" t="str">
        <f>IF(BetTable[O2]="","",#REF!/BetTable[TS])</f>
        <v/>
      </c>
      <c r="AE405" s="165" t="str">
        <f>IFERROR(IF(BetTable[Sport]="","",#REF!/BetTable[TS]),"")</f>
        <v/>
      </c>
      <c r="AF405" s="164">
        <f>IF(BetTable[Outcome]="Win",BetTable[WBA1-Commission],IF(BetTable[Outcome]="Win Half Stake",(BetTable[Stake]/2)+BetTable[WBA1-Commission]/2,IF(BetTable[Outcome]="Lose Half Stake",BetTable[Stake]/2,IF(BetTable[Outcome]="Lose",0,IF(BetTable[Outcome]="Void",BetTable[Stake],)))))</f>
        <v>45.9</v>
      </c>
      <c r="AG405" s="164">
        <f>IF(BetTable[Outcome2]="Win",BetTable[WBA2-Commission],IF(BetTable[Outcome2]="Win Half Stake",(BetTable[S2]/2)+BetTable[WBA2-Commission]/2,IF(BetTable[Outcome2]="Lose Half Stake",BetTable[S2]/2,IF(BetTable[Outcome2]="Lose",0,IF(BetTable[Outcome2]="Void",BetTable[S2],)))))</f>
        <v>0</v>
      </c>
      <c r="AH405" s="164">
        <f>IF(BetTable[Outcome3]="Win",BetTable[WBA3-Commission],IF(BetTable[Outcome3]="Win Half Stake",(BetTable[S3]/2)+BetTable[WBA3-Commission]/2,IF(BetTable[Outcome3]="Lose Half Stake",BetTable[S3]/2,IF(BetTable[Outcome3]="Lose",0,IF(BetTable[Outcome3]="Void",BetTable[S3],)))))</f>
        <v>0</v>
      </c>
      <c r="AI405" s="168">
        <f>IF(BetTable[Outcome]="",AI404,BetTable[Result]+AI404)</f>
        <v>670.27425000000039</v>
      </c>
      <c r="AJ405" s="160"/>
    </row>
    <row r="406" spans="1:36" x14ac:dyDescent="0.2">
      <c r="A406" s="159" t="s">
        <v>1202</v>
      </c>
      <c r="B406" s="160" t="s">
        <v>200</v>
      </c>
      <c r="C406" s="161" t="s">
        <v>91</v>
      </c>
      <c r="D406" s="161"/>
      <c r="E406" s="161"/>
      <c r="F406" s="162"/>
      <c r="G406" s="162"/>
      <c r="H406" s="162"/>
      <c r="I406" s="160" t="s">
        <v>1255</v>
      </c>
      <c r="J406" s="163">
        <v>1.9</v>
      </c>
      <c r="K406" s="163"/>
      <c r="L406" s="163"/>
      <c r="M406" s="164">
        <v>20</v>
      </c>
      <c r="N406" s="164"/>
      <c r="O406" s="164"/>
      <c r="P406" s="159" t="s">
        <v>688</v>
      </c>
      <c r="Q406" s="159" t="s">
        <v>547</v>
      </c>
      <c r="R406" s="159" t="s">
        <v>1256</v>
      </c>
      <c r="S406" s="165">
        <v>1.5053292883878701E-2</v>
      </c>
      <c r="T406" s="166" t="s">
        <v>372</v>
      </c>
      <c r="U406" s="166"/>
      <c r="V406" s="166"/>
      <c r="W406" s="167">
        <f>IF(BetTable[Sport]="","",BetTable[Stake]+BetTable[S2]+BetTable[S3])</f>
        <v>20</v>
      </c>
      <c r="X406" s="164">
        <f>IF(BetTable[Odds]="","",(BetTable[WBA1-Commission])-BetTable[TS])</f>
        <v>18</v>
      </c>
      <c r="Y406" s="168">
        <f>IF(BetTable[Outcome]="","",BetTable[WBA1]+BetTable[WBA2]+BetTable[WBA3]-BetTable[TS])</f>
        <v>18</v>
      </c>
      <c r="Z406" s="164">
        <f>(((BetTable[Odds]-1)*BetTable[Stake])*(1-(BetTable[Comm %]))+BetTable[Stake])</f>
        <v>38</v>
      </c>
      <c r="AA406" s="164">
        <f>(((BetTable[O2]-1)*BetTable[S2])*(1-(BetTable[C% 2]))+BetTable[S2])</f>
        <v>0</v>
      </c>
      <c r="AB406" s="164">
        <f>(((BetTable[O3]-1)*BetTable[S3])*(1-(BetTable[C% 3]))+BetTable[S3])</f>
        <v>0</v>
      </c>
      <c r="AC406" s="165">
        <f>IFERROR(IF(BetTable[Sport]="","",BetTable[R1]/BetTable[TS]),"")</f>
        <v>0.9</v>
      </c>
      <c r="AD406" s="165" t="str">
        <f>IF(BetTable[O2]="","",#REF!/BetTable[TS])</f>
        <v/>
      </c>
      <c r="AE406" s="165" t="str">
        <f>IFERROR(IF(BetTable[Sport]="","",#REF!/BetTable[TS]),"")</f>
        <v/>
      </c>
      <c r="AF406" s="164">
        <f>IF(BetTable[Outcome]="Win",BetTable[WBA1-Commission],IF(BetTable[Outcome]="Win Half Stake",(BetTable[Stake]/2)+BetTable[WBA1-Commission]/2,IF(BetTable[Outcome]="Lose Half Stake",BetTable[Stake]/2,IF(BetTable[Outcome]="Lose",0,IF(BetTable[Outcome]="Void",BetTable[Stake],)))))</f>
        <v>38</v>
      </c>
      <c r="AG406" s="164">
        <f>IF(BetTable[Outcome2]="Win",BetTable[WBA2-Commission],IF(BetTable[Outcome2]="Win Half Stake",(BetTable[S2]/2)+BetTable[WBA2-Commission]/2,IF(BetTable[Outcome2]="Lose Half Stake",BetTable[S2]/2,IF(BetTable[Outcome2]="Lose",0,IF(BetTable[Outcome2]="Void",BetTable[S2],)))))</f>
        <v>0</v>
      </c>
      <c r="AH406" s="164">
        <f>IF(BetTable[Outcome3]="Win",BetTable[WBA3-Commission],IF(BetTable[Outcome3]="Win Half Stake",(BetTable[S3]/2)+BetTable[WBA3-Commission]/2,IF(BetTable[Outcome3]="Lose Half Stake",BetTable[S3]/2,IF(BetTable[Outcome3]="Lose",0,IF(BetTable[Outcome3]="Void",BetTable[S3],)))))</f>
        <v>0</v>
      </c>
      <c r="AI406" s="168">
        <f>IF(BetTable[Outcome]="",AI405,BetTable[Result]+AI405)</f>
        <v>688.27425000000039</v>
      </c>
      <c r="AJ406" s="160"/>
    </row>
    <row r="407" spans="1:36" x14ac:dyDescent="0.2">
      <c r="A407" s="159" t="s">
        <v>1202</v>
      </c>
      <c r="B407" s="160" t="s">
        <v>7</v>
      </c>
      <c r="C407" s="161" t="s">
        <v>91</v>
      </c>
      <c r="D407" s="161"/>
      <c r="E407" s="161"/>
      <c r="F407" s="162"/>
      <c r="G407" s="162"/>
      <c r="H407" s="162"/>
      <c r="I407" s="160" t="s">
        <v>1152</v>
      </c>
      <c r="J407" s="163">
        <v>1.84</v>
      </c>
      <c r="K407" s="163"/>
      <c r="L407" s="163"/>
      <c r="M407" s="164">
        <v>28</v>
      </c>
      <c r="N407" s="164"/>
      <c r="O407" s="164"/>
      <c r="P407" s="159" t="s">
        <v>1257</v>
      </c>
      <c r="Q407" s="159" t="s">
        <v>491</v>
      </c>
      <c r="R407" s="159" t="s">
        <v>1258</v>
      </c>
      <c r="S407" s="165">
        <v>1.9888543347665599E-2</v>
      </c>
      <c r="T407" s="166" t="s">
        <v>382</v>
      </c>
      <c r="U407" s="166"/>
      <c r="V407" s="166"/>
      <c r="W407" s="167">
        <f>IF(BetTable[Sport]="","",BetTable[Stake]+BetTable[S2]+BetTable[S3])</f>
        <v>28</v>
      </c>
      <c r="X407" s="164">
        <f>IF(BetTable[Odds]="","",(BetTable[WBA1-Commission])-BetTable[TS])</f>
        <v>23.520000000000003</v>
      </c>
      <c r="Y407" s="168">
        <f>IF(BetTable[Outcome]="","",BetTable[WBA1]+BetTable[WBA2]+BetTable[WBA3]-BetTable[TS])</f>
        <v>-28</v>
      </c>
      <c r="Z407" s="164">
        <f>(((BetTable[Odds]-1)*BetTable[Stake])*(1-(BetTable[Comm %]))+BetTable[Stake])</f>
        <v>51.52</v>
      </c>
      <c r="AA407" s="164">
        <f>(((BetTable[O2]-1)*BetTable[S2])*(1-(BetTable[C% 2]))+BetTable[S2])</f>
        <v>0</v>
      </c>
      <c r="AB407" s="164">
        <f>(((BetTable[O3]-1)*BetTable[S3])*(1-(BetTable[C% 3]))+BetTable[S3])</f>
        <v>0</v>
      </c>
      <c r="AC407" s="165">
        <f>IFERROR(IF(BetTable[Sport]="","",BetTable[R1]/BetTable[TS]),"")</f>
        <v>0.84000000000000008</v>
      </c>
      <c r="AD407" s="165" t="str">
        <f>IF(BetTable[O2]="","",#REF!/BetTable[TS])</f>
        <v/>
      </c>
      <c r="AE407" s="165" t="str">
        <f>IFERROR(IF(BetTable[Sport]="","",#REF!/BetTable[TS]),"")</f>
        <v/>
      </c>
      <c r="AF407" s="164">
        <f>IF(BetTable[Outcome]="Win",BetTable[WBA1-Commission],IF(BetTable[Outcome]="Win Half Stake",(BetTable[Stake]/2)+BetTable[WBA1-Commission]/2,IF(BetTable[Outcome]="Lose Half Stake",BetTable[Stake]/2,IF(BetTable[Outcome]="Lose",0,IF(BetTable[Outcome]="Void",BetTable[Stake],)))))</f>
        <v>0</v>
      </c>
      <c r="AG407" s="164">
        <f>IF(BetTable[Outcome2]="Win",BetTable[WBA2-Commission],IF(BetTable[Outcome2]="Win Half Stake",(BetTable[S2]/2)+BetTable[WBA2-Commission]/2,IF(BetTable[Outcome2]="Lose Half Stake",BetTable[S2]/2,IF(BetTable[Outcome2]="Lose",0,IF(BetTable[Outcome2]="Void",BetTable[S2],)))))</f>
        <v>0</v>
      </c>
      <c r="AH407" s="164">
        <f>IF(BetTable[Outcome3]="Win",BetTable[WBA3-Commission],IF(BetTable[Outcome3]="Win Half Stake",(BetTable[S3]/2)+BetTable[WBA3-Commission]/2,IF(BetTable[Outcome3]="Lose Half Stake",BetTable[S3]/2,IF(BetTable[Outcome3]="Lose",0,IF(BetTable[Outcome3]="Void",BetTable[S3],)))))</f>
        <v>0</v>
      </c>
      <c r="AI407" s="168">
        <f>IF(BetTable[Outcome]="",AI406,BetTable[Result]+AI406)</f>
        <v>660.27425000000039</v>
      </c>
      <c r="AJ407" s="160"/>
    </row>
    <row r="408" spans="1:36" x14ac:dyDescent="0.2">
      <c r="A408" s="159" t="s">
        <v>1202</v>
      </c>
      <c r="B408" s="160" t="s">
        <v>9</v>
      </c>
      <c r="C408" s="161" t="s">
        <v>91</v>
      </c>
      <c r="D408" s="161"/>
      <c r="E408" s="161"/>
      <c r="F408" s="162"/>
      <c r="G408" s="162"/>
      <c r="H408" s="162"/>
      <c r="I408" s="160" t="s">
        <v>1259</v>
      </c>
      <c r="J408" s="163">
        <v>1.95</v>
      </c>
      <c r="K408" s="163"/>
      <c r="L408" s="163"/>
      <c r="M408" s="164">
        <v>31</v>
      </c>
      <c r="N408" s="164"/>
      <c r="O408" s="164"/>
      <c r="P408" s="159" t="s">
        <v>498</v>
      </c>
      <c r="Q408" s="159" t="s">
        <v>488</v>
      </c>
      <c r="R408" s="159" t="s">
        <v>1260</v>
      </c>
      <c r="S408" s="165">
        <v>2.4145881435355902E-2</v>
      </c>
      <c r="T408" s="166" t="s">
        <v>372</v>
      </c>
      <c r="U408" s="166"/>
      <c r="V408" s="166"/>
      <c r="W408" s="167">
        <f>IF(BetTable[Sport]="","",BetTable[Stake]+BetTable[S2]+BetTable[S3])</f>
        <v>31</v>
      </c>
      <c r="X408" s="164">
        <f>IF(BetTable[Odds]="","",(BetTable[WBA1-Commission])-BetTable[TS])</f>
        <v>29.450000000000003</v>
      </c>
      <c r="Y408" s="168">
        <f>IF(BetTable[Outcome]="","",BetTable[WBA1]+BetTable[WBA2]+BetTable[WBA3]-BetTable[TS])</f>
        <v>29.450000000000003</v>
      </c>
      <c r="Z408" s="164">
        <f>(((BetTable[Odds]-1)*BetTable[Stake])*(1-(BetTable[Comm %]))+BetTable[Stake])</f>
        <v>60.45</v>
      </c>
      <c r="AA408" s="164">
        <f>(((BetTable[O2]-1)*BetTable[S2])*(1-(BetTable[C% 2]))+BetTable[S2])</f>
        <v>0</v>
      </c>
      <c r="AB408" s="164">
        <f>(((BetTable[O3]-1)*BetTable[S3])*(1-(BetTable[C% 3]))+BetTable[S3])</f>
        <v>0</v>
      </c>
      <c r="AC408" s="165">
        <f>IFERROR(IF(BetTable[Sport]="","",BetTable[R1]/BetTable[TS]),"")</f>
        <v>0.95000000000000007</v>
      </c>
      <c r="AD408" s="165" t="str">
        <f>IF(BetTable[O2]="","",#REF!/BetTable[TS])</f>
        <v/>
      </c>
      <c r="AE408" s="165" t="str">
        <f>IFERROR(IF(BetTable[Sport]="","",#REF!/BetTable[TS]),"")</f>
        <v/>
      </c>
      <c r="AF408" s="164">
        <f>IF(BetTable[Outcome]="Win",BetTable[WBA1-Commission],IF(BetTable[Outcome]="Win Half Stake",(BetTable[Stake]/2)+BetTable[WBA1-Commission]/2,IF(BetTable[Outcome]="Lose Half Stake",BetTable[Stake]/2,IF(BetTable[Outcome]="Lose",0,IF(BetTable[Outcome]="Void",BetTable[Stake],)))))</f>
        <v>60.45</v>
      </c>
      <c r="AG408" s="164">
        <f>IF(BetTable[Outcome2]="Win",BetTable[WBA2-Commission],IF(BetTable[Outcome2]="Win Half Stake",(BetTable[S2]/2)+BetTable[WBA2-Commission]/2,IF(BetTable[Outcome2]="Lose Half Stake",BetTable[S2]/2,IF(BetTable[Outcome2]="Lose",0,IF(BetTable[Outcome2]="Void",BetTable[S2],)))))</f>
        <v>0</v>
      </c>
      <c r="AH408" s="164">
        <f>IF(BetTable[Outcome3]="Win",BetTable[WBA3-Commission],IF(BetTable[Outcome3]="Win Half Stake",(BetTable[S3]/2)+BetTable[WBA3-Commission]/2,IF(BetTable[Outcome3]="Lose Half Stake",BetTable[S3]/2,IF(BetTable[Outcome3]="Lose",0,IF(BetTable[Outcome3]="Void",BetTable[S3],)))))</f>
        <v>0</v>
      </c>
      <c r="AI408" s="168">
        <f>IF(BetTable[Outcome]="",AI407,BetTable[Result]+AI407)</f>
        <v>689.72425000000044</v>
      </c>
      <c r="AJ408" s="160"/>
    </row>
    <row r="409" spans="1:36" x14ac:dyDescent="0.2">
      <c r="A409" s="159" t="s">
        <v>1202</v>
      </c>
      <c r="B409" s="160" t="s">
        <v>7</v>
      </c>
      <c r="C409" s="161" t="s">
        <v>91</v>
      </c>
      <c r="D409" s="161"/>
      <c r="E409" s="161"/>
      <c r="F409" s="162"/>
      <c r="G409" s="162"/>
      <c r="H409" s="162"/>
      <c r="I409" s="160" t="s">
        <v>1261</v>
      </c>
      <c r="J409" s="163">
        <v>1.88</v>
      </c>
      <c r="K409" s="163"/>
      <c r="L409" s="163"/>
      <c r="M409" s="164">
        <v>29</v>
      </c>
      <c r="N409" s="164"/>
      <c r="O409" s="164"/>
      <c r="P409" s="159" t="s">
        <v>1262</v>
      </c>
      <c r="Q409" s="159" t="s">
        <v>1263</v>
      </c>
      <c r="R409" s="159" t="s">
        <v>1264</v>
      </c>
      <c r="S409" s="165">
        <v>2.1150146922309099E-2</v>
      </c>
      <c r="T409" s="166" t="s">
        <v>372</v>
      </c>
      <c r="U409" s="166"/>
      <c r="V409" s="166"/>
      <c r="W409" s="167">
        <f>IF(BetTable[Sport]="","",BetTable[Stake]+BetTable[S2]+BetTable[S3])</f>
        <v>29</v>
      </c>
      <c r="X409" s="164">
        <f>IF(BetTable[Odds]="","",(BetTable[WBA1-Commission])-BetTable[TS])</f>
        <v>25.519999999999996</v>
      </c>
      <c r="Y409" s="168">
        <f>IF(BetTable[Outcome]="","",BetTable[WBA1]+BetTable[WBA2]+BetTable[WBA3]-BetTable[TS])</f>
        <v>25.519999999999996</v>
      </c>
      <c r="Z409" s="164">
        <f>(((BetTable[Odds]-1)*BetTable[Stake])*(1-(BetTable[Comm %]))+BetTable[Stake])</f>
        <v>54.519999999999996</v>
      </c>
      <c r="AA409" s="164">
        <f>(((BetTable[O2]-1)*BetTable[S2])*(1-(BetTable[C% 2]))+BetTable[S2])</f>
        <v>0</v>
      </c>
      <c r="AB409" s="164">
        <f>(((BetTable[O3]-1)*BetTable[S3])*(1-(BetTable[C% 3]))+BetTable[S3])</f>
        <v>0</v>
      </c>
      <c r="AC409" s="165">
        <f>IFERROR(IF(BetTable[Sport]="","",BetTable[R1]/BetTable[TS]),"")</f>
        <v>0.87999999999999989</v>
      </c>
      <c r="AD409" s="165" t="str">
        <f>IF(BetTable[O2]="","",#REF!/BetTable[TS])</f>
        <v/>
      </c>
      <c r="AE409" s="165" t="str">
        <f>IFERROR(IF(BetTable[Sport]="","",#REF!/BetTable[TS]),"")</f>
        <v/>
      </c>
      <c r="AF409" s="164">
        <f>IF(BetTable[Outcome]="Win",BetTable[WBA1-Commission],IF(BetTable[Outcome]="Win Half Stake",(BetTable[Stake]/2)+BetTable[WBA1-Commission]/2,IF(BetTable[Outcome]="Lose Half Stake",BetTable[Stake]/2,IF(BetTable[Outcome]="Lose",0,IF(BetTable[Outcome]="Void",BetTable[Stake],)))))</f>
        <v>54.519999999999996</v>
      </c>
      <c r="AG409" s="164">
        <f>IF(BetTable[Outcome2]="Win",BetTable[WBA2-Commission],IF(BetTable[Outcome2]="Win Half Stake",(BetTable[S2]/2)+BetTable[WBA2-Commission]/2,IF(BetTable[Outcome2]="Lose Half Stake",BetTable[S2]/2,IF(BetTable[Outcome2]="Lose",0,IF(BetTable[Outcome2]="Void",BetTable[S2],)))))</f>
        <v>0</v>
      </c>
      <c r="AH409" s="164">
        <f>IF(BetTable[Outcome3]="Win",BetTable[WBA3-Commission],IF(BetTable[Outcome3]="Win Half Stake",(BetTable[S3]/2)+BetTable[WBA3-Commission]/2,IF(BetTable[Outcome3]="Lose Half Stake",BetTable[S3]/2,IF(BetTable[Outcome3]="Lose",0,IF(BetTable[Outcome3]="Void",BetTable[S3],)))))</f>
        <v>0</v>
      </c>
      <c r="AI409" s="168">
        <f>IF(BetTable[Outcome]="",AI408,BetTable[Result]+AI408)</f>
        <v>715.24425000000042</v>
      </c>
      <c r="AJ409" s="160"/>
    </row>
    <row r="410" spans="1:36" x14ac:dyDescent="0.2">
      <c r="A410" s="159" t="s">
        <v>1202</v>
      </c>
      <c r="B410" s="160" t="s">
        <v>9</v>
      </c>
      <c r="C410" s="161" t="s">
        <v>91</v>
      </c>
      <c r="D410" s="161"/>
      <c r="E410" s="161"/>
      <c r="F410" s="162"/>
      <c r="G410" s="162"/>
      <c r="H410" s="162"/>
      <c r="I410" s="160" t="s">
        <v>1265</v>
      </c>
      <c r="J410" s="163">
        <v>1.8</v>
      </c>
      <c r="K410" s="163"/>
      <c r="L410" s="163"/>
      <c r="M410" s="164">
        <v>34</v>
      </c>
      <c r="N410" s="164"/>
      <c r="O410" s="164"/>
      <c r="P410" s="159" t="s">
        <v>1266</v>
      </c>
      <c r="Q410" s="159" t="s">
        <v>458</v>
      </c>
      <c r="R410" s="159" t="s">
        <v>1267</v>
      </c>
      <c r="S410" s="165">
        <v>2.2692327881768198E-2</v>
      </c>
      <c r="T410" s="166" t="s">
        <v>372</v>
      </c>
      <c r="U410" s="166"/>
      <c r="V410" s="166"/>
      <c r="W410" s="167">
        <f>IF(BetTable[Sport]="","",BetTable[Stake]+BetTable[S2]+BetTable[S3])</f>
        <v>34</v>
      </c>
      <c r="X410" s="164">
        <f>IF(BetTable[Odds]="","",(BetTable[WBA1-Commission])-BetTable[TS])</f>
        <v>27.200000000000003</v>
      </c>
      <c r="Y410" s="168">
        <f>IF(BetTable[Outcome]="","",BetTable[WBA1]+BetTable[WBA2]+BetTable[WBA3]-BetTable[TS])</f>
        <v>27.200000000000003</v>
      </c>
      <c r="Z410" s="164">
        <f>(((BetTable[Odds]-1)*BetTable[Stake])*(1-(BetTable[Comm %]))+BetTable[Stake])</f>
        <v>61.2</v>
      </c>
      <c r="AA410" s="164">
        <f>(((BetTable[O2]-1)*BetTable[S2])*(1-(BetTable[C% 2]))+BetTable[S2])</f>
        <v>0</v>
      </c>
      <c r="AB410" s="164">
        <f>(((BetTable[O3]-1)*BetTable[S3])*(1-(BetTable[C% 3]))+BetTable[S3])</f>
        <v>0</v>
      </c>
      <c r="AC410" s="165">
        <f>IFERROR(IF(BetTable[Sport]="","",BetTable[R1]/BetTable[TS]),"")</f>
        <v>0.8</v>
      </c>
      <c r="AD410" s="165" t="str">
        <f>IF(BetTable[O2]="","",#REF!/BetTable[TS])</f>
        <v/>
      </c>
      <c r="AE410" s="165" t="str">
        <f>IFERROR(IF(BetTable[Sport]="","",#REF!/BetTable[TS]),"")</f>
        <v/>
      </c>
      <c r="AF410" s="164">
        <f>IF(BetTable[Outcome]="Win",BetTable[WBA1-Commission],IF(BetTable[Outcome]="Win Half Stake",(BetTable[Stake]/2)+BetTable[WBA1-Commission]/2,IF(BetTable[Outcome]="Lose Half Stake",BetTable[Stake]/2,IF(BetTable[Outcome]="Lose",0,IF(BetTable[Outcome]="Void",BetTable[Stake],)))))</f>
        <v>61.2</v>
      </c>
      <c r="AG410" s="164">
        <f>IF(BetTable[Outcome2]="Win",BetTable[WBA2-Commission],IF(BetTable[Outcome2]="Win Half Stake",(BetTable[S2]/2)+BetTable[WBA2-Commission]/2,IF(BetTable[Outcome2]="Lose Half Stake",BetTable[S2]/2,IF(BetTable[Outcome2]="Lose",0,IF(BetTable[Outcome2]="Void",BetTable[S2],)))))</f>
        <v>0</v>
      </c>
      <c r="AH410" s="164">
        <f>IF(BetTable[Outcome3]="Win",BetTable[WBA3-Commission],IF(BetTable[Outcome3]="Win Half Stake",(BetTable[S3]/2)+BetTable[WBA3-Commission]/2,IF(BetTable[Outcome3]="Lose Half Stake",BetTable[S3]/2,IF(BetTable[Outcome3]="Lose",0,IF(BetTable[Outcome3]="Void",BetTable[S3],)))))</f>
        <v>0</v>
      </c>
      <c r="AI410" s="168">
        <f>IF(BetTable[Outcome]="",AI409,BetTable[Result]+AI409)</f>
        <v>742.44425000000047</v>
      </c>
      <c r="AJ410" s="160"/>
    </row>
    <row r="411" spans="1:36" x14ac:dyDescent="0.2">
      <c r="A411" s="159" t="s">
        <v>1202</v>
      </c>
      <c r="B411" s="160" t="s">
        <v>7</v>
      </c>
      <c r="C411" s="161" t="s">
        <v>91</v>
      </c>
      <c r="D411" s="161"/>
      <c r="E411" s="161"/>
      <c r="F411" s="162"/>
      <c r="G411" s="162"/>
      <c r="H411" s="162"/>
      <c r="I411" s="160" t="s">
        <v>1152</v>
      </c>
      <c r="J411" s="163">
        <v>2.2000000000000002</v>
      </c>
      <c r="K411" s="163"/>
      <c r="L411" s="163"/>
      <c r="M411" s="164">
        <v>16</v>
      </c>
      <c r="N411" s="164"/>
      <c r="O411" s="164"/>
      <c r="P411" s="159" t="s">
        <v>1268</v>
      </c>
      <c r="Q411" s="159" t="s">
        <v>491</v>
      </c>
      <c r="R411" s="159" t="s">
        <v>1269</v>
      </c>
      <c r="S411" s="165">
        <v>1.6436722875148999E-2</v>
      </c>
      <c r="T411" s="166" t="s">
        <v>372</v>
      </c>
      <c r="U411" s="166"/>
      <c r="V411" s="166"/>
      <c r="W411" s="167">
        <f>IF(BetTable[Sport]="","",BetTable[Stake]+BetTable[S2]+BetTable[S3])</f>
        <v>16</v>
      </c>
      <c r="X411" s="164">
        <f>IF(BetTable[Odds]="","",(BetTable[WBA1-Commission])-BetTable[TS])</f>
        <v>19.200000000000003</v>
      </c>
      <c r="Y411" s="168">
        <f>IF(BetTable[Outcome]="","",BetTable[WBA1]+BetTable[WBA2]+BetTable[WBA3]-BetTable[TS])</f>
        <v>19.200000000000003</v>
      </c>
      <c r="Z411" s="164">
        <f>(((BetTable[Odds]-1)*BetTable[Stake])*(1-(BetTable[Comm %]))+BetTable[Stake])</f>
        <v>35.200000000000003</v>
      </c>
      <c r="AA411" s="164">
        <f>(((BetTable[O2]-1)*BetTable[S2])*(1-(BetTable[C% 2]))+BetTable[S2])</f>
        <v>0</v>
      </c>
      <c r="AB411" s="164">
        <f>(((BetTable[O3]-1)*BetTable[S3])*(1-(BetTable[C% 3]))+BetTable[S3])</f>
        <v>0</v>
      </c>
      <c r="AC411" s="165">
        <f>IFERROR(IF(BetTable[Sport]="","",BetTable[R1]/BetTable[TS]),"")</f>
        <v>1.2000000000000002</v>
      </c>
      <c r="AD411" s="165" t="str">
        <f>IF(BetTable[O2]="","",#REF!/BetTable[TS])</f>
        <v/>
      </c>
      <c r="AE411" s="165" t="str">
        <f>IFERROR(IF(BetTable[Sport]="","",#REF!/BetTable[TS]),"")</f>
        <v/>
      </c>
      <c r="AF411" s="164">
        <f>IF(BetTable[Outcome]="Win",BetTable[WBA1-Commission],IF(BetTable[Outcome]="Win Half Stake",(BetTable[Stake]/2)+BetTable[WBA1-Commission]/2,IF(BetTable[Outcome]="Lose Half Stake",BetTable[Stake]/2,IF(BetTable[Outcome]="Lose",0,IF(BetTable[Outcome]="Void",BetTable[Stake],)))))</f>
        <v>35.200000000000003</v>
      </c>
      <c r="AG411" s="164">
        <f>IF(BetTable[Outcome2]="Win",BetTable[WBA2-Commission],IF(BetTable[Outcome2]="Win Half Stake",(BetTable[S2]/2)+BetTable[WBA2-Commission]/2,IF(BetTable[Outcome2]="Lose Half Stake",BetTable[S2]/2,IF(BetTable[Outcome2]="Lose",0,IF(BetTable[Outcome2]="Void",BetTable[S2],)))))</f>
        <v>0</v>
      </c>
      <c r="AH411" s="164">
        <f>IF(BetTable[Outcome3]="Win",BetTable[WBA3-Commission],IF(BetTable[Outcome3]="Win Half Stake",(BetTable[S3]/2)+BetTable[WBA3-Commission]/2,IF(BetTable[Outcome3]="Lose Half Stake",BetTable[S3]/2,IF(BetTable[Outcome3]="Lose",0,IF(BetTable[Outcome3]="Void",BetTable[S3],)))))</f>
        <v>0</v>
      </c>
      <c r="AI411" s="168">
        <f>IF(BetTable[Outcome]="",AI410,BetTable[Result]+AI410)</f>
        <v>761.64425000000051</v>
      </c>
      <c r="AJ411" s="160"/>
    </row>
    <row r="412" spans="1:36" x14ac:dyDescent="0.2">
      <c r="A412" s="159" t="s">
        <v>1202</v>
      </c>
      <c r="B412" s="160" t="s">
        <v>8</v>
      </c>
      <c r="C412" s="161" t="s">
        <v>91</v>
      </c>
      <c r="D412" s="161"/>
      <c r="E412" s="161"/>
      <c r="F412" s="162"/>
      <c r="G412" s="162"/>
      <c r="H412" s="162"/>
      <c r="I412" s="160" t="s">
        <v>1270</v>
      </c>
      <c r="J412" s="163">
        <v>1.74</v>
      </c>
      <c r="K412" s="163"/>
      <c r="L412" s="163"/>
      <c r="M412" s="164">
        <v>25</v>
      </c>
      <c r="N412" s="164"/>
      <c r="O412" s="164"/>
      <c r="P412" s="159" t="s">
        <v>428</v>
      </c>
      <c r="Q412" s="159" t="s">
        <v>703</v>
      </c>
      <c r="R412" s="159" t="s">
        <v>1271</v>
      </c>
      <c r="S412" s="165">
        <v>1.55640322813693E-2</v>
      </c>
      <c r="T412" s="166" t="s">
        <v>382</v>
      </c>
      <c r="U412" s="166"/>
      <c r="V412" s="166"/>
      <c r="W412" s="167">
        <f>IF(BetTable[Sport]="","",BetTable[Stake]+BetTable[S2]+BetTable[S3])</f>
        <v>25</v>
      </c>
      <c r="X412" s="164">
        <f>IF(BetTable[Odds]="","",(BetTable[WBA1-Commission])-BetTable[TS])</f>
        <v>18.5</v>
      </c>
      <c r="Y412" s="168">
        <f>IF(BetTable[Outcome]="","",BetTable[WBA1]+BetTable[WBA2]+BetTable[WBA3]-BetTable[TS])</f>
        <v>-25</v>
      </c>
      <c r="Z412" s="164">
        <f>(((BetTable[Odds]-1)*BetTable[Stake])*(1-(BetTable[Comm %]))+BetTable[Stake])</f>
        <v>43.5</v>
      </c>
      <c r="AA412" s="164">
        <f>(((BetTable[O2]-1)*BetTable[S2])*(1-(BetTable[C% 2]))+BetTable[S2])</f>
        <v>0</v>
      </c>
      <c r="AB412" s="164">
        <f>(((BetTable[O3]-1)*BetTable[S3])*(1-(BetTable[C% 3]))+BetTable[S3])</f>
        <v>0</v>
      </c>
      <c r="AC412" s="165">
        <f>IFERROR(IF(BetTable[Sport]="","",BetTable[R1]/BetTable[TS]),"")</f>
        <v>0.74</v>
      </c>
      <c r="AD412" s="165" t="str">
        <f>IF(BetTable[O2]="","",#REF!/BetTable[TS])</f>
        <v/>
      </c>
      <c r="AE412" s="165" t="str">
        <f>IFERROR(IF(BetTable[Sport]="","",#REF!/BetTable[TS]),"")</f>
        <v/>
      </c>
      <c r="AF412" s="164">
        <f>IF(BetTable[Outcome]="Win",BetTable[WBA1-Commission],IF(BetTable[Outcome]="Win Half Stake",(BetTable[Stake]/2)+BetTable[WBA1-Commission]/2,IF(BetTable[Outcome]="Lose Half Stake",BetTable[Stake]/2,IF(BetTable[Outcome]="Lose",0,IF(BetTable[Outcome]="Void",BetTable[Stake],)))))</f>
        <v>0</v>
      </c>
      <c r="AG412" s="164">
        <f>IF(BetTable[Outcome2]="Win",BetTable[WBA2-Commission],IF(BetTable[Outcome2]="Win Half Stake",(BetTable[S2]/2)+BetTable[WBA2-Commission]/2,IF(BetTable[Outcome2]="Lose Half Stake",BetTable[S2]/2,IF(BetTable[Outcome2]="Lose",0,IF(BetTable[Outcome2]="Void",BetTable[S2],)))))</f>
        <v>0</v>
      </c>
      <c r="AH412" s="164">
        <f>IF(BetTable[Outcome3]="Win",BetTable[WBA3-Commission],IF(BetTable[Outcome3]="Win Half Stake",(BetTable[S3]/2)+BetTable[WBA3-Commission]/2,IF(BetTable[Outcome3]="Lose Half Stake",BetTable[S3]/2,IF(BetTable[Outcome3]="Lose",0,IF(BetTable[Outcome3]="Void",BetTable[S3],)))))</f>
        <v>0</v>
      </c>
      <c r="AI412" s="168">
        <f>IF(BetTable[Outcome]="",AI411,BetTable[Result]+AI411)</f>
        <v>736.64425000000051</v>
      </c>
      <c r="AJ412" s="160"/>
    </row>
    <row r="413" spans="1:36" x14ac:dyDescent="0.2">
      <c r="A413" s="159" t="s">
        <v>1202</v>
      </c>
      <c r="B413" s="160" t="s">
        <v>8</v>
      </c>
      <c r="C413" s="161" t="s">
        <v>91</v>
      </c>
      <c r="D413" s="161"/>
      <c r="E413" s="161"/>
      <c r="F413" s="162"/>
      <c r="G413" s="162"/>
      <c r="H413" s="162"/>
      <c r="I413" s="160" t="s">
        <v>1272</v>
      </c>
      <c r="J413" s="163">
        <v>1.76</v>
      </c>
      <c r="K413" s="163"/>
      <c r="L413" s="163"/>
      <c r="M413" s="164">
        <v>41</v>
      </c>
      <c r="N413" s="164"/>
      <c r="O413" s="164"/>
      <c r="P413" s="159" t="s">
        <v>435</v>
      </c>
      <c r="Q413" s="159" t="s">
        <v>495</v>
      </c>
      <c r="R413" s="159" t="s">
        <v>1273</v>
      </c>
      <c r="S413" s="165">
        <v>2.5878318905231502E-2</v>
      </c>
      <c r="T413" s="166" t="s">
        <v>372</v>
      </c>
      <c r="U413" s="166"/>
      <c r="V413" s="166"/>
      <c r="W413" s="167">
        <f>IF(BetTable[Sport]="","",BetTable[Stake]+BetTable[S2]+BetTable[S3])</f>
        <v>41</v>
      </c>
      <c r="X413" s="164">
        <f>IF(BetTable[Odds]="","",(BetTable[WBA1-Commission])-BetTable[TS])</f>
        <v>31.159999999999997</v>
      </c>
      <c r="Y413" s="168">
        <f>IF(BetTable[Outcome]="","",BetTable[WBA1]+BetTable[WBA2]+BetTable[WBA3]-BetTable[TS])</f>
        <v>31.159999999999997</v>
      </c>
      <c r="Z413" s="164">
        <f>(((BetTable[Odds]-1)*BetTable[Stake])*(1-(BetTable[Comm %]))+BetTable[Stake])</f>
        <v>72.16</v>
      </c>
      <c r="AA413" s="164">
        <f>(((BetTable[O2]-1)*BetTable[S2])*(1-(BetTable[C% 2]))+BetTable[S2])</f>
        <v>0</v>
      </c>
      <c r="AB413" s="164">
        <f>(((BetTable[O3]-1)*BetTable[S3])*(1-(BetTable[C% 3]))+BetTable[S3])</f>
        <v>0</v>
      </c>
      <c r="AC413" s="165">
        <f>IFERROR(IF(BetTable[Sport]="","",BetTable[R1]/BetTable[TS]),"")</f>
        <v>0.7599999999999999</v>
      </c>
      <c r="AD413" s="165" t="str">
        <f>IF(BetTable[O2]="","",#REF!/BetTable[TS])</f>
        <v/>
      </c>
      <c r="AE413" s="165" t="str">
        <f>IFERROR(IF(BetTable[Sport]="","",#REF!/BetTable[TS]),"")</f>
        <v/>
      </c>
      <c r="AF413" s="164">
        <f>IF(BetTable[Outcome]="Win",BetTable[WBA1-Commission],IF(BetTable[Outcome]="Win Half Stake",(BetTable[Stake]/2)+BetTable[WBA1-Commission]/2,IF(BetTable[Outcome]="Lose Half Stake",BetTable[Stake]/2,IF(BetTable[Outcome]="Lose",0,IF(BetTable[Outcome]="Void",BetTable[Stake],)))))</f>
        <v>72.16</v>
      </c>
      <c r="AG413" s="164">
        <f>IF(BetTable[Outcome2]="Win",BetTable[WBA2-Commission],IF(BetTable[Outcome2]="Win Half Stake",(BetTable[S2]/2)+BetTable[WBA2-Commission]/2,IF(BetTable[Outcome2]="Lose Half Stake",BetTable[S2]/2,IF(BetTable[Outcome2]="Lose",0,IF(BetTable[Outcome2]="Void",BetTable[S2],)))))</f>
        <v>0</v>
      </c>
      <c r="AH413" s="164">
        <f>IF(BetTable[Outcome3]="Win",BetTable[WBA3-Commission],IF(BetTable[Outcome3]="Win Half Stake",(BetTable[S3]/2)+BetTable[WBA3-Commission]/2,IF(BetTable[Outcome3]="Lose Half Stake",BetTable[S3]/2,IF(BetTable[Outcome3]="Lose",0,IF(BetTable[Outcome3]="Void",BetTable[S3],)))))</f>
        <v>0</v>
      </c>
      <c r="AI413" s="168">
        <f>IF(BetTable[Outcome]="",AI412,BetTable[Result]+AI412)</f>
        <v>767.80425000000048</v>
      </c>
      <c r="AJ413" s="160"/>
    </row>
    <row r="414" spans="1:36" x14ac:dyDescent="0.2">
      <c r="A414" s="159" t="s">
        <v>1202</v>
      </c>
      <c r="B414" s="160" t="s">
        <v>8</v>
      </c>
      <c r="C414" s="161" t="s">
        <v>91</v>
      </c>
      <c r="D414" s="161"/>
      <c r="E414" s="161"/>
      <c r="F414" s="162"/>
      <c r="G414" s="162"/>
      <c r="H414" s="162"/>
      <c r="I414" s="160" t="s">
        <v>1274</v>
      </c>
      <c r="J414" s="163">
        <v>1.45</v>
      </c>
      <c r="K414" s="163"/>
      <c r="L414" s="163"/>
      <c r="M414" s="164">
        <v>49</v>
      </c>
      <c r="N414" s="164"/>
      <c r="O414" s="164"/>
      <c r="P414" s="159" t="s">
        <v>435</v>
      </c>
      <c r="Q414" s="159" t="s">
        <v>458</v>
      </c>
      <c r="R414" s="159" t="s">
        <v>1275</v>
      </c>
      <c r="S414" s="165">
        <v>1.8250315109551999E-2</v>
      </c>
      <c r="T414" s="166" t="s">
        <v>383</v>
      </c>
      <c r="U414" s="166"/>
      <c r="V414" s="166"/>
      <c r="W414" s="167">
        <f>IF(BetTable[Sport]="","",BetTable[Stake]+BetTable[S2]+BetTable[S3])</f>
        <v>49</v>
      </c>
      <c r="X414" s="164">
        <f>IF(BetTable[Odds]="","",(BetTable[WBA1-Commission])-BetTable[TS])</f>
        <v>22.049999999999997</v>
      </c>
      <c r="Y414" s="168">
        <f>IF(BetTable[Outcome]="","",BetTable[WBA1]+BetTable[WBA2]+BetTable[WBA3]-BetTable[TS])</f>
        <v>0</v>
      </c>
      <c r="Z414" s="164">
        <f>(((BetTable[Odds]-1)*BetTable[Stake])*(1-(BetTable[Comm %]))+BetTable[Stake])</f>
        <v>71.05</v>
      </c>
      <c r="AA414" s="164">
        <f>(((BetTable[O2]-1)*BetTable[S2])*(1-(BetTable[C% 2]))+BetTable[S2])</f>
        <v>0</v>
      </c>
      <c r="AB414" s="164">
        <f>(((BetTable[O3]-1)*BetTable[S3])*(1-(BetTable[C% 3]))+BetTable[S3])</f>
        <v>0</v>
      </c>
      <c r="AC414" s="165">
        <f>IFERROR(IF(BetTable[Sport]="","",BetTable[R1]/BetTable[TS]),"")</f>
        <v>0.44999999999999996</v>
      </c>
      <c r="AD414" s="165" t="str">
        <f>IF(BetTable[O2]="","",#REF!/BetTable[TS])</f>
        <v/>
      </c>
      <c r="AE414" s="165" t="str">
        <f>IFERROR(IF(BetTable[Sport]="","",#REF!/BetTable[TS]),"")</f>
        <v/>
      </c>
      <c r="AF414" s="164">
        <f>IF(BetTable[Outcome]="Win",BetTable[WBA1-Commission],IF(BetTable[Outcome]="Win Half Stake",(BetTable[Stake]/2)+BetTable[WBA1-Commission]/2,IF(BetTable[Outcome]="Lose Half Stake",BetTable[Stake]/2,IF(BetTable[Outcome]="Lose",0,IF(BetTable[Outcome]="Void",BetTable[Stake],)))))</f>
        <v>49</v>
      </c>
      <c r="AG414" s="164">
        <f>IF(BetTable[Outcome2]="Win",BetTable[WBA2-Commission],IF(BetTable[Outcome2]="Win Half Stake",(BetTable[S2]/2)+BetTable[WBA2-Commission]/2,IF(BetTable[Outcome2]="Lose Half Stake",BetTable[S2]/2,IF(BetTable[Outcome2]="Lose",0,IF(BetTable[Outcome2]="Void",BetTable[S2],)))))</f>
        <v>0</v>
      </c>
      <c r="AH414" s="164">
        <f>IF(BetTable[Outcome3]="Win",BetTable[WBA3-Commission],IF(BetTable[Outcome3]="Win Half Stake",(BetTable[S3]/2)+BetTable[WBA3-Commission]/2,IF(BetTable[Outcome3]="Lose Half Stake",BetTable[S3]/2,IF(BetTable[Outcome3]="Lose",0,IF(BetTable[Outcome3]="Void",BetTable[S3],)))))</f>
        <v>0</v>
      </c>
      <c r="AI414" s="168">
        <f>IF(BetTable[Outcome]="",AI413,BetTable[Result]+AI413)</f>
        <v>767.80425000000048</v>
      </c>
      <c r="AJ414" s="160"/>
    </row>
    <row r="415" spans="1:36" x14ac:dyDescent="0.2">
      <c r="A415" s="159" t="s">
        <v>1202</v>
      </c>
      <c r="B415" s="160" t="s">
        <v>200</v>
      </c>
      <c r="C415" s="161" t="s">
        <v>234</v>
      </c>
      <c r="D415" s="161"/>
      <c r="E415" s="161"/>
      <c r="F415" s="162"/>
      <c r="G415" s="162"/>
      <c r="H415" s="162"/>
      <c r="I415" s="160" t="s">
        <v>1276</v>
      </c>
      <c r="J415" s="163">
        <v>3.3</v>
      </c>
      <c r="K415" s="163"/>
      <c r="L415" s="163"/>
      <c r="M415" s="164">
        <v>15</v>
      </c>
      <c r="N415" s="164"/>
      <c r="O415" s="164"/>
      <c r="P415" s="159" t="s">
        <v>428</v>
      </c>
      <c r="Q415" s="159" t="s">
        <v>439</v>
      </c>
      <c r="R415" s="159" t="s">
        <v>1277</v>
      </c>
      <c r="S415" s="165">
        <v>2.94871794871794E-2</v>
      </c>
      <c r="T415" s="166" t="s">
        <v>382</v>
      </c>
      <c r="U415" s="166"/>
      <c r="V415" s="166"/>
      <c r="W415" s="167">
        <f>IF(BetTable[Sport]="","",BetTable[Stake]+BetTable[S2]+BetTable[S3])</f>
        <v>15</v>
      </c>
      <c r="X415" s="164">
        <f>IF(BetTable[Odds]="","",(BetTable[WBA1-Commission])-BetTable[TS])</f>
        <v>34.5</v>
      </c>
      <c r="Y415" s="168">
        <f>IF(BetTable[Outcome]="","",BetTable[WBA1]+BetTable[WBA2]+BetTable[WBA3]-BetTable[TS])</f>
        <v>-15</v>
      </c>
      <c r="Z415" s="164">
        <f>(((BetTable[Odds]-1)*BetTable[Stake])*(1-(BetTable[Comm %]))+BetTable[Stake])</f>
        <v>49.5</v>
      </c>
      <c r="AA415" s="164">
        <f>(((BetTable[O2]-1)*BetTable[S2])*(1-(BetTable[C% 2]))+BetTable[S2])</f>
        <v>0</v>
      </c>
      <c r="AB415" s="164">
        <f>(((BetTable[O3]-1)*BetTable[S3])*(1-(BetTable[C% 3]))+BetTable[S3])</f>
        <v>0</v>
      </c>
      <c r="AC415" s="165">
        <f>IFERROR(IF(BetTable[Sport]="","",BetTable[R1]/BetTable[TS]),"")</f>
        <v>2.2999999999999998</v>
      </c>
      <c r="AD415" s="165" t="str">
        <f>IF(BetTable[O2]="","",#REF!/BetTable[TS])</f>
        <v/>
      </c>
      <c r="AE415" s="165" t="str">
        <f>IFERROR(IF(BetTable[Sport]="","",#REF!/BetTable[TS]),"")</f>
        <v/>
      </c>
      <c r="AF415" s="164">
        <f>IF(BetTable[Outcome]="Win",BetTable[WBA1-Commission],IF(BetTable[Outcome]="Win Half Stake",(BetTable[Stake]/2)+BetTable[WBA1-Commission]/2,IF(BetTable[Outcome]="Lose Half Stake",BetTable[Stake]/2,IF(BetTable[Outcome]="Lose",0,IF(BetTable[Outcome]="Void",BetTable[Stake],)))))</f>
        <v>0</v>
      </c>
      <c r="AG415" s="164">
        <f>IF(BetTable[Outcome2]="Win",BetTable[WBA2-Commission],IF(BetTable[Outcome2]="Win Half Stake",(BetTable[S2]/2)+BetTable[WBA2-Commission]/2,IF(BetTable[Outcome2]="Lose Half Stake",BetTable[S2]/2,IF(BetTable[Outcome2]="Lose",0,IF(BetTable[Outcome2]="Void",BetTable[S2],)))))</f>
        <v>0</v>
      </c>
      <c r="AH415" s="164">
        <f>IF(BetTable[Outcome3]="Win",BetTable[WBA3-Commission],IF(BetTable[Outcome3]="Win Half Stake",(BetTable[S3]/2)+BetTable[WBA3-Commission]/2,IF(BetTable[Outcome3]="Lose Half Stake",BetTable[S3]/2,IF(BetTable[Outcome3]="Lose",0,IF(BetTable[Outcome3]="Void",BetTable[S3],)))))</f>
        <v>0</v>
      </c>
      <c r="AI415" s="168">
        <f>IF(BetTable[Outcome]="",AI414,BetTable[Result]+AI414)</f>
        <v>752.80425000000048</v>
      </c>
      <c r="AJ415" s="160"/>
    </row>
    <row r="416" spans="1:36" x14ac:dyDescent="0.2">
      <c r="A416" s="159" t="s">
        <v>1202</v>
      </c>
      <c r="B416" s="160" t="s">
        <v>200</v>
      </c>
      <c r="C416" s="161" t="s">
        <v>234</v>
      </c>
      <c r="D416" s="161"/>
      <c r="E416" s="161"/>
      <c r="F416" s="162"/>
      <c r="G416" s="162"/>
      <c r="H416" s="162"/>
      <c r="I416" s="160" t="s">
        <v>1278</v>
      </c>
      <c r="J416" s="163">
        <v>1.91</v>
      </c>
      <c r="K416" s="163"/>
      <c r="L416" s="163"/>
      <c r="M416" s="164">
        <v>31</v>
      </c>
      <c r="N416" s="164"/>
      <c r="O416" s="164"/>
      <c r="P416" s="159" t="s">
        <v>351</v>
      </c>
      <c r="Q416" s="159" t="s">
        <v>674</v>
      </c>
      <c r="R416" s="159" t="s">
        <v>1279</v>
      </c>
      <c r="S416" s="165">
        <v>2.38074342322173E-2</v>
      </c>
      <c r="T416" s="166" t="s">
        <v>372</v>
      </c>
      <c r="U416" s="166"/>
      <c r="V416" s="166"/>
      <c r="W416" s="167">
        <f>IF(BetTable[Sport]="","",BetTable[Stake]+BetTable[S2]+BetTable[S3])</f>
        <v>31</v>
      </c>
      <c r="X416" s="164">
        <f>IF(BetTable[Odds]="","",(BetTable[WBA1-Commission])-BetTable[TS])</f>
        <v>28.209999999999994</v>
      </c>
      <c r="Y416" s="168">
        <f>IF(BetTable[Outcome]="","",BetTable[WBA1]+BetTable[WBA2]+BetTable[WBA3]-BetTable[TS])</f>
        <v>28.209999999999994</v>
      </c>
      <c r="Z416" s="164">
        <f>(((BetTable[Odds]-1)*BetTable[Stake])*(1-(BetTable[Comm %]))+BetTable[Stake])</f>
        <v>59.209999999999994</v>
      </c>
      <c r="AA416" s="164">
        <f>(((BetTable[O2]-1)*BetTable[S2])*(1-(BetTable[C% 2]))+BetTable[S2])</f>
        <v>0</v>
      </c>
      <c r="AB416" s="164">
        <f>(((BetTable[O3]-1)*BetTable[S3])*(1-(BetTable[C% 3]))+BetTable[S3])</f>
        <v>0</v>
      </c>
      <c r="AC416" s="165">
        <f>IFERROR(IF(BetTable[Sport]="","",BetTable[R1]/BetTable[TS]),"")</f>
        <v>0.90999999999999981</v>
      </c>
      <c r="AD416" s="165" t="str">
        <f>IF(BetTable[O2]="","",#REF!/BetTable[TS])</f>
        <v/>
      </c>
      <c r="AE416" s="165" t="str">
        <f>IFERROR(IF(BetTable[Sport]="","",#REF!/BetTable[TS]),"")</f>
        <v/>
      </c>
      <c r="AF416" s="164">
        <f>IF(BetTable[Outcome]="Win",BetTable[WBA1-Commission],IF(BetTable[Outcome]="Win Half Stake",(BetTable[Stake]/2)+BetTable[WBA1-Commission]/2,IF(BetTable[Outcome]="Lose Half Stake",BetTable[Stake]/2,IF(BetTable[Outcome]="Lose",0,IF(BetTable[Outcome]="Void",BetTable[Stake],)))))</f>
        <v>59.209999999999994</v>
      </c>
      <c r="AG416" s="164">
        <f>IF(BetTable[Outcome2]="Win",BetTable[WBA2-Commission],IF(BetTable[Outcome2]="Win Half Stake",(BetTable[S2]/2)+BetTable[WBA2-Commission]/2,IF(BetTable[Outcome2]="Lose Half Stake",BetTable[S2]/2,IF(BetTable[Outcome2]="Lose",0,IF(BetTable[Outcome2]="Void",BetTable[S2],)))))</f>
        <v>0</v>
      </c>
      <c r="AH416" s="164">
        <f>IF(BetTable[Outcome3]="Win",BetTable[WBA3-Commission],IF(BetTable[Outcome3]="Win Half Stake",(BetTable[S3]/2)+BetTable[WBA3-Commission]/2,IF(BetTable[Outcome3]="Lose Half Stake",BetTable[S3]/2,IF(BetTable[Outcome3]="Lose",0,IF(BetTable[Outcome3]="Void",BetTable[S3],)))))</f>
        <v>0</v>
      </c>
      <c r="AI416" s="168">
        <f>IF(BetTable[Outcome]="",AI415,BetTable[Result]+AI415)</f>
        <v>781.01425000000052</v>
      </c>
      <c r="AJ416" s="160"/>
    </row>
    <row r="417" spans="1:36" x14ac:dyDescent="0.2">
      <c r="A417" s="159" t="s">
        <v>1202</v>
      </c>
      <c r="B417" s="160" t="s">
        <v>200</v>
      </c>
      <c r="C417" s="161" t="s">
        <v>91</v>
      </c>
      <c r="D417" s="161"/>
      <c r="E417" s="161"/>
      <c r="F417" s="162"/>
      <c r="G417" s="162"/>
      <c r="H417" s="162"/>
      <c r="I417" s="160" t="s">
        <v>1280</v>
      </c>
      <c r="J417" s="163">
        <v>2.09</v>
      </c>
      <c r="K417" s="163"/>
      <c r="L417" s="163"/>
      <c r="M417" s="164">
        <v>13</v>
      </c>
      <c r="N417" s="164"/>
      <c r="O417" s="164"/>
      <c r="P417" s="159" t="s">
        <v>435</v>
      </c>
      <c r="Q417" s="159" t="s">
        <v>547</v>
      </c>
      <c r="R417" s="159" t="s">
        <v>1281</v>
      </c>
      <c r="S417" s="165">
        <v>1.15004850629155E-2</v>
      </c>
      <c r="T417" s="166" t="s">
        <v>382</v>
      </c>
      <c r="U417" s="166"/>
      <c r="V417" s="166"/>
      <c r="W417" s="167">
        <f>IF(BetTable[Sport]="","",BetTable[Stake]+BetTable[S2]+BetTable[S3])</f>
        <v>13</v>
      </c>
      <c r="X417" s="164">
        <f>IF(BetTable[Odds]="","",(BetTable[WBA1-Commission])-BetTable[TS])</f>
        <v>14.169999999999998</v>
      </c>
      <c r="Y417" s="168">
        <f>IF(BetTable[Outcome]="","",BetTable[WBA1]+BetTable[WBA2]+BetTable[WBA3]-BetTable[TS])</f>
        <v>-13</v>
      </c>
      <c r="Z417" s="164">
        <f>(((BetTable[Odds]-1)*BetTable[Stake])*(1-(BetTable[Comm %]))+BetTable[Stake])</f>
        <v>27.169999999999998</v>
      </c>
      <c r="AA417" s="164">
        <f>(((BetTable[O2]-1)*BetTable[S2])*(1-(BetTable[C% 2]))+BetTable[S2])</f>
        <v>0</v>
      </c>
      <c r="AB417" s="164">
        <f>(((BetTable[O3]-1)*BetTable[S3])*(1-(BetTable[C% 3]))+BetTable[S3])</f>
        <v>0</v>
      </c>
      <c r="AC417" s="165">
        <f>IFERROR(IF(BetTable[Sport]="","",BetTable[R1]/BetTable[TS]),"")</f>
        <v>1.0899999999999999</v>
      </c>
      <c r="AD417" s="165" t="str">
        <f>IF(BetTable[O2]="","",#REF!/BetTable[TS])</f>
        <v/>
      </c>
      <c r="AE417" s="165" t="str">
        <f>IFERROR(IF(BetTable[Sport]="","",#REF!/BetTable[TS]),"")</f>
        <v/>
      </c>
      <c r="AF417" s="164">
        <f>IF(BetTable[Outcome]="Win",BetTable[WBA1-Commission],IF(BetTable[Outcome]="Win Half Stake",(BetTable[Stake]/2)+BetTable[WBA1-Commission]/2,IF(BetTable[Outcome]="Lose Half Stake",BetTable[Stake]/2,IF(BetTable[Outcome]="Lose",0,IF(BetTable[Outcome]="Void",BetTable[Stake],)))))</f>
        <v>0</v>
      </c>
      <c r="AG417" s="164">
        <f>IF(BetTable[Outcome2]="Win",BetTable[WBA2-Commission],IF(BetTable[Outcome2]="Win Half Stake",(BetTable[S2]/2)+BetTable[WBA2-Commission]/2,IF(BetTable[Outcome2]="Lose Half Stake",BetTable[S2]/2,IF(BetTable[Outcome2]="Lose",0,IF(BetTable[Outcome2]="Void",BetTable[S2],)))))</f>
        <v>0</v>
      </c>
      <c r="AH417" s="164">
        <f>IF(BetTable[Outcome3]="Win",BetTable[WBA3-Commission],IF(BetTable[Outcome3]="Win Half Stake",(BetTable[S3]/2)+BetTable[WBA3-Commission]/2,IF(BetTable[Outcome3]="Lose Half Stake",BetTable[S3]/2,IF(BetTable[Outcome3]="Lose",0,IF(BetTable[Outcome3]="Void",BetTable[S3],)))))</f>
        <v>0</v>
      </c>
      <c r="AI417" s="168">
        <f>IF(BetTable[Outcome]="",AI416,BetTable[Result]+AI416)</f>
        <v>768.01425000000052</v>
      </c>
      <c r="AJ417" s="160"/>
    </row>
    <row r="418" spans="1:36" x14ac:dyDescent="0.2">
      <c r="A418" s="159" t="s">
        <v>1202</v>
      </c>
      <c r="B418" s="160" t="s">
        <v>7</v>
      </c>
      <c r="C418" s="161" t="s">
        <v>91</v>
      </c>
      <c r="D418" s="161"/>
      <c r="E418" s="161"/>
      <c r="F418" s="162"/>
      <c r="G418" s="162"/>
      <c r="H418" s="162"/>
      <c r="I418" s="160" t="s">
        <v>1282</v>
      </c>
      <c r="J418" s="163">
        <v>2</v>
      </c>
      <c r="K418" s="163"/>
      <c r="L418" s="163"/>
      <c r="M418" s="164">
        <v>17</v>
      </c>
      <c r="N418" s="164"/>
      <c r="O418" s="164"/>
      <c r="P418" s="159" t="s">
        <v>1283</v>
      </c>
      <c r="Q418" s="159" t="s">
        <v>1132</v>
      </c>
      <c r="R418" s="159" t="s">
        <v>1284</v>
      </c>
      <c r="S418" s="165">
        <v>1.4278625864123999E-2</v>
      </c>
      <c r="T418" s="166" t="s">
        <v>372</v>
      </c>
      <c r="U418" s="166"/>
      <c r="V418" s="166"/>
      <c r="W418" s="167">
        <f>IF(BetTable[Sport]="","",BetTable[Stake]+BetTable[S2]+BetTable[S3])</f>
        <v>17</v>
      </c>
      <c r="X418" s="164">
        <f>IF(BetTable[Odds]="","",(BetTable[WBA1-Commission])-BetTable[TS])</f>
        <v>17</v>
      </c>
      <c r="Y418" s="168">
        <f>IF(BetTable[Outcome]="","",BetTable[WBA1]+BetTable[WBA2]+BetTable[WBA3]-BetTable[TS])</f>
        <v>17</v>
      </c>
      <c r="Z418" s="164">
        <f>(((BetTable[Odds]-1)*BetTable[Stake])*(1-(BetTable[Comm %]))+BetTable[Stake])</f>
        <v>34</v>
      </c>
      <c r="AA418" s="164">
        <f>(((BetTable[O2]-1)*BetTable[S2])*(1-(BetTable[C% 2]))+BetTable[S2])</f>
        <v>0</v>
      </c>
      <c r="AB418" s="164">
        <f>(((BetTable[O3]-1)*BetTable[S3])*(1-(BetTable[C% 3]))+BetTable[S3])</f>
        <v>0</v>
      </c>
      <c r="AC418" s="165">
        <f>IFERROR(IF(BetTable[Sport]="","",BetTable[R1]/BetTable[TS]),"")</f>
        <v>1</v>
      </c>
      <c r="AD418" s="165" t="str">
        <f>IF(BetTable[O2]="","",#REF!/BetTable[TS])</f>
        <v/>
      </c>
      <c r="AE418" s="165" t="str">
        <f>IFERROR(IF(BetTable[Sport]="","",#REF!/BetTable[TS]),"")</f>
        <v/>
      </c>
      <c r="AF418" s="164">
        <f>IF(BetTable[Outcome]="Win",BetTable[WBA1-Commission],IF(BetTable[Outcome]="Win Half Stake",(BetTable[Stake]/2)+BetTable[WBA1-Commission]/2,IF(BetTable[Outcome]="Lose Half Stake",BetTable[Stake]/2,IF(BetTable[Outcome]="Lose",0,IF(BetTable[Outcome]="Void",BetTable[Stake],)))))</f>
        <v>34</v>
      </c>
      <c r="AG418" s="164">
        <f>IF(BetTable[Outcome2]="Win",BetTable[WBA2-Commission],IF(BetTable[Outcome2]="Win Half Stake",(BetTable[S2]/2)+BetTable[WBA2-Commission]/2,IF(BetTable[Outcome2]="Lose Half Stake",BetTable[S2]/2,IF(BetTable[Outcome2]="Lose",0,IF(BetTable[Outcome2]="Void",BetTable[S2],)))))</f>
        <v>0</v>
      </c>
      <c r="AH418" s="164">
        <f>IF(BetTable[Outcome3]="Win",BetTable[WBA3-Commission],IF(BetTable[Outcome3]="Win Half Stake",(BetTable[S3]/2)+BetTable[WBA3-Commission]/2,IF(BetTable[Outcome3]="Lose Half Stake",BetTable[S3]/2,IF(BetTable[Outcome3]="Lose",0,IF(BetTable[Outcome3]="Void",BetTable[S3],)))))</f>
        <v>0</v>
      </c>
      <c r="AI418" s="168">
        <f>IF(BetTable[Outcome]="",AI417,BetTable[Result]+AI417)</f>
        <v>785.01425000000052</v>
      </c>
      <c r="AJ418" s="160"/>
    </row>
    <row r="419" spans="1:36" x14ac:dyDescent="0.2">
      <c r="A419" s="159" t="s">
        <v>1202</v>
      </c>
      <c r="B419" s="160" t="s">
        <v>7</v>
      </c>
      <c r="C419" s="161" t="s">
        <v>234</v>
      </c>
      <c r="D419" s="161"/>
      <c r="E419" s="161"/>
      <c r="F419" s="162"/>
      <c r="G419" s="162"/>
      <c r="H419" s="162"/>
      <c r="I419" s="160" t="s">
        <v>1285</v>
      </c>
      <c r="J419" s="163">
        <v>2.06</v>
      </c>
      <c r="K419" s="163"/>
      <c r="L419" s="163"/>
      <c r="M419" s="164">
        <v>18</v>
      </c>
      <c r="N419" s="164"/>
      <c r="O419" s="164"/>
      <c r="P419" s="159" t="s">
        <v>1286</v>
      </c>
      <c r="Q419" s="159" t="s">
        <v>1136</v>
      </c>
      <c r="R419" s="159" t="s">
        <v>1287</v>
      </c>
      <c r="S419" s="165">
        <v>1.5712634924188E-2</v>
      </c>
      <c r="T419" s="166" t="s">
        <v>382</v>
      </c>
      <c r="U419" s="166"/>
      <c r="V419" s="166"/>
      <c r="W419" s="167">
        <f>IF(BetTable[Sport]="","",BetTable[Stake]+BetTable[S2]+BetTable[S3])</f>
        <v>18</v>
      </c>
      <c r="X419" s="164">
        <f>IF(BetTable[Odds]="","",(BetTable[WBA1-Commission])-BetTable[TS])</f>
        <v>19.079999999999998</v>
      </c>
      <c r="Y419" s="168">
        <f>IF(BetTable[Outcome]="","",BetTable[WBA1]+BetTable[WBA2]+BetTable[WBA3]-BetTable[TS])</f>
        <v>-18</v>
      </c>
      <c r="Z419" s="164">
        <f>(((BetTable[Odds]-1)*BetTable[Stake])*(1-(BetTable[Comm %]))+BetTable[Stake])</f>
        <v>37.08</v>
      </c>
      <c r="AA419" s="164">
        <f>(((BetTable[O2]-1)*BetTable[S2])*(1-(BetTable[C% 2]))+BetTable[S2])</f>
        <v>0</v>
      </c>
      <c r="AB419" s="164">
        <f>(((BetTable[O3]-1)*BetTable[S3])*(1-(BetTable[C% 3]))+BetTable[S3])</f>
        <v>0</v>
      </c>
      <c r="AC419" s="165">
        <f>IFERROR(IF(BetTable[Sport]="","",BetTable[R1]/BetTable[TS]),"")</f>
        <v>1.0599999999999998</v>
      </c>
      <c r="AD419" s="165" t="str">
        <f>IF(BetTable[O2]="","",#REF!/BetTable[TS])</f>
        <v/>
      </c>
      <c r="AE419" s="165" t="str">
        <f>IFERROR(IF(BetTable[Sport]="","",#REF!/BetTable[TS]),"")</f>
        <v/>
      </c>
      <c r="AF419" s="164">
        <f>IF(BetTable[Outcome]="Win",BetTable[WBA1-Commission],IF(BetTable[Outcome]="Win Half Stake",(BetTable[Stake]/2)+BetTable[WBA1-Commission]/2,IF(BetTable[Outcome]="Lose Half Stake",BetTable[Stake]/2,IF(BetTable[Outcome]="Lose",0,IF(BetTable[Outcome]="Void",BetTable[Stake],)))))</f>
        <v>0</v>
      </c>
      <c r="AG419" s="164">
        <f>IF(BetTable[Outcome2]="Win",BetTable[WBA2-Commission],IF(BetTable[Outcome2]="Win Half Stake",(BetTable[S2]/2)+BetTable[WBA2-Commission]/2,IF(BetTable[Outcome2]="Lose Half Stake",BetTable[S2]/2,IF(BetTable[Outcome2]="Lose",0,IF(BetTable[Outcome2]="Void",BetTable[S2],)))))</f>
        <v>0</v>
      </c>
      <c r="AH419" s="164">
        <f>IF(BetTable[Outcome3]="Win",BetTable[WBA3-Commission],IF(BetTable[Outcome3]="Win Half Stake",(BetTable[S3]/2)+BetTable[WBA3-Commission]/2,IF(BetTable[Outcome3]="Lose Half Stake",BetTable[S3]/2,IF(BetTable[Outcome3]="Lose",0,IF(BetTable[Outcome3]="Void",BetTable[S3],)))))</f>
        <v>0</v>
      </c>
      <c r="AI419" s="168">
        <f>IF(BetTable[Outcome]="",AI418,BetTable[Result]+AI418)</f>
        <v>767.01425000000052</v>
      </c>
      <c r="AJ419" s="160"/>
    </row>
    <row r="420" spans="1:36" x14ac:dyDescent="0.2">
      <c r="A420" s="159" t="s">
        <v>1202</v>
      </c>
      <c r="B420" s="160" t="s">
        <v>200</v>
      </c>
      <c r="C420" s="161" t="s">
        <v>91</v>
      </c>
      <c r="D420" s="161"/>
      <c r="E420" s="161"/>
      <c r="F420" s="162"/>
      <c r="G420" s="162"/>
      <c r="H420" s="162"/>
      <c r="I420" s="160" t="s">
        <v>1249</v>
      </c>
      <c r="J420" s="163">
        <v>1.56</v>
      </c>
      <c r="K420" s="163"/>
      <c r="L420" s="163"/>
      <c r="M420" s="164">
        <v>31</v>
      </c>
      <c r="N420" s="164"/>
      <c r="O420" s="164"/>
      <c r="P420" s="159" t="s">
        <v>388</v>
      </c>
      <c r="Q420" s="159" t="s">
        <v>491</v>
      </c>
      <c r="R420" s="159" t="s">
        <v>1288</v>
      </c>
      <c r="S420" s="165">
        <v>1.46181416546644E-2</v>
      </c>
      <c r="T420" s="166" t="s">
        <v>382</v>
      </c>
      <c r="U420" s="166"/>
      <c r="V420" s="166"/>
      <c r="W420" s="167">
        <f>IF(BetTable[Sport]="","",BetTable[Stake]+BetTable[S2]+BetTable[S3])</f>
        <v>31</v>
      </c>
      <c r="X420" s="164">
        <f>IF(BetTable[Odds]="","",(BetTable[WBA1-Commission])-BetTable[TS])</f>
        <v>17.36</v>
      </c>
      <c r="Y420" s="168">
        <f>IF(BetTable[Outcome]="","",BetTable[WBA1]+BetTable[WBA2]+BetTable[WBA3]-BetTable[TS])</f>
        <v>-31</v>
      </c>
      <c r="Z420" s="164">
        <f>(((BetTable[Odds]-1)*BetTable[Stake])*(1-(BetTable[Comm %]))+BetTable[Stake])</f>
        <v>48.36</v>
      </c>
      <c r="AA420" s="164">
        <f>(((BetTable[O2]-1)*BetTable[S2])*(1-(BetTable[C% 2]))+BetTable[S2])</f>
        <v>0</v>
      </c>
      <c r="AB420" s="164">
        <f>(((BetTable[O3]-1)*BetTable[S3])*(1-(BetTable[C% 3]))+BetTable[S3])</f>
        <v>0</v>
      </c>
      <c r="AC420" s="165">
        <f>IFERROR(IF(BetTable[Sport]="","",BetTable[R1]/BetTable[TS]),"")</f>
        <v>0.55999999999999994</v>
      </c>
      <c r="AD420" s="165" t="str">
        <f>IF(BetTable[O2]="","",#REF!/BetTable[TS])</f>
        <v/>
      </c>
      <c r="AE420" s="165" t="str">
        <f>IFERROR(IF(BetTable[Sport]="","",#REF!/BetTable[TS]),"")</f>
        <v/>
      </c>
      <c r="AF420" s="164">
        <f>IF(BetTable[Outcome]="Win",BetTable[WBA1-Commission],IF(BetTable[Outcome]="Win Half Stake",(BetTable[Stake]/2)+BetTable[WBA1-Commission]/2,IF(BetTable[Outcome]="Lose Half Stake",BetTable[Stake]/2,IF(BetTable[Outcome]="Lose",0,IF(BetTable[Outcome]="Void",BetTable[Stake],)))))</f>
        <v>0</v>
      </c>
      <c r="AG420" s="164">
        <f>IF(BetTable[Outcome2]="Win",BetTable[WBA2-Commission],IF(BetTable[Outcome2]="Win Half Stake",(BetTable[S2]/2)+BetTable[WBA2-Commission]/2,IF(BetTable[Outcome2]="Lose Half Stake",BetTable[S2]/2,IF(BetTable[Outcome2]="Lose",0,IF(BetTable[Outcome2]="Void",BetTable[S2],)))))</f>
        <v>0</v>
      </c>
      <c r="AH420" s="164">
        <f>IF(BetTable[Outcome3]="Win",BetTable[WBA3-Commission],IF(BetTable[Outcome3]="Win Half Stake",(BetTable[S3]/2)+BetTable[WBA3-Commission]/2,IF(BetTable[Outcome3]="Lose Half Stake",BetTable[S3]/2,IF(BetTable[Outcome3]="Lose",0,IF(BetTable[Outcome3]="Void",BetTable[S3],)))))</f>
        <v>0</v>
      </c>
      <c r="AI420" s="168">
        <f>IF(BetTable[Outcome]="",AI419,BetTable[Result]+AI419)</f>
        <v>736.01425000000052</v>
      </c>
      <c r="AJ420" s="160"/>
    </row>
    <row r="421" spans="1:36" x14ac:dyDescent="0.2">
      <c r="A421" s="159" t="s">
        <v>1202</v>
      </c>
      <c r="B421" s="160" t="s">
        <v>200</v>
      </c>
      <c r="C421" s="161" t="s">
        <v>91</v>
      </c>
      <c r="D421" s="161"/>
      <c r="E421" s="161"/>
      <c r="F421" s="162"/>
      <c r="G421" s="162"/>
      <c r="H421" s="162"/>
      <c r="I421" s="160" t="s">
        <v>1232</v>
      </c>
      <c r="J421" s="163">
        <v>2.13</v>
      </c>
      <c r="K421" s="163"/>
      <c r="L421" s="163"/>
      <c r="M421" s="164">
        <v>27</v>
      </c>
      <c r="N421" s="164"/>
      <c r="O421" s="164"/>
      <c r="P421" s="159" t="s">
        <v>457</v>
      </c>
      <c r="Q421" s="159" t="s">
        <v>491</v>
      </c>
      <c r="R421" s="159" t="s">
        <v>1289</v>
      </c>
      <c r="S421" s="165">
        <v>2.55558733022926E-2</v>
      </c>
      <c r="T421" s="166" t="s">
        <v>549</v>
      </c>
      <c r="U421" s="166"/>
      <c r="V421" s="166"/>
      <c r="W421" s="167">
        <f>IF(BetTable[Sport]="","",BetTable[Stake]+BetTable[S2]+BetTable[S3])</f>
        <v>27</v>
      </c>
      <c r="X421" s="164">
        <f>IF(BetTable[Odds]="","",(BetTable[WBA1-Commission])-BetTable[TS])</f>
        <v>30.509999999999998</v>
      </c>
      <c r="Y421" s="168">
        <f>IF(BetTable[Outcome]="","",BetTable[WBA1]+BetTable[WBA2]+BetTable[WBA3]-BetTable[TS])</f>
        <v>-13.5</v>
      </c>
      <c r="Z421" s="164">
        <f>(((BetTable[Odds]-1)*BetTable[Stake])*(1-(BetTable[Comm %]))+BetTable[Stake])</f>
        <v>57.51</v>
      </c>
      <c r="AA421" s="164">
        <f>(((BetTable[O2]-1)*BetTable[S2])*(1-(BetTable[C% 2]))+BetTable[S2])</f>
        <v>0</v>
      </c>
      <c r="AB421" s="164">
        <f>(((BetTable[O3]-1)*BetTable[S3])*(1-(BetTable[C% 3]))+BetTable[S3])</f>
        <v>0</v>
      </c>
      <c r="AC421" s="165">
        <f>IFERROR(IF(BetTable[Sport]="","",BetTable[R1]/BetTable[TS]),"")</f>
        <v>1.1299999999999999</v>
      </c>
      <c r="AD421" s="165" t="str">
        <f>IF(BetTable[O2]="","",#REF!/BetTable[TS])</f>
        <v/>
      </c>
      <c r="AE421" s="165" t="str">
        <f>IFERROR(IF(BetTable[Sport]="","",#REF!/BetTable[TS]),"")</f>
        <v/>
      </c>
      <c r="AF421" s="164">
        <f>IF(BetTable[Outcome]="Win",BetTable[WBA1-Commission],IF(BetTable[Outcome]="Win Half Stake",(BetTable[Stake]/2)+BetTable[WBA1-Commission]/2,IF(BetTable[Outcome]="Lose Half Stake",BetTable[Stake]/2,IF(BetTable[Outcome]="Lose",0,IF(BetTable[Outcome]="Void",BetTable[Stake],)))))</f>
        <v>13.5</v>
      </c>
      <c r="AG421" s="164">
        <f>IF(BetTable[Outcome2]="Win",BetTable[WBA2-Commission],IF(BetTable[Outcome2]="Win Half Stake",(BetTable[S2]/2)+BetTable[WBA2-Commission]/2,IF(BetTable[Outcome2]="Lose Half Stake",BetTable[S2]/2,IF(BetTable[Outcome2]="Lose",0,IF(BetTable[Outcome2]="Void",BetTable[S2],)))))</f>
        <v>0</v>
      </c>
      <c r="AH421" s="164">
        <f>IF(BetTable[Outcome3]="Win",BetTable[WBA3-Commission],IF(BetTable[Outcome3]="Win Half Stake",(BetTable[S3]/2)+BetTable[WBA3-Commission]/2,IF(BetTable[Outcome3]="Lose Half Stake",BetTable[S3]/2,IF(BetTable[Outcome3]="Lose",0,IF(BetTable[Outcome3]="Void",BetTable[S3],)))))</f>
        <v>0</v>
      </c>
      <c r="AI421" s="168">
        <f>IF(BetTable[Outcome]="",AI420,BetTable[Result]+AI420)</f>
        <v>722.51425000000052</v>
      </c>
      <c r="AJ421" s="160"/>
    </row>
    <row r="422" spans="1:36" x14ac:dyDescent="0.2">
      <c r="A422" s="159" t="s">
        <v>1202</v>
      </c>
      <c r="B422" s="160" t="s">
        <v>7</v>
      </c>
      <c r="C422" s="161" t="s">
        <v>91</v>
      </c>
      <c r="D422" s="161"/>
      <c r="E422" s="161"/>
      <c r="F422" s="162"/>
      <c r="G422" s="162"/>
      <c r="H422" s="162"/>
      <c r="I422" s="160" t="s">
        <v>1290</v>
      </c>
      <c r="J422" s="163">
        <v>2.29</v>
      </c>
      <c r="K422" s="163"/>
      <c r="L422" s="163"/>
      <c r="M422" s="164">
        <v>31</v>
      </c>
      <c r="N422" s="164"/>
      <c r="O422" s="164"/>
      <c r="P422" s="159" t="s">
        <v>1257</v>
      </c>
      <c r="Q422" s="159" t="s">
        <v>1291</v>
      </c>
      <c r="R422" s="159" t="s">
        <v>1292</v>
      </c>
      <c r="S422" s="165">
        <v>3.2910245839272101E-2</v>
      </c>
      <c r="T422" s="166" t="s">
        <v>372</v>
      </c>
      <c r="U422" s="166"/>
      <c r="V422" s="166"/>
      <c r="W422" s="167">
        <f>IF(BetTable[Sport]="","",BetTable[Stake]+BetTable[S2]+BetTable[S3])</f>
        <v>31</v>
      </c>
      <c r="X422" s="164">
        <f>IF(BetTable[Odds]="","",(BetTable[WBA1-Commission])-BetTable[TS])</f>
        <v>39.990000000000009</v>
      </c>
      <c r="Y422" s="168">
        <f>IF(BetTable[Outcome]="","",BetTable[WBA1]+BetTable[WBA2]+BetTable[WBA3]-BetTable[TS])</f>
        <v>39.990000000000009</v>
      </c>
      <c r="Z422" s="164">
        <f>(((BetTable[Odds]-1)*BetTable[Stake])*(1-(BetTable[Comm %]))+BetTable[Stake])</f>
        <v>70.990000000000009</v>
      </c>
      <c r="AA422" s="164">
        <f>(((BetTable[O2]-1)*BetTable[S2])*(1-(BetTable[C% 2]))+BetTable[S2])</f>
        <v>0</v>
      </c>
      <c r="AB422" s="164">
        <f>(((BetTable[O3]-1)*BetTable[S3])*(1-(BetTable[C% 3]))+BetTable[S3])</f>
        <v>0</v>
      </c>
      <c r="AC422" s="165">
        <f>IFERROR(IF(BetTable[Sport]="","",BetTable[R1]/BetTable[TS]),"")</f>
        <v>1.2900000000000003</v>
      </c>
      <c r="AD422" s="165" t="str">
        <f>IF(BetTable[O2]="","",#REF!/BetTable[TS])</f>
        <v/>
      </c>
      <c r="AE422" s="165" t="str">
        <f>IFERROR(IF(BetTable[Sport]="","",#REF!/BetTable[TS]),"")</f>
        <v/>
      </c>
      <c r="AF422" s="164">
        <f>IF(BetTable[Outcome]="Win",BetTable[WBA1-Commission],IF(BetTable[Outcome]="Win Half Stake",(BetTable[Stake]/2)+BetTable[WBA1-Commission]/2,IF(BetTable[Outcome]="Lose Half Stake",BetTable[Stake]/2,IF(BetTable[Outcome]="Lose",0,IF(BetTable[Outcome]="Void",BetTable[Stake],)))))</f>
        <v>70.990000000000009</v>
      </c>
      <c r="AG422" s="164">
        <f>IF(BetTable[Outcome2]="Win",BetTable[WBA2-Commission],IF(BetTable[Outcome2]="Win Half Stake",(BetTable[S2]/2)+BetTable[WBA2-Commission]/2,IF(BetTable[Outcome2]="Lose Half Stake",BetTable[S2]/2,IF(BetTable[Outcome2]="Lose",0,IF(BetTable[Outcome2]="Void",BetTable[S2],)))))</f>
        <v>0</v>
      </c>
      <c r="AH422" s="164">
        <f>IF(BetTable[Outcome3]="Win",BetTable[WBA3-Commission],IF(BetTable[Outcome3]="Win Half Stake",(BetTable[S3]/2)+BetTable[WBA3-Commission]/2,IF(BetTable[Outcome3]="Lose Half Stake",BetTable[S3]/2,IF(BetTable[Outcome3]="Lose",0,IF(BetTable[Outcome3]="Void",BetTable[S3],)))))</f>
        <v>0</v>
      </c>
      <c r="AI422" s="168">
        <f>IF(BetTable[Outcome]="",AI421,BetTable[Result]+AI421)</f>
        <v>762.50425000000052</v>
      </c>
      <c r="AJ422" s="160"/>
    </row>
    <row r="423" spans="1:36" x14ac:dyDescent="0.2">
      <c r="A423" s="159" t="s">
        <v>1202</v>
      </c>
      <c r="B423" s="160" t="s">
        <v>7</v>
      </c>
      <c r="C423" s="161" t="s">
        <v>91</v>
      </c>
      <c r="D423" s="161"/>
      <c r="E423" s="161"/>
      <c r="F423" s="162"/>
      <c r="G423" s="162"/>
      <c r="H423" s="162"/>
      <c r="I423" s="160" t="s">
        <v>1293</v>
      </c>
      <c r="J423" s="163">
        <v>2.38</v>
      </c>
      <c r="K423" s="163"/>
      <c r="L423" s="163"/>
      <c r="M423" s="164">
        <v>35</v>
      </c>
      <c r="N423" s="164"/>
      <c r="O423" s="164"/>
      <c r="P423" s="159" t="s">
        <v>1294</v>
      </c>
      <c r="Q423" s="159" t="s">
        <v>968</v>
      </c>
      <c r="R423" s="159" t="s">
        <v>1295</v>
      </c>
      <c r="S423" s="165">
        <v>4.01245383167083E-2</v>
      </c>
      <c r="T423" s="166" t="s">
        <v>372</v>
      </c>
      <c r="U423" s="166"/>
      <c r="V423" s="166"/>
      <c r="W423" s="167">
        <f>IF(BetTable[Sport]="","",BetTable[Stake]+BetTable[S2]+BetTable[S3])</f>
        <v>35</v>
      </c>
      <c r="X423" s="164">
        <f>IF(BetTable[Odds]="","",(BetTable[WBA1-Commission])-BetTable[TS])</f>
        <v>48.3</v>
      </c>
      <c r="Y423" s="168">
        <f>IF(BetTable[Outcome]="","",BetTable[WBA1]+BetTable[WBA2]+BetTable[WBA3]-BetTable[TS])</f>
        <v>48.3</v>
      </c>
      <c r="Z423" s="164">
        <f>(((BetTable[Odds]-1)*BetTable[Stake])*(1-(BetTable[Comm %]))+BetTable[Stake])</f>
        <v>83.3</v>
      </c>
      <c r="AA423" s="164">
        <f>(((BetTable[O2]-1)*BetTable[S2])*(1-(BetTable[C% 2]))+BetTable[S2])</f>
        <v>0</v>
      </c>
      <c r="AB423" s="164">
        <f>(((BetTable[O3]-1)*BetTable[S3])*(1-(BetTable[C% 3]))+BetTable[S3])</f>
        <v>0</v>
      </c>
      <c r="AC423" s="165">
        <f>IFERROR(IF(BetTable[Sport]="","",BetTable[R1]/BetTable[TS]),"")</f>
        <v>1.38</v>
      </c>
      <c r="AD423" s="165" t="str">
        <f>IF(BetTable[O2]="","",#REF!/BetTable[TS])</f>
        <v/>
      </c>
      <c r="AE423" s="165" t="str">
        <f>IFERROR(IF(BetTable[Sport]="","",#REF!/BetTable[TS]),"")</f>
        <v/>
      </c>
      <c r="AF423" s="164">
        <f>IF(BetTable[Outcome]="Win",BetTable[WBA1-Commission],IF(BetTable[Outcome]="Win Half Stake",(BetTable[Stake]/2)+BetTable[WBA1-Commission]/2,IF(BetTable[Outcome]="Lose Half Stake",BetTable[Stake]/2,IF(BetTable[Outcome]="Lose",0,IF(BetTable[Outcome]="Void",BetTable[Stake],)))))</f>
        <v>83.3</v>
      </c>
      <c r="AG423" s="164">
        <f>IF(BetTable[Outcome2]="Win",BetTable[WBA2-Commission],IF(BetTable[Outcome2]="Win Half Stake",(BetTable[S2]/2)+BetTable[WBA2-Commission]/2,IF(BetTable[Outcome2]="Lose Half Stake",BetTable[S2]/2,IF(BetTable[Outcome2]="Lose",0,IF(BetTable[Outcome2]="Void",BetTable[S2],)))))</f>
        <v>0</v>
      </c>
      <c r="AH423" s="164">
        <f>IF(BetTable[Outcome3]="Win",BetTable[WBA3-Commission],IF(BetTable[Outcome3]="Win Half Stake",(BetTable[S3]/2)+BetTable[WBA3-Commission]/2,IF(BetTable[Outcome3]="Lose Half Stake",BetTable[S3]/2,IF(BetTable[Outcome3]="Lose",0,IF(BetTable[Outcome3]="Void",BetTable[S3],)))))</f>
        <v>0</v>
      </c>
      <c r="AI423" s="168">
        <f>IF(BetTable[Outcome]="",AI422,BetTable[Result]+AI422)</f>
        <v>810.80425000000048</v>
      </c>
      <c r="AJ423" s="160"/>
    </row>
    <row r="424" spans="1:36" x14ac:dyDescent="0.2">
      <c r="A424" s="159" t="s">
        <v>1202</v>
      </c>
      <c r="B424" s="160" t="s">
        <v>7</v>
      </c>
      <c r="C424" s="161" t="s">
        <v>91</v>
      </c>
      <c r="D424" s="161"/>
      <c r="E424" s="161"/>
      <c r="F424" s="162"/>
      <c r="G424" s="162"/>
      <c r="H424" s="162"/>
      <c r="I424" s="160" t="s">
        <v>1296</v>
      </c>
      <c r="J424" s="163">
        <v>2.17</v>
      </c>
      <c r="K424" s="163"/>
      <c r="L424" s="163"/>
      <c r="M424" s="164">
        <v>22</v>
      </c>
      <c r="N424" s="164"/>
      <c r="O424" s="164"/>
      <c r="P424" s="159" t="s">
        <v>1297</v>
      </c>
      <c r="Q424" s="159" t="s">
        <v>968</v>
      </c>
      <c r="R424" s="159" t="s">
        <v>1298</v>
      </c>
      <c r="S424" s="165">
        <v>2.1503176598486801E-2</v>
      </c>
      <c r="T424" s="166" t="s">
        <v>382</v>
      </c>
      <c r="U424" s="166"/>
      <c r="V424" s="166"/>
      <c r="W424" s="167">
        <f>IF(BetTable[Sport]="","",BetTable[Stake]+BetTable[S2]+BetTable[S3])</f>
        <v>22</v>
      </c>
      <c r="X424" s="164">
        <f>IF(BetTable[Odds]="","",(BetTable[WBA1-Commission])-BetTable[TS])</f>
        <v>25.739999999999995</v>
      </c>
      <c r="Y424" s="168">
        <f>IF(BetTable[Outcome]="","",BetTable[WBA1]+BetTable[WBA2]+BetTable[WBA3]-BetTable[TS])</f>
        <v>-22</v>
      </c>
      <c r="Z424" s="164">
        <f>(((BetTable[Odds]-1)*BetTable[Stake])*(1-(BetTable[Comm %]))+BetTable[Stake])</f>
        <v>47.739999999999995</v>
      </c>
      <c r="AA424" s="164">
        <f>(((BetTable[O2]-1)*BetTable[S2])*(1-(BetTable[C% 2]))+BetTable[S2])</f>
        <v>0</v>
      </c>
      <c r="AB424" s="164">
        <f>(((BetTable[O3]-1)*BetTable[S3])*(1-(BetTable[C% 3]))+BetTable[S3])</f>
        <v>0</v>
      </c>
      <c r="AC424" s="165">
        <f>IFERROR(IF(BetTable[Sport]="","",BetTable[R1]/BetTable[TS]),"")</f>
        <v>1.1699999999999997</v>
      </c>
      <c r="AD424" s="165" t="str">
        <f>IF(BetTable[O2]="","",#REF!/BetTable[TS])</f>
        <v/>
      </c>
      <c r="AE424" s="165" t="str">
        <f>IFERROR(IF(BetTable[Sport]="","",#REF!/BetTable[TS]),"")</f>
        <v/>
      </c>
      <c r="AF424" s="164">
        <f>IF(BetTable[Outcome]="Win",BetTable[WBA1-Commission],IF(BetTable[Outcome]="Win Half Stake",(BetTable[Stake]/2)+BetTable[WBA1-Commission]/2,IF(BetTable[Outcome]="Lose Half Stake",BetTable[Stake]/2,IF(BetTable[Outcome]="Lose",0,IF(BetTable[Outcome]="Void",BetTable[Stake],)))))</f>
        <v>0</v>
      </c>
      <c r="AG424" s="164">
        <f>IF(BetTable[Outcome2]="Win",BetTable[WBA2-Commission],IF(BetTable[Outcome2]="Win Half Stake",(BetTable[S2]/2)+BetTable[WBA2-Commission]/2,IF(BetTable[Outcome2]="Lose Half Stake",BetTable[S2]/2,IF(BetTable[Outcome2]="Lose",0,IF(BetTable[Outcome2]="Void",BetTable[S2],)))))</f>
        <v>0</v>
      </c>
      <c r="AH424" s="164">
        <f>IF(BetTable[Outcome3]="Win",BetTable[WBA3-Commission],IF(BetTable[Outcome3]="Win Half Stake",(BetTable[S3]/2)+BetTable[WBA3-Commission]/2,IF(BetTable[Outcome3]="Lose Half Stake",BetTable[S3]/2,IF(BetTable[Outcome3]="Lose",0,IF(BetTable[Outcome3]="Void",BetTable[S3],)))))</f>
        <v>0</v>
      </c>
      <c r="AI424" s="168">
        <f>IF(BetTable[Outcome]="",AI423,BetTable[Result]+AI423)</f>
        <v>788.80425000000048</v>
      </c>
      <c r="AJ424" s="160"/>
    </row>
    <row r="425" spans="1:36" x14ac:dyDescent="0.2">
      <c r="A425" s="159" t="s">
        <v>1202</v>
      </c>
      <c r="B425" s="160" t="s">
        <v>200</v>
      </c>
      <c r="C425" s="161" t="s">
        <v>234</v>
      </c>
      <c r="D425" s="161"/>
      <c r="E425" s="161"/>
      <c r="F425" s="162"/>
      <c r="G425" s="162"/>
      <c r="H425" s="162"/>
      <c r="I425" s="160" t="s">
        <v>1299</v>
      </c>
      <c r="J425" s="163">
        <v>1.63</v>
      </c>
      <c r="K425" s="163"/>
      <c r="L425" s="163"/>
      <c r="M425" s="164">
        <v>44</v>
      </c>
      <c r="N425" s="164"/>
      <c r="O425" s="164"/>
      <c r="P425" s="159" t="s">
        <v>668</v>
      </c>
      <c r="Q425" s="159" t="s">
        <v>882</v>
      </c>
      <c r="R425" s="159" t="s">
        <v>1300</v>
      </c>
      <c r="S425" s="165">
        <v>2.29376751065241E-2</v>
      </c>
      <c r="T425" s="166" t="s">
        <v>383</v>
      </c>
      <c r="U425" s="166"/>
      <c r="V425" s="166"/>
      <c r="W425" s="167">
        <f>IF(BetTable[Sport]="","",BetTable[Stake]+BetTable[S2]+BetTable[S3])</f>
        <v>44</v>
      </c>
      <c r="X425" s="164">
        <f>IF(BetTable[Odds]="","",(BetTable[WBA1-Commission])-BetTable[TS])</f>
        <v>27.72</v>
      </c>
      <c r="Y425" s="168">
        <f>IF(BetTable[Outcome]="","",BetTable[WBA1]+BetTable[WBA2]+BetTable[WBA3]-BetTable[TS])</f>
        <v>0</v>
      </c>
      <c r="Z425" s="164">
        <f>(((BetTable[Odds]-1)*BetTable[Stake])*(1-(BetTable[Comm %]))+BetTable[Stake])</f>
        <v>71.72</v>
      </c>
      <c r="AA425" s="164">
        <f>(((BetTable[O2]-1)*BetTable[S2])*(1-(BetTable[C% 2]))+BetTable[S2])</f>
        <v>0</v>
      </c>
      <c r="AB425" s="164">
        <f>(((BetTable[O3]-1)*BetTable[S3])*(1-(BetTable[C% 3]))+BetTable[S3])</f>
        <v>0</v>
      </c>
      <c r="AC425" s="165">
        <f>IFERROR(IF(BetTable[Sport]="","",BetTable[R1]/BetTable[TS]),"")</f>
        <v>0.63</v>
      </c>
      <c r="AD425" s="165" t="str">
        <f>IF(BetTable[O2]="","",#REF!/BetTable[TS])</f>
        <v/>
      </c>
      <c r="AE425" s="165" t="str">
        <f>IFERROR(IF(BetTable[Sport]="","",#REF!/BetTable[TS]),"")</f>
        <v/>
      </c>
      <c r="AF425" s="164">
        <f>IF(BetTable[Outcome]="Win",BetTable[WBA1-Commission],IF(BetTable[Outcome]="Win Half Stake",(BetTable[Stake]/2)+BetTable[WBA1-Commission]/2,IF(BetTable[Outcome]="Lose Half Stake",BetTable[Stake]/2,IF(BetTable[Outcome]="Lose",0,IF(BetTable[Outcome]="Void",BetTable[Stake],)))))</f>
        <v>44</v>
      </c>
      <c r="AG425" s="164">
        <f>IF(BetTable[Outcome2]="Win",BetTable[WBA2-Commission],IF(BetTable[Outcome2]="Win Half Stake",(BetTable[S2]/2)+BetTable[WBA2-Commission]/2,IF(BetTable[Outcome2]="Lose Half Stake",BetTable[S2]/2,IF(BetTable[Outcome2]="Lose",0,IF(BetTable[Outcome2]="Void",BetTable[S2],)))))</f>
        <v>0</v>
      </c>
      <c r="AH425" s="164">
        <f>IF(BetTable[Outcome3]="Win",BetTable[WBA3-Commission],IF(BetTable[Outcome3]="Win Half Stake",(BetTable[S3]/2)+BetTable[WBA3-Commission]/2,IF(BetTable[Outcome3]="Lose Half Stake",BetTable[S3]/2,IF(BetTable[Outcome3]="Lose",0,IF(BetTable[Outcome3]="Void",BetTable[S3],)))))</f>
        <v>0</v>
      </c>
      <c r="AI425" s="168">
        <f>IF(BetTable[Outcome]="",AI424,BetTable[Result]+AI424)</f>
        <v>788.80425000000048</v>
      </c>
      <c r="AJ425" s="160"/>
    </row>
    <row r="426" spans="1:36" x14ac:dyDescent="0.2">
      <c r="A426" s="159" t="s">
        <v>1202</v>
      </c>
      <c r="B426" s="160" t="s">
        <v>200</v>
      </c>
      <c r="C426" s="161" t="s">
        <v>91</v>
      </c>
      <c r="D426" s="161"/>
      <c r="E426" s="161"/>
      <c r="F426" s="162"/>
      <c r="G426" s="162"/>
      <c r="H426" s="162"/>
      <c r="I426" s="160" t="s">
        <v>1301</v>
      </c>
      <c r="J426" s="163">
        <v>2.11</v>
      </c>
      <c r="K426" s="163"/>
      <c r="L426" s="163"/>
      <c r="M426" s="164">
        <v>54</v>
      </c>
      <c r="N426" s="164"/>
      <c r="O426" s="164"/>
      <c r="P426" s="159" t="s">
        <v>1302</v>
      </c>
      <c r="Q426" s="159" t="s">
        <v>677</v>
      </c>
      <c r="R426" s="159" t="s">
        <v>1303</v>
      </c>
      <c r="S426" s="165">
        <v>5.0306688633843202E-2</v>
      </c>
      <c r="T426" s="166" t="s">
        <v>372</v>
      </c>
      <c r="U426" s="166"/>
      <c r="V426" s="166"/>
      <c r="W426" s="167">
        <f>IF(BetTable[Sport]="","",BetTable[Stake]+BetTable[S2]+BetTable[S3])</f>
        <v>54</v>
      </c>
      <c r="X426" s="164">
        <f>IF(BetTable[Odds]="","",(BetTable[WBA1-Commission])-BetTable[TS])</f>
        <v>59.94</v>
      </c>
      <c r="Y426" s="168">
        <f>IF(BetTable[Outcome]="","",BetTable[WBA1]+BetTable[WBA2]+BetTable[WBA3]-BetTable[TS])</f>
        <v>59.94</v>
      </c>
      <c r="Z426" s="164">
        <f>(((BetTable[Odds]-1)*BetTable[Stake])*(1-(BetTable[Comm %]))+BetTable[Stake])</f>
        <v>113.94</v>
      </c>
      <c r="AA426" s="164">
        <f>(((BetTable[O2]-1)*BetTable[S2])*(1-(BetTable[C% 2]))+BetTable[S2])</f>
        <v>0</v>
      </c>
      <c r="AB426" s="164">
        <f>(((BetTable[O3]-1)*BetTable[S3])*(1-(BetTable[C% 3]))+BetTable[S3])</f>
        <v>0</v>
      </c>
      <c r="AC426" s="165">
        <f>IFERROR(IF(BetTable[Sport]="","",BetTable[R1]/BetTable[TS]),"")</f>
        <v>1.1099999999999999</v>
      </c>
      <c r="AD426" s="165" t="str">
        <f>IF(BetTable[O2]="","",#REF!/BetTable[TS])</f>
        <v/>
      </c>
      <c r="AE426" s="165" t="str">
        <f>IFERROR(IF(BetTable[Sport]="","",#REF!/BetTable[TS]),"")</f>
        <v/>
      </c>
      <c r="AF426" s="164">
        <f>IF(BetTable[Outcome]="Win",BetTable[WBA1-Commission],IF(BetTable[Outcome]="Win Half Stake",(BetTable[Stake]/2)+BetTable[WBA1-Commission]/2,IF(BetTable[Outcome]="Lose Half Stake",BetTable[Stake]/2,IF(BetTable[Outcome]="Lose",0,IF(BetTable[Outcome]="Void",BetTable[Stake],)))))</f>
        <v>113.94</v>
      </c>
      <c r="AG426" s="164">
        <f>IF(BetTable[Outcome2]="Win",BetTable[WBA2-Commission],IF(BetTable[Outcome2]="Win Half Stake",(BetTable[S2]/2)+BetTable[WBA2-Commission]/2,IF(BetTable[Outcome2]="Lose Half Stake",BetTable[S2]/2,IF(BetTable[Outcome2]="Lose",0,IF(BetTable[Outcome2]="Void",BetTable[S2],)))))</f>
        <v>0</v>
      </c>
      <c r="AH426" s="164">
        <f>IF(BetTable[Outcome3]="Win",BetTable[WBA3-Commission],IF(BetTable[Outcome3]="Win Half Stake",(BetTable[S3]/2)+BetTable[WBA3-Commission]/2,IF(BetTable[Outcome3]="Lose Half Stake",BetTable[S3]/2,IF(BetTable[Outcome3]="Lose",0,IF(BetTable[Outcome3]="Void",BetTable[S3],)))))</f>
        <v>0</v>
      </c>
      <c r="AI426" s="168">
        <f>IF(BetTable[Outcome]="",AI425,BetTable[Result]+AI425)</f>
        <v>848.74425000000042</v>
      </c>
      <c r="AJ426" s="160"/>
    </row>
    <row r="427" spans="1:36" x14ac:dyDescent="0.2">
      <c r="A427" s="159" t="s">
        <v>1202</v>
      </c>
      <c r="B427" s="160" t="s">
        <v>200</v>
      </c>
      <c r="C427" s="161" t="s">
        <v>91</v>
      </c>
      <c r="D427" s="161"/>
      <c r="E427" s="161"/>
      <c r="F427" s="162"/>
      <c r="G427" s="162"/>
      <c r="H427" s="162"/>
      <c r="I427" s="160" t="s">
        <v>1301</v>
      </c>
      <c r="J427" s="163">
        <v>2.08</v>
      </c>
      <c r="K427" s="163"/>
      <c r="L427" s="163"/>
      <c r="M427" s="164">
        <v>44</v>
      </c>
      <c r="N427" s="164"/>
      <c r="O427" s="164"/>
      <c r="P427" s="159" t="s">
        <v>368</v>
      </c>
      <c r="Q427" s="159" t="s">
        <v>677</v>
      </c>
      <c r="R427" s="159" t="s">
        <v>1304</v>
      </c>
      <c r="S427" s="165">
        <v>0.04</v>
      </c>
      <c r="T427" s="166" t="s">
        <v>383</v>
      </c>
      <c r="U427" s="166"/>
      <c r="V427" s="166"/>
      <c r="W427" s="167">
        <f>IF(BetTable[Sport]="","",BetTable[Stake]+BetTable[S2]+BetTable[S3])</f>
        <v>44</v>
      </c>
      <c r="X427" s="164">
        <f>IF(BetTable[Odds]="","",(BetTable[WBA1-Commission])-BetTable[TS])</f>
        <v>47.52000000000001</v>
      </c>
      <c r="Y427" s="168">
        <f>IF(BetTable[Outcome]="","",BetTable[WBA1]+BetTable[WBA2]+BetTable[WBA3]-BetTable[TS])</f>
        <v>0</v>
      </c>
      <c r="Z427" s="164">
        <f>(((BetTable[Odds]-1)*BetTable[Stake])*(1-(BetTable[Comm %]))+BetTable[Stake])</f>
        <v>91.52000000000001</v>
      </c>
      <c r="AA427" s="164">
        <f>(((BetTable[O2]-1)*BetTable[S2])*(1-(BetTable[C% 2]))+BetTable[S2])</f>
        <v>0</v>
      </c>
      <c r="AB427" s="164">
        <f>(((BetTable[O3]-1)*BetTable[S3])*(1-(BetTable[C% 3]))+BetTable[S3])</f>
        <v>0</v>
      </c>
      <c r="AC427" s="165">
        <f>IFERROR(IF(BetTable[Sport]="","",BetTable[R1]/BetTable[TS]),"")</f>
        <v>1.0800000000000003</v>
      </c>
      <c r="AD427" s="165" t="str">
        <f>IF(BetTable[O2]="","",#REF!/BetTable[TS])</f>
        <v/>
      </c>
      <c r="AE427" s="165" t="str">
        <f>IFERROR(IF(BetTable[Sport]="","",#REF!/BetTable[TS]),"")</f>
        <v/>
      </c>
      <c r="AF427" s="164">
        <f>IF(BetTable[Outcome]="Win",BetTable[WBA1-Commission],IF(BetTable[Outcome]="Win Half Stake",(BetTable[Stake]/2)+BetTable[WBA1-Commission]/2,IF(BetTable[Outcome]="Lose Half Stake",BetTable[Stake]/2,IF(BetTable[Outcome]="Lose",0,IF(BetTable[Outcome]="Void",BetTable[Stake],)))))</f>
        <v>44</v>
      </c>
      <c r="AG427" s="164">
        <f>IF(BetTable[Outcome2]="Win",BetTable[WBA2-Commission],IF(BetTable[Outcome2]="Win Half Stake",(BetTable[S2]/2)+BetTable[WBA2-Commission]/2,IF(BetTable[Outcome2]="Lose Half Stake",BetTable[S2]/2,IF(BetTable[Outcome2]="Lose",0,IF(BetTable[Outcome2]="Void",BetTable[S2],)))))</f>
        <v>0</v>
      </c>
      <c r="AH427" s="164">
        <f>IF(BetTable[Outcome3]="Win",BetTable[WBA3-Commission],IF(BetTable[Outcome3]="Win Half Stake",(BetTable[S3]/2)+BetTable[WBA3-Commission]/2,IF(BetTable[Outcome3]="Lose Half Stake",BetTable[S3]/2,IF(BetTable[Outcome3]="Lose",0,IF(BetTable[Outcome3]="Void",BetTable[S3],)))))</f>
        <v>0</v>
      </c>
      <c r="AI427" s="168">
        <f>IF(BetTable[Outcome]="",AI426,BetTable[Result]+AI426)</f>
        <v>848.74425000000042</v>
      </c>
      <c r="AJ427" s="160"/>
    </row>
    <row r="428" spans="1:36" x14ac:dyDescent="0.2">
      <c r="A428" s="159" t="s">
        <v>1202</v>
      </c>
      <c r="B428" s="160" t="s">
        <v>7</v>
      </c>
      <c r="C428" s="161" t="s">
        <v>91</v>
      </c>
      <c r="D428" s="161"/>
      <c r="E428" s="161"/>
      <c r="F428" s="162"/>
      <c r="G428" s="162"/>
      <c r="H428" s="162"/>
      <c r="I428" s="160" t="s">
        <v>1305</v>
      </c>
      <c r="J428" s="163">
        <v>1.84</v>
      </c>
      <c r="K428" s="163"/>
      <c r="L428" s="163"/>
      <c r="M428" s="164">
        <v>29</v>
      </c>
      <c r="N428" s="164"/>
      <c r="O428" s="164"/>
      <c r="P428" s="159" t="s">
        <v>1306</v>
      </c>
      <c r="Q428" s="159" t="s">
        <v>1205</v>
      </c>
      <c r="R428" s="159" t="s">
        <v>1307</v>
      </c>
      <c r="S428" s="165">
        <v>2.4296852677872301E-2</v>
      </c>
      <c r="T428" s="166" t="s">
        <v>372</v>
      </c>
      <c r="U428" s="166"/>
      <c r="V428" s="166"/>
      <c r="W428" s="167">
        <f>IF(BetTable[Sport]="","",BetTable[Stake]+BetTable[S2]+BetTable[S3])</f>
        <v>29</v>
      </c>
      <c r="X428" s="164">
        <f>IF(BetTable[Odds]="","",(BetTable[WBA1-Commission])-BetTable[TS])</f>
        <v>24.36</v>
      </c>
      <c r="Y428" s="168">
        <f>IF(BetTable[Outcome]="","",BetTable[WBA1]+BetTable[WBA2]+BetTable[WBA3]-BetTable[TS])</f>
        <v>24.36</v>
      </c>
      <c r="Z428" s="164">
        <f>(((BetTable[Odds]-1)*BetTable[Stake])*(1-(BetTable[Comm %]))+BetTable[Stake])</f>
        <v>53.36</v>
      </c>
      <c r="AA428" s="164">
        <f>(((BetTable[O2]-1)*BetTable[S2])*(1-(BetTable[C% 2]))+BetTable[S2])</f>
        <v>0</v>
      </c>
      <c r="AB428" s="164">
        <f>(((BetTable[O3]-1)*BetTable[S3])*(1-(BetTable[C% 3]))+BetTable[S3])</f>
        <v>0</v>
      </c>
      <c r="AC428" s="165">
        <f>IFERROR(IF(BetTable[Sport]="","",BetTable[R1]/BetTable[TS]),"")</f>
        <v>0.84</v>
      </c>
      <c r="AD428" s="165" t="str">
        <f>IF(BetTable[O2]="","",#REF!/BetTable[TS])</f>
        <v/>
      </c>
      <c r="AE428" s="165" t="str">
        <f>IFERROR(IF(BetTable[Sport]="","",#REF!/BetTable[TS]),"")</f>
        <v/>
      </c>
      <c r="AF428" s="164">
        <f>IF(BetTable[Outcome]="Win",BetTable[WBA1-Commission],IF(BetTable[Outcome]="Win Half Stake",(BetTable[Stake]/2)+BetTable[WBA1-Commission]/2,IF(BetTable[Outcome]="Lose Half Stake",BetTable[Stake]/2,IF(BetTable[Outcome]="Lose",0,IF(BetTable[Outcome]="Void",BetTable[Stake],)))))</f>
        <v>53.36</v>
      </c>
      <c r="AG428" s="164">
        <f>IF(BetTable[Outcome2]="Win",BetTable[WBA2-Commission],IF(BetTable[Outcome2]="Win Half Stake",(BetTable[S2]/2)+BetTable[WBA2-Commission]/2,IF(BetTable[Outcome2]="Lose Half Stake",BetTable[S2]/2,IF(BetTable[Outcome2]="Lose",0,IF(BetTable[Outcome2]="Void",BetTable[S2],)))))</f>
        <v>0</v>
      </c>
      <c r="AH428" s="164">
        <f>IF(BetTable[Outcome3]="Win",BetTable[WBA3-Commission],IF(BetTable[Outcome3]="Win Half Stake",(BetTable[S3]/2)+BetTable[WBA3-Commission]/2,IF(BetTable[Outcome3]="Lose Half Stake",BetTable[S3]/2,IF(BetTable[Outcome3]="Lose",0,IF(BetTable[Outcome3]="Void",BetTable[S3],)))))</f>
        <v>0</v>
      </c>
      <c r="AI428" s="168">
        <f>IF(BetTable[Outcome]="",AI427,BetTable[Result]+AI427)</f>
        <v>873.10425000000043</v>
      </c>
      <c r="AJ428" s="160"/>
    </row>
    <row r="429" spans="1:36" x14ac:dyDescent="0.2">
      <c r="A429" s="159" t="s">
        <v>1202</v>
      </c>
      <c r="B429" s="160" t="s">
        <v>200</v>
      </c>
      <c r="C429" s="161" t="s">
        <v>234</v>
      </c>
      <c r="D429" s="161"/>
      <c r="E429" s="161"/>
      <c r="F429" s="162"/>
      <c r="G429" s="162"/>
      <c r="H429" s="162"/>
      <c r="I429" s="160" t="s">
        <v>1308</v>
      </c>
      <c r="J429" s="163">
        <v>2.5099999999999998</v>
      </c>
      <c r="K429" s="163"/>
      <c r="L429" s="163"/>
      <c r="M429" s="164">
        <v>18</v>
      </c>
      <c r="N429" s="164"/>
      <c r="O429" s="164"/>
      <c r="P429" s="159" t="s">
        <v>435</v>
      </c>
      <c r="Q429" s="159" t="s">
        <v>461</v>
      </c>
      <c r="R429" s="159" t="s">
        <v>1309</v>
      </c>
      <c r="S429" s="165">
        <v>2.2627101092910499E-2</v>
      </c>
      <c r="T429" s="166" t="s">
        <v>382</v>
      </c>
      <c r="U429" s="166"/>
      <c r="V429" s="166"/>
      <c r="W429" s="167">
        <f>IF(BetTable[Sport]="","",BetTable[Stake]+BetTable[S2]+BetTable[S3])</f>
        <v>18</v>
      </c>
      <c r="X429" s="164">
        <f>IF(BetTable[Odds]="","",(BetTable[WBA1-Commission])-BetTable[TS])</f>
        <v>27.179999999999993</v>
      </c>
      <c r="Y429" s="168">
        <f>IF(BetTable[Outcome]="","",BetTable[WBA1]+BetTable[WBA2]+BetTable[WBA3]-BetTable[TS])</f>
        <v>-18</v>
      </c>
      <c r="Z429" s="164">
        <f>(((BetTable[Odds]-1)*BetTable[Stake])*(1-(BetTable[Comm %]))+BetTable[Stake])</f>
        <v>45.179999999999993</v>
      </c>
      <c r="AA429" s="164">
        <f>(((BetTable[O2]-1)*BetTable[S2])*(1-(BetTable[C% 2]))+BetTable[S2])</f>
        <v>0</v>
      </c>
      <c r="AB429" s="164">
        <f>(((BetTable[O3]-1)*BetTable[S3])*(1-(BetTable[C% 3]))+BetTable[S3])</f>
        <v>0</v>
      </c>
      <c r="AC429" s="165">
        <f>IFERROR(IF(BetTable[Sport]="","",BetTable[R1]/BetTable[TS]),"")</f>
        <v>1.5099999999999996</v>
      </c>
      <c r="AD429" s="165" t="str">
        <f>IF(BetTable[O2]="","",#REF!/BetTable[TS])</f>
        <v/>
      </c>
      <c r="AE429" s="165" t="str">
        <f>IFERROR(IF(BetTable[Sport]="","",#REF!/BetTable[TS]),"")</f>
        <v/>
      </c>
      <c r="AF429" s="164">
        <f>IF(BetTable[Outcome]="Win",BetTable[WBA1-Commission],IF(BetTable[Outcome]="Win Half Stake",(BetTable[Stake]/2)+BetTable[WBA1-Commission]/2,IF(BetTable[Outcome]="Lose Half Stake",BetTable[Stake]/2,IF(BetTable[Outcome]="Lose",0,IF(BetTable[Outcome]="Void",BetTable[Stake],)))))</f>
        <v>0</v>
      </c>
      <c r="AG429" s="164">
        <f>IF(BetTable[Outcome2]="Win",BetTable[WBA2-Commission],IF(BetTable[Outcome2]="Win Half Stake",(BetTable[S2]/2)+BetTable[WBA2-Commission]/2,IF(BetTable[Outcome2]="Lose Half Stake",BetTable[S2]/2,IF(BetTable[Outcome2]="Lose",0,IF(BetTable[Outcome2]="Void",BetTable[S2],)))))</f>
        <v>0</v>
      </c>
      <c r="AH429" s="164">
        <f>IF(BetTable[Outcome3]="Win",BetTable[WBA3-Commission],IF(BetTable[Outcome3]="Win Half Stake",(BetTable[S3]/2)+BetTable[WBA3-Commission]/2,IF(BetTable[Outcome3]="Lose Half Stake",BetTable[S3]/2,IF(BetTable[Outcome3]="Lose",0,IF(BetTable[Outcome3]="Void",BetTable[S3],)))))</f>
        <v>0</v>
      </c>
      <c r="AI429" s="168">
        <f>IF(BetTable[Outcome]="",AI428,BetTable[Result]+AI428)</f>
        <v>855.10425000000043</v>
      </c>
      <c r="AJ429" s="160"/>
    </row>
    <row r="430" spans="1:36" x14ac:dyDescent="0.2">
      <c r="A430" s="159" t="s">
        <v>1202</v>
      </c>
      <c r="B430" s="160" t="s">
        <v>200</v>
      </c>
      <c r="C430" s="161" t="s">
        <v>234</v>
      </c>
      <c r="D430" s="161"/>
      <c r="E430" s="161"/>
      <c r="F430" s="162"/>
      <c r="G430" s="162"/>
      <c r="H430" s="162"/>
      <c r="I430" s="160" t="s">
        <v>1310</v>
      </c>
      <c r="J430" s="163">
        <v>2.42</v>
      </c>
      <c r="K430" s="163"/>
      <c r="L430" s="163"/>
      <c r="M430" s="164">
        <v>30</v>
      </c>
      <c r="N430" s="164"/>
      <c r="O430" s="164"/>
      <c r="P430" s="159" t="s">
        <v>688</v>
      </c>
      <c r="Q430" s="159" t="s">
        <v>564</v>
      </c>
      <c r="R430" s="159" t="s">
        <v>1311</v>
      </c>
      <c r="S430" s="165">
        <v>3.5862444852915003E-2</v>
      </c>
      <c r="T430" s="166" t="s">
        <v>382</v>
      </c>
      <c r="U430" s="166"/>
      <c r="V430" s="166"/>
      <c r="W430" s="167">
        <f>IF(BetTable[Sport]="","",BetTable[Stake]+BetTable[S2]+BetTable[S3])</f>
        <v>30</v>
      </c>
      <c r="X430" s="164">
        <f>IF(BetTable[Odds]="","",(BetTable[WBA1-Commission])-BetTable[TS])</f>
        <v>42.599999999999994</v>
      </c>
      <c r="Y430" s="168">
        <f>IF(BetTable[Outcome]="","",BetTable[WBA1]+BetTable[WBA2]+BetTable[WBA3]-BetTable[TS])</f>
        <v>-30</v>
      </c>
      <c r="Z430" s="164">
        <f>(((BetTable[Odds]-1)*BetTable[Stake])*(1-(BetTable[Comm %]))+BetTable[Stake])</f>
        <v>72.599999999999994</v>
      </c>
      <c r="AA430" s="164">
        <f>(((BetTable[O2]-1)*BetTable[S2])*(1-(BetTable[C% 2]))+BetTable[S2])</f>
        <v>0</v>
      </c>
      <c r="AB430" s="164">
        <f>(((BetTable[O3]-1)*BetTable[S3])*(1-(BetTable[C% 3]))+BetTable[S3])</f>
        <v>0</v>
      </c>
      <c r="AC430" s="165">
        <f>IFERROR(IF(BetTable[Sport]="","",BetTable[R1]/BetTable[TS]),"")</f>
        <v>1.4199999999999997</v>
      </c>
      <c r="AD430" s="165" t="str">
        <f>IF(BetTable[O2]="","",#REF!/BetTable[TS])</f>
        <v/>
      </c>
      <c r="AE430" s="165" t="str">
        <f>IFERROR(IF(BetTable[Sport]="","",#REF!/BetTable[TS]),"")</f>
        <v/>
      </c>
      <c r="AF430" s="164">
        <f>IF(BetTable[Outcome]="Win",BetTable[WBA1-Commission],IF(BetTable[Outcome]="Win Half Stake",(BetTable[Stake]/2)+BetTable[WBA1-Commission]/2,IF(BetTable[Outcome]="Lose Half Stake",BetTable[Stake]/2,IF(BetTable[Outcome]="Lose",0,IF(BetTable[Outcome]="Void",BetTable[Stake],)))))</f>
        <v>0</v>
      </c>
      <c r="AG430" s="164">
        <f>IF(BetTable[Outcome2]="Win",BetTable[WBA2-Commission],IF(BetTable[Outcome2]="Win Half Stake",(BetTable[S2]/2)+BetTable[WBA2-Commission]/2,IF(BetTable[Outcome2]="Lose Half Stake",BetTable[S2]/2,IF(BetTable[Outcome2]="Lose",0,IF(BetTable[Outcome2]="Void",BetTable[S2],)))))</f>
        <v>0</v>
      </c>
      <c r="AH430" s="164">
        <f>IF(BetTable[Outcome3]="Win",BetTable[WBA3-Commission],IF(BetTable[Outcome3]="Win Half Stake",(BetTable[S3]/2)+BetTable[WBA3-Commission]/2,IF(BetTable[Outcome3]="Lose Half Stake",BetTable[S3]/2,IF(BetTable[Outcome3]="Lose",0,IF(BetTable[Outcome3]="Void",BetTable[S3],)))))</f>
        <v>0</v>
      </c>
      <c r="AI430" s="168">
        <f>IF(BetTable[Outcome]="",AI429,BetTable[Result]+AI429)</f>
        <v>825.10425000000043</v>
      </c>
      <c r="AJ430" s="160"/>
    </row>
    <row r="431" spans="1:36" x14ac:dyDescent="0.2">
      <c r="A431" s="159" t="s">
        <v>1202</v>
      </c>
      <c r="B431" s="160" t="s">
        <v>7</v>
      </c>
      <c r="C431" s="161" t="s">
        <v>91</v>
      </c>
      <c r="D431" s="161"/>
      <c r="E431" s="161"/>
      <c r="F431" s="162"/>
      <c r="G431" s="162"/>
      <c r="H431" s="162"/>
      <c r="I431" s="160" t="s">
        <v>1312</v>
      </c>
      <c r="J431" s="163">
        <v>2.2000000000000002</v>
      </c>
      <c r="K431" s="163"/>
      <c r="L431" s="163"/>
      <c r="M431" s="164">
        <v>20</v>
      </c>
      <c r="N431" s="164"/>
      <c r="O431" s="164"/>
      <c r="P431" s="159" t="s">
        <v>1313</v>
      </c>
      <c r="Q431" s="159" t="s">
        <v>506</v>
      </c>
      <c r="R431" s="159" t="s">
        <v>1314</v>
      </c>
      <c r="S431" s="165">
        <v>2.0289855072463701E-2</v>
      </c>
      <c r="T431" s="166" t="s">
        <v>372</v>
      </c>
      <c r="U431" s="166"/>
      <c r="V431" s="166"/>
      <c r="W431" s="167">
        <f>IF(BetTable[Sport]="","",BetTable[Stake]+BetTable[S2]+BetTable[S3])</f>
        <v>20</v>
      </c>
      <c r="X431" s="164">
        <f>IF(BetTable[Odds]="","",(BetTable[WBA1-Commission])-BetTable[TS])</f>
        <v>24</v>
      </c>
      <c r="Y431" s="168">
        <f>IF(BetTable[Outcome]="","",BetTable[WBA1]+BetTable[WBA2]+BetTable[WBA3]-BetTable[TS])</f>
        <v>24</v>
      </c>
      <c r="Z431" s="164">
        <f>(((BetTable[Odds]-1)*BetTable[Stake])*(1-(BetTable[Comm %]))+BetTable[Stake])</f>
        <v>44</v>
      </c>
      <c r="AA431" s="164">
        <f>(((BetTable[O2]-1)*BetTable[S2])*(1-(BetTable[C% 2]))+BetTable[S2])</f>
        <v>0</v>
      </c>
      <c r="AB431" s="164">
        <f>(((BetTable[O3]-1)*BetTable[S3])*(1-(BetTable[C% 3]))+BetTable[S3])</f>
        <v>0</v>
      </c>
      <c r="AC431" s="165">
        <f>IFERROR(IF(BetTable[Sport]="","",BetTable[R1]/BetTable[TS]),"")</f>
        <v>1.2</v>
      </c>
      <c r="AD431" s="165" t="str">
        <f>IF(BetTable[O2]="","",#REF!/BetTable[TS])</f>
        <v/>
      </c>
      <c r="AE431" s="165" t="str">
        <f>IFERROR(IF(BetTable[Sport]="","",#REF!/BetTable[TS]),"")</f>
        <v/>
      </c>
      <c r="AF431" s="164">
        <f>IF(BetTable[Outcome]="Win",BetTable[WBA1-Commission],IF(BetTable[Outcome]="Win Half Stake",(BetTable[Stake]/2)+BetTable[WBA1-Commission]/2,IF(BetTable[Outcome]="Lose Half Stake",BetTable[Stake]/2,IF(BetTable[Outcome]="Lose",0,IF(BetTable[Outcome]="Void",BetTable[Stake],)))))</f>
        <v>44</v>
      </c>
      <c r="AG431" s="164">
        <f>IF(BetTable[Outcome2]="Win",BetTable[WBA2-Commission],IF(BetTable[Outcome2]="Win Half Stake",(BetTable[S2]/2)+BetTable[WBA2-Commission]/2,IF(BetTable[Outcome2]="Lose Half Stake",BetTable[S2]/2,IF(BetTable[Outcome2]="Lose",0,IF(BetTable[Outcome2]="Void",BetTable[S2],)))))</f>
        <v>0</v>
      </c>
      <c r="AH431" s="164">
        <f>IF(BetTable[Outcome3]="Win",BetTable[WBA3-Commission],IF(BetTable[Outcome3]="Win Half Stake",(BetTable[S3]/2)+BetTable[WBA3-Commission]/2,IF(BetTable[Outcome3]="Lose Half Stake",BetTable[S3]/2,IF(BetTable[Outcome3]="Lose",0,IF(BetTable[Outcome3]="Void",BetTable[S3],)))))</f>
        <v>0</v>
      </c>
      <c r="AI431" s="168">
        <f>IF(BetTable[Outcome]="",AI430,BetTable[Result]+AI430)</f>
        <v>849.10425000000043</v>
      </c>
      <c r="AJ431" s="160"/>
    </row>
    <row r="432" spans="1:36" x14ac:dyDescent="0.2">
      <c r="A432" s="159" t="s">
        <v>1202</v>
      </c>
      <c r="B432" s="160" t="s">
        <v>200</v>
      </c>
      <c r="C432" s="161" t="s">
        <v>91</v>
      </c>
      <c r="D432" s="161"/>
      <c r="E432" s="161"/>
      <c r="F432" s="162"/>
      <c r="G432" s="162"/>
      <c r="H432" s="162"/>
      <c r="I432" s="160" t="s">
        <v>1315</v>
      </c>
      <c r="J432" s="163">
        <v>2.16</v>
      </c>
      <c r="K432" s="163"/>
      <c r="L432" s="163"/>
      <c r="M432" s="164">
        <v>22</v>
      </c>
      <c r="N432" s="164"/>
      <c r="O432" s="164"/>
      <c r="P432" s="159" t="s">
        <v>1222</v>
      </c>
      <c r="Q432" s="159" t="s">
        <v>882</v>
      </c>
      <c r="R432" s="159" t="s">
        <v>1316</v>
      </c>
      <c r="S432" s="165">
        <v>2.1139256726290301E-2</v>
      </c>
      <c r="T432" s="166" t="s">
        <v>372</v>
      </c>
      <c r="U432" s="166"/>
      <c r="V432" s="166"/>
      <c r="W432" s="167">
        <f>IF(BetTable[Sport]="","",BetTable[Stake]+BetTable[S2]+BetTable[S3])</f>
        <v>22</v>
      </c>
      <c r="X432" s="164">
        <f>IF(BetTable[Odds]="","",(BetTable[WBA1-Commission])-BetTable[TS])</f>
        <v>25.520000000000003</v>
      </c>
      <c r="Y432" s="168">
        <f>IF(BetTable[Outcome]="","",BetTable[WBA1]+BetTable[WBA2]+BetTable[WBA3]-BetTable[TS])</f>
        <v>25.520000000000003</v>
      </c>
      <c r="Z432" s="164">
        <f>(((BetTable[Odds]-1)*BetTable[Stake])*(1-(BetTable[Comm %]))+BetTable[Stake])</f>
        <v>47.52</v>
      </c>
      <c r="AA432" s="164">
        <f>(((BetTable[O2]-1)*BetTable[S2])*(1-(BetTable[C% 2]))+BetTable[S2])</f>
        <v>0</v>
      </c>
      <c r="AB432" s="164">
        <f>(((BetTable[O3]-1)*BetTable[S3])*(1-(BetTable[C% 3]))+BetTable[S3])</f>
        <v>0</v>
      </c>
      <c r="AC432" s="165">
        <f>IFERROR(IF(BetTable[Sport]="","",BetTable[R1]/BetTable[TS]),"")</f>
        <v>1.1600000000000001</v>
      </c>
      <c r="AD432" s="165" t="str">
        <f>IF(BetTable[O2]="","",#REF!/BetTable[TS])</f>
        <v/>
      </c>
      <c r="AE432" s="165" t="str">
        <f>IFERROR(IF(BetTable[Sport]="","",#REF!/BetTable[TS]),"")</f>
        <v/>
      </c>
      <c r="AF432" s="164">
        <f>IF(BetTable[Outcome]="Win",BetTable[WBA1-Commission],IF(BetTable[Outcome]="Win Half Stake",(BetTable[Stake]/2)+BetTable[WBA1-Commission]/2,IF(BetTable[Outcome]="Lose Half Stake",BetTable[Stake]/2,IF(BetTable[Outcome]="Lose",0,IF(BetTable[Outcome]="Void",BetTable[Stake],)))))</f>
        <v>47.52</v>
      </c>
      <c r="AG432" s="164">
        <f>IF(BetTable[Outcome2]="Win",BetTable[WBA2-Commission],IF(BetTable[Outcome2]="Win Half Stake",(BetTable[S2]/2)+BetTable[WBA2-Commission]/2,IF(BetTable[Outcome2]="Lose Half Stake",BetTable[S2]/2,IF(BetTable[Outcome2]="Lose",0,IF(BetTable[Outcome2]="Void",BetTable[S2],)))))</f>
        <v>0</v>
      </c>
      <c r="AH432" s="164">
        <f>IF(BetTable[Outcome3]="Win",BetTable[WBA3-Commission],IF(BetTable[Outcome3]="Win Half Stake",(BetTable[S3]/2)+BetTable[WBA3-Commission]/2,IF(BetTable[Outcome3]="Lose Half Stake",BetTable[S3]/2,IF(BetTable[Outcome3]="Lose",0,IF(BetTable[Outcome3]="Void",BetTable[S3],)))))</f>
        <v>0</v>
      </c>
      <c r="AI432" s="168">
        <f>IF(BetTable[Outcome]="",AI431,BetTable[Result]+AI431)</f>
        <v>874.62425000000042</v>
      </c>
      <c r="AJ432" s="160"/>
    </row>
    <row r="433" spans="1:36" x14ac:dyDescent="0.2">
      <c r="A433" s="159" t="s">
        <v>1202</v>
      </c>
      <c r="B433" s="160" t="s">
        <v>9</v>
      </c>
      <c r="C433" s="161" t="s">
        <v>234</v>
      </c>
      <c r="D433" s="161"/>
      <c r="E433" s="161"/>
      <c r="F433" s="162"/>
      <c r="G433" s="162"/>
      <c r="H433" s="162"/>
      <c r="I433" s="160" t="s">
        <v>1317</v>
      </c>
      <c r="J433" s="163">
        <v>2.75</v>
      </c>
      <c r="K433" s="163"/>
      <c r="L433" s="163"/>
      <c r="M433" s="164">
        <v>19</v>
      </c>
      <c r="N433" s="164"/>
      <c r="O433" s="164"/>
      <c r="P433" s="159" t="s">
        <v>428</v>
      </c>
      <c r="Q433" s="159" t="s">
        <v>1132</v>
      </c>
      <c r="R433" s="159" t="s">
        <v>1318</v>
      </c>
      <c r="S433" s="165">
        <v>2.7276939301610698E-2</v>
      </c>
      <c r="T433" s="166" t="s">
        <v>372</v>
      </c>
      <c r="U433" s="166"/>
      <c r="V433" s="166"/>
      <c r="W433" s="167">
        <f>IF(BetTable[Sport]="","",BetTable[Stake]+BetTable[S2]+BetTable[S3])</f>
        <v>19</v>
      </c>
      <c r="X433" s="164">
        <f>IF(BetTable[Odds]="","",(BetTable[WBA1-Commission])-BetTable[TS])</f>
        <v>33.25</v>
      </c>
      <c r="Y433" s="168">
        <f>IF(BetTable[Outcome]="","",BetTable[WBA1]+BetTable[WBA2]+BetTable[WBA3]-BetTable[TS])</f>
        <v>33.25</v>
      </c>
      <c r="Z433" s="164">
        <f>(((BetTable[Odds]-1)*BetTable[Stake])*(1-(BetTable[Comm %]))+BetTable[Stake])</f>
        <v>52.25</v>
      </c>
      <c r="AA433" s="164">
        <f>(((BetTable[O2]-1)*BetTable[S2])*(1-(BetTable[C% 2]))+BetTable[S2])</f>
        <v>0</v>
      </c>
      <c r="AB433" s="164">
        <f>(((BetTable[O3]-1)*BetTable[S3])*(1-(BetTable[C% 3]))+BetTable[S3])</f>
        <v>0</v>
      </c>
      <c r="AC433" s="165">
        <f>IFERROR(IF(BetTable[Sport]="","",BetTable[R1]/BetTable[TS]),"")</f>
        <v>1.75</v>
      </c>
      <c r="AD433" s="165" t="str">
        <f>IF(BetTable[O2]="","",#REF!/BetTable[TS])</f>
        <v/>
      </c>
      <c r="AE433" s="165" t="str">
        <f>IFERROR(IF(BetTable[Sport]="","",#REF!/BetTable[TS]),"")</f>
        <v/>
      </c>
      <c r="AF433" s="164">
        <f>IF(BetTable[Outcome]="Win",BetTable[WBA1-Commission],IF(BetTable[Outcome]="Win Half Stake",(BetTable[Stake]/2)+BetTable[WBA1-Commission]/2,IF(BetTable[Outcome]="Lose Half Stake",BetTable[Stake]/2,IF(BetTable[Outcome]="Lose",0,IF(BetTable[Outcome]="Void",BetTable[Stake],)))))</f>
        <v>52.25</v>
      </c>
      <c r="AG433" s="164">
        <f>IF(BetTable[Outcome2]="Win",BetTable[WBA2-Commission],IF(BetTable[Outcome2]="Win Half Stake",(BetTable[S2]/2)+BetTable[WBA2-Commission]/2,IF(BetTable[Outcome2]="Lose Half Stake",BetTable[S2]/2,IF(BetTable[Outcome2]="Lose",0,IF(BetTable[Outcome2]="Void",BetTable[S2],)))))</f>
        <v>0</v>
      </c>
      <c r="AH433" s="164">
        <f>IF(BetTable[Outcome3]="Win",BetTable[WBA3-Commission],IF(BetTable[Outcome3]="Win Half Stake",(BetTable[S3]/2)+BetTable[WBA3-Commission]/2,IF(BetTable[Outcome3]="Lose Half Stake",BetTable[S3]/2,IF(BetTable[Outcome3]="Lose",0,IF(BetTable[Outcome3]="Void",BetTable[S3],)))))</f>
        <v>0</v>
      </c>
      <c r="AI433" s="168">
        <f>IF(BetTable[Outcome]="",AI432,BetTable[Result]+AI432)</f>
        <v>907.87425000000042</v>
      </c>
      <c r="AJ433" s="160"/>
    </row>
    <row r="434" spans="1:36" x14ac:dyDescent="0.2">
      <c r="A434" s="159" t="s">
        <v>1202</v>
      </c>
      <c r="B434" s="160" t="s">
        <v>200</v>
      </c>
      <c r="C434" s="161" t="s">
        <v>91</v>
      </c>
      <c r="D434" s="161"/>
      <c r="E434" s="161"/>
      <c r="F434" s="162"/>
      <c r="G434" s="162"/>
      <c r="H434" s="162"/>
      <c r="I434" s="160" t="s">
        <v>1319</v>
      </c>
      <c r="J434" s="163">
        <v>2.2799999999999998</v>
      </c>
      <c r="K434" s="163"/>
      <c r="L434" s="163"/>
      <c r="M434" s="164">
        <v>18</v>
      </c>
      <c r="N434" s="164"/>
      <c r="O434" s="164"/>
      <c r="P434" s="159" t="s">
        <v>1320</v>
      </c>
      <c r="Q434" s="159" t="s">
        <v>491</v>
      </c>
      <c r="R434" s="159" t="s">
        <v>1321</v>
      </c>
      <c r="S434" s="165">
        <v>1.91531275798364E-2</v>
      </c>
      <c r="T434" s="166" t="s">
        <v>372</v>
      </c>
      <c r="U434" s="166"/>
      <c r="V434" s="166"/>
      <c r="W434" s="167">
        <f>IF(BetTable[Sport]="","",BetTable[Stake]+BetTable[S2]+BetTable[S3])</f>
        <v>18</v>
      </c>
      <c r="X434" s="164">
        <f>IF(BetTable[Odds]="","",(BetTable[WBA1-Commission])-BetTable[TS])</f>
        <v>23.039999999999992</v>
      </c>
      <c r="Y434" s="168">
        <f>IF(BetTable[Outcome]="","",BetTable[WBA1]+BetTable[WBA2]+BetTable[WBA3]-BetTable[TS])</f>
        <v>23.039999999999992</v>
      </c>
      <c r="Z434" s="164">
        <f>(((BetTable[Odds]-1)*BetTable[Stake])*(1-(BetTable[Comm %]))+BetTable[Stake])</f>
        <v>41.039999999999992</v>
      </c>
      <c r="AA434" s="164">
        <f>(((BetTable[O2]-1)*BetTable[S2])*(1-(BetTable[C% 2]))+BetTable[S2])</f>
        <v>0</v>
      </c>
      <c r="AB434" s="164">
        <f>(((BetTable[O3]-1)*BetTable[S3])*(1-(BetTable[C% 3]))+BetTable[S3])</f>
        <v>0</v>
      </c>
      <c r="AC434" s="165">
        <f>IFERROR(IF(BetTable[Sport]="","",BetTable[R1]/BetTable[TS]),"")</f>
        <v>1.2799999999999996</v>
      </c>
      <c r="AD434" s="165" t="str">
        <f>IF(BetTable[O2]="","",#REF!/BetTable[TS])</f>
        <v/>
      </c>
      <c r="AE434" s="165" t="str">
        <f>IFERROR(IF(BetTable[Sport]="","",#REF!/BetTable[TS]),"")</f>
        <v/>
      </c>
      <c r="AF434" s="164">
        <f>IF(BetTable[Outcome]="Win",BetTable[WBA1-Commission],IF(BetTable[Outcome]="Win Half Stake",(BetTable[Stake]/2)+BetTable[WBA1-Commission]/2,IF(BetTable[Outcome]="Lose Half Stake",BetTable[Stake]/2,IF(BetTable[Outcome]="Lose",0,IF(BetTable[Outcome]="Void",BetTable[Stake],)))))</f>
        <v>41.039999999999992</v>
      </c>
      <c r="AG434" s="164">
        <f>IF(BetTable[Outcome2]="Win",BetTable[WBA2-Commission],IF(BetTable[Outcome2]="Win Half Stake",(BetTable[S2]/2)+BetTable[WBA2-Commission]/2,IF(BetTable[Outcome2]="Lose Half Stake",BetTable[S2]/2,IF(BetTable[Outcome2]="Lose",0,IF(BetTable[Outcome2]="Void",BetTable[S2],)))))</f>
        <v>0</v>
      </c>
      <c r="AH434" s="164">
        <f>IF(BetTable[Outcome3]="Win",BetTable[WBA3-Commission],IF(BetTable[Outcome3]="Win Half Stake",(BetTable[S3]/2)+BetTable[WBA3-Commission]/2,IF(BetTable[Outcome3]="Lose Half Stake",BetTable[S3]/2,IF(BetTable[Outcome3]="Lose",0,IF(BetTable[Outcome3]="Void",BetTable[S3],)))))</f>
        <v>0</v>
      </c>
      <c r="AI434" s="168">
        <f>IF(BetTable[Outcome]="",AI433,BetTable[Result]+AI433)</f>
        <v>930.91425000000038</v>
      </c>
      <c r="AJ434" s="160"/>
    </row>
    <row r="435" spans="1:36" x14ac:dyDescent="0.2">
      <c r="A435" s="159" t="s">
        <v>1202</v>
      </c>
      <c r="B435" s="160" t="s">
        <v>200</v>
      </c>
      <c r="C435" s="161" t="s">
        <v>91</v>
      </c>
      <c r="D435" s="161"/>
      <c r="E435" s="161"/>
      <c r="F435" s="162"/>
      <c r="G435" s="162"/>
      <c r="H435" s="162"/>
      <c r="I435" s="160" t="s">
        <v>1315</v>
      </c>
      <c r="J435" s="163">
        <v>1.85</v>
      </c>
      <c r="K435" s="163"/>
      <c r="L435" s="163"/>
      <c r="M435" s="164">
        <v>35</v>
      </c>
      <c r="N435" s="164"/>
      <c r="O435" s="164"/>
      <c r="P435" s="159" t="s">
        <v>368</v>
      </c>
      <c r="Q435" s="159" t="s">
        <v>882</v>
      </c>
      <c r="R435" s="159" t="s">
        <v>1322</v>
      </c>
      <c r="S435" s="165">
        <v>2.45834812808308E-2</v>
      </c>
      <c r="T435" s="166" t="s">
        <v>382</v>
      </c>
      <c r="U435" s="166"/>
      <c r="V435" s="166"/>
      <c r="W435" s="167">
        <f>IF(BetTable[Sport]="","",BetTable[Stake]+BetTable[S2]+BetTable[S3])</f>
        <v>35</v>
      </c>
      <c r="X435" s="164">
        <f>IF(BetTable[Odds]="","",(BetTable[WBA1-Commission])-BetTable[TS])</f>
        <v>29.75</v>
      </c>
      <c r="Y435" s="168">
        <f>IF(BetTable[Outcome]="","",BetTable[WBA1]+BetTable[WBA2]+BetTable[WBA3]-BetTable[TS])</f>
        <v>-35</v>
      </c>
      <c r="Z435" s="164">
        <f>(((BetTable[Odds]-1)*BetTable[Stake])*(1-(BetTable[Comm %]))+BetTable[Stake])</f>
        <v>64.75</v>
      </c>
      <c r="AA435" s="164">
        <f>(((BetTable[O2]-1)*BetTable[S2])*(1-(BetTable[C% 2]))+BetTable[S2])</f>
        <v>0</v>
      </c>
      <c r="AB435" s="164">
        <f>(((BetTable[O3]-1)*BetTable[S3])*(1-(BetTable[C% 3]))+BetTable[S3])</f>
        <v>0</v>
      </c>
      <c r="AC435" s="165">
        <f>IFERROR(IF(BetTable[Sport]="","",BetTable[R1]/BetTable[TS]),"")</f>
        <v>0.85</v>
      </c>
      <c r="AD435" s="165" t="str">
        <f>IF(BetTable[O2]="","",#REF!/BetTable[TS])</f>
        <v/>
      </c>
      <c r="AE435" s="165" t="str">
        <f>IFERROR(IF(BetTable[Sport]="","",#REF!/BetTable[TS]),"")</f>
        <v/>
      </c>
      <c r="AF435" s="164">
        <f>IF(BetTable[Outcome]="Win",BetTable[WBA1-Commission],IF(BetTable[Outcome]="Win Half Stake",(BetTable[Stake]/2)+BetTable[WBA1-Commission]/2,IF(BetTable[Outcome]="Lose Half Stake",BetTable[Stake]/2,IF(BetTable[Outcome]="Lose",0,IF(BetTable[Outcome]="Void",BetTable[Stake],)))))</f>
        <v>0</v>
      </c>
      <c r="AG435" s="164">
        <f>IF(BetTable[Outcome2]="Win",BetTable[WBA2-Commission],IF(BetTable[Outcome2]="Win Half Stake",(BetTable[S2]/2)+BetTable[WBA2-Commission]/2,IF(BetTable[Outcome2]="Lose Half Stake",BetTable[S2]/2,IF(BetTable[Outcome2]="Lose",0,IF(BetTable[Outcome2]="Void",BetTable[S2],)))))</f>
        <v>0</v>
      </c>
      <c r="AH435" s="164">
        <f>IF(BetTable[Outcome3]="Win",BetTable[WBA3-Commission],IF(BetTable[Outcome3]="Win Half Stake",(BetTable[S3]/2)+BetTable[WBA3-Commission]/2,IF(BetTable[Outcome3]="Lose Half Stake",BetTable[S3]/2,IF(BetTable[Outcome3]="Lose",0,IF(BetTable[Outcome3]="Void",BetTable[S3],)))))</f>
        <v>0</v>
      </c>
      <c r="AI435" s="168">
        <f>IF(BetTable[Outcome]="",AI434,BetTable[Result]+AI434)</f>
        <v>895.91425000000038</v>
      </c>
      <c r="AJ435" s="160"/>
    </row>
    <row r="436" spans="1:36" x14ac:dyDescent="0.2">
      <c r="A436" s="159" t="s">
        <v>1202</v>
      </c>
      <c r="B436" s="160" t="s">
        <v>200</v>
      </c>
      <c r="C436" s="161" t="s">
        <v>91</v>
      </c>
      <c r="D436" s="161"/>
      <c r="E436" s="161"/>
      <c r="F436" s="162"/>
      <c r="G436" s="162"/>
      <c r="H436" s="162"/>
      <c r="I436" s="160" t="s">
        <v>1323</v>
      </c>
      <c r="J436" s="163">
        <v>4.3</v>
      </c>
      <c r="K436" s="163"/>
      <c r="L436" s="163"/>
      <c r="M436" s="164">
        <v>8</v>
      </c>
      <c r="N436" s="164"/>
      <c r="O436" s="164"/>
      <c r="P436" s="159" t="s">
        <v>428</v>
      </c>
      <c r="Q436" s="159" t="s">
        <v>703</v>
      </c>
      <c r="R436" s="159" t="s">
        <v>1324</v>
      </c>
      <c r="S436" s="165">
        <v>2.16565162590922E-2</v>
      </c>
      <c r="T436" s="166" t="s">
        <v>382</v>
      </c>
      <c r="U436" s="166"/>
      <c r="V436" s="166"/>
      <c r="W436" s="167">
        <f>IF(BetTable[Sport]="","",BetTable[Stake]+BetTable[S2]+BetTable[S3])</f>
        <v>8</v>
      </c>
      <c r="X436" s="164">
        <f>IF(BetTable[Odds]="","",(BetTable[WBA1-Commission])-BetTable[TS])</f>
        <v>26.4</v>
      </c>
      <c r="Y436" s="168">
        <f>IF(BetTable[Outcome]="","",BetTable[WBA1]+BetTable[WBA2]+BetTable[WBA3]-BetTable[TS])</f>
        <v>-8</v>
      </c>
      <c r="Z436" s="164">
        <f>(((BetTable[Odds]-1)*BetTable[Stake])*(1-(BetTable[Comm %]))+BetTable[Stake])</f>
        <v>34.4</v>
      </c>
      <c r="AA436" s="164">
        <f>(((BetTable[O2]-1)*BetTable[S2])*(1-(BetTable[C% 2]))+BetTable[S2])</f>
        <v>0</v>
      </c>
      <c r="AB436" s="164">
        <f>(((BetTable[O3]-1)*BetTable[S3])*(1-(BetTable[C% 3]))+BetTable[S3])</f>
        <v>0</v>
      </c>
      <c r="AC436" s="165">
        <f>IFERROR(IF(BetTable[Sport]="","",BetTable[R1]/BetTable[TS]),"")</f>
        <v>3.3</v>
      </c>
      <c r="AD436" s="165" t="str">
        <f>IF(BetTable[O2]="","",#REF!/BetTable[TS])</f>
        <v/>
      </c>
      <c r="AE436" s="165" t="str">
        <f>IFERROR(IF(BetTable[Sport]="","",#REF!/BetTable[TS]),"")</f>
        <v/>
      </c>
      <c r="AF436" s="164">
        <f>IF(BetTable[Outcome]="Win",BetTable[WBA1-Commission],IF(BetTable[Outcome]="Win Half Stake",(BetTable[Stake]/2)+BetTable[WBA1-Commission]/2,IF(BetTable[Outcome]="Lose Half Stake",BetTable[Stake]/2,IF(BetTable[Outcome]="Lose",0,IF(BetTable[Outcome]="Void",BetTable[Stake],)))))</f>
        <v>0</v>
      </c>
      <c r="AG436" s="164">
        <f>IF(BetTable[Outcome2]="Win",BetTable[WBA2-Commission],IF(BetTable[Outcome2]="Win Half Stake",(BetTable[S2]/2)+BetTable[WBA2-Commission]/2,IF(BetTable[Outcome2]="Lose Half Stake",BetTable[S2]/2,IF(BetTable[Outcome2]="Lose",0,IF(BetTable[Outcome2]="Void",BetTable[S2],)))))</f>
        <v>0</v>
      </c>
      <c r="AH436" s="164">
        <f>IF(BetTable[Outcome3]="Win",BetTable[WBA3-Commission],IF(BetTable[Outcome3]="Win Half Stake",(BetTable[S3]/2)+BetTable[WBA3-Commission]/2,IF(BetTable[Outcome3]="Lose Half Stake",BetTable[S3]/2,IF(BetTable[Outcome3]="Lose",0,IF(BetTable[Outcome3]="Void",BetTable[S3],)))))</f>
        <v>0</v>
      </c>
      <c r="AI436" s="168">
        <f>IF(BetTable[Outcome]="",AI435,BetTable[Result]+AI435)</f>
        <v>887.91425000000038</v>
      </c>
      <c r="AJ436" s="160"/>
    </row>
    <row r="437" spans="1:36" x14ac:dyDescent="0.2">
      <c r="A437" s="159" t="s">
        <v>1202</v>
      </c>
      <c r="B437" s="160" t="s">
        <v>200</v>
      </c>
      <c r="C437" s="161" t="s">
        <v>91</v>
      </c>
      <c r="D437" s="161"/>
      <c r="E437" s="161"/>
      <c r="F437" s="162"/>
      <c r="G437" s="162"/>
      <c r="H437" s="162"/>
      <c r="I437" s="160" t="s">
        <v>1325</v>
      </c>
      <c r="J437" s="163">
        <v>2.21</v>
      </c>
      <c r="K437" s="163"/>
      <c r="L437" s="163"/>
      <c r="M437" s="164">
        <v>21</v>
      </c>
      <c r="N437" s="164"/>
      <c r="O437" s="164"/>
      <c r="P437" s="159" t="s">
        <v>428</v>
      </c>
      <c r="Q437" s="159" t="s">
        <v>547</v>
      </c>
      <c r="R437" s="159" t="s">
        <v>1326</v>
      </c>
      <c r="S437" s="165">
        <v>2.1256893922146199E-2</v>
      </c>
      <c r="T437" s="166" t="s">
        <v>372</v>
      </c>
      <c r="U437" s="166"/>
      <c r="V437" s="166"/>
      <c r="W437" s="167">
        <f>IF(BetTable[Sport]="","",BetTable[Stake]+BetTable[S2]+BetTable[S3])</f>
        <v>21</v>
      </c>
      <c r="X437" s="164">
        <f>IF(BetTable[Odds]="","",(BetTable[WBA1-Commission])-BetTable[TS])</f>
        <v>25.409999999999997</v>
      </c>
      <c r="Y437" s="168">
        <f>IF(BetTable[Outcome]="","",BetTable[WBA1]+BetTable[WBA2]+BetTable[WBA3]-BetTable[TS])</f>
        <v>25.409999999999997</v>
      </c>
      <c r="Z437" s="164">
        <f>(((BetTable[Odds]-1)*BetTable[Stake])*(1-(BetTable[Comm %]))+BetTable[Stake])</f>
        <v>46.41</v>
      </c>
      <c r="AA437" s="164">
        <f>(((BetTable[O2]-1)*BetTable[S2])*(1-(BetTable[C% 2]))+BetTable[S2])</f>
        <v>0</v>
      </c>
      <c r="AB437" s="164">
        <f>(((BetTable[O3]-1)*BetTable[S3])*(1-(BetTable[C% 3]))+BetTable[S3])</f>
        <v>0</v>
      </c>
      <c r="AC437" s="165">
        <f>IFERROR(IF(BetTable[Sport]="","",BetTable[R1]/BetTable[TS]),"")</f>
        <v>1.2099999999999997</v>
      </c>
      <c r="AD437" s="165" t="str">
        <f>IF(BetTable[O2]="","",#REF!/BetTable[TS])</f>
        <v/>
      </c>
      <c r="AE437" s="165" t="str">
        <f>IFERROR(IF(BetTable[Sport]="","",#REF!/BetTable[TS]),"")</f>
        <v/>
      </c>
      <c r="AF437" s="164">
        <f>IF(BetTable[Outcome]="Win",BetTable[WBA1-Commission],IF(BetTable[Outcome]="Win Half Stake",(BetTable[Stake]/2)+BetTable[WBA1-Commission]/2,IF(BetTable[Outcome]="Lose Half Stake",BetTable[Stake]/2,IF(BetTable[Outcome]="Lose",0,IF(BetTable[Outcome]="Void",BetTable[Stake],)))))</f>
        <v>46.41</v>
      </c>
      <c r="AG437" s="164">
        <f>IF(BetTable[Outcome2]="Win",BetTable[WBA2-Commission],IF(BetTable[Outcome2]="Win Half Stake",(BetTable[S2]/2)+BetTable[WBA2-Commission]/2,IF(BetTable[Outcome2]="Lose Half Stake",BetTable[S2]/2,IF(BetTable[Outcome2]="Lose",0,IF(BetTable[Outcome2]="Void",BetTable[S2],)))))</f>
        <v>0</v>
      </c>
      <c r="AH437" s="164">
        <f>IF(BetTable[Outcome3]="Win",BetTable[WBA3-Commission],IF(BetTable[Outcome3]="Win Half Stake",(BetTable[S3]/2)+BetTable[WBA3-Commission]/2,IF(BetTable[Outcome3]="Lose Half Stake",BetTable[S3]/2,IF(BetTable[Outcome3]="Lose",0,IF(BetTable[Outcome3]="Void",BetTable[S3],)))))</f>
        <v>0</v>
      </c>
      <c r="AI437" s="168">
        <f>IF(BetTable[Outcome]="",AI436,BetTable[Result]+AI436)</f>
        <v>913.32425000000035</v>
      </c>
      <c r="AJ437" s="160"/>
    </row>
    <row r="438" spans="1:36" x14ac:dyDescent="0.2">
      <c r="A438" s="159" t="s">
        <v>1202</v>
      </c>
      <c r="B438" s="160" t="s">
        <v>200</v>
      </c>
      <c r="C438" s="161" t="s">
        <v>234</v>
      </c>
      <c r="D438" s="161"/>
      <c r="E438" s="161"/>
      <c r="F438" s="162"/>
      <c r="G438" s="162"/>
      <c r="H438" s="162"/>
      <c r="I438" s="160" t="s">
        <v>1327</v>
      </c>
      <c r="J438" s="163">
        <v>2.11</v>
      </c>
      <c r="K438" s="163"/>
      <c r="L438" s="163"/>
      <c r="M438" s="164">
        <v>12</v>
      </c>
      <c r="N438" s="164"/>
      <c r="O438" s="164"/>
      <c r="P438" s="159" t="s">
        <v>635</v>
      </c>
      <c r="Q438" s="159" t="s">
        <v>889</v>
      </c>
      <c r="R438" s="159" t="s">
        <v>1328</v>
      </c>
      <c r="S438" s="165">
        <v>1.09374859923784E-2</v>
      </c>
      <c r="T438" s="166" t="s">
        <v>382</v>
      </c>
      <c r="U438" s="166"/>
      <c r="V438" s="166"/>
      <c r="W438" s="167">
        <f>IF(BetTable[Sport]="","",BetTable[Stake]+BetTable[S2]+BetTable[S3])</f>
        <v>12</v>
      </c>
      <c r="X438" s="164">
        <f>IF(BetTable[Odds]="","",(BetTable[WBA1-Commission])-BetTable[TS])</f>
        <v>13.32</v>
      </c>
      <c r="Y438" s="168">
        <f>IF(BetTable[Outcome]="","",BetTable[WBA1]+BetTable[WBA2]+BetTable[WBA3]-BetTable[TS])</f>
        <v>-12</v>
      </c>
      <c r="Z438" s="164">
        <f>(((BetTable[Odds]-1)*BetTable[Stake])*(1-(BetTable[Comm %]))+BetTable[Stake])</f>
        <v>25.32</v>
      </c>
      <c r="AA438" s="164">
        <f>(((BetTable[O2]-1)*BetTable[S2])*(1-(BetTable[C% 2]))+BetTable[S2])</f>
        <v>0</v>
      </c>
      <c r="AB438" s="164">
        <f>(((BetTable[O3]-1)*BetTable[S3])*(1-(BetTable[C% 3]))+BetTable[S3])</f>
        <v>0</v>
      </c>
      <c r="AC438" s="165">
        <f>IFERROR(IF(BetTable[Sport]="","",BetTable[R1]/BetTable[TS]),"")</f>
        <v>1.1100000000000001</v>
      </c>
      <c r="AD438" s="165" t="str">
        <f>IF(BetTable[O2]="","",#REF!/BetTable[TS])</f>
        <v/>
      </c>
      <c r="AE438" s="165" t="str">
        <f>IFERROR(IF(BetTable[Sport]="","",#REF!/BetTable[TS]),"")</f>
        <v/>
      </c>
      <c r="AF438" s="164">
        <f>IF(BetTable[Outcome]="Win",BetTable[WBA1-Commission],IF(BetTable[Outcome]="Win Half Stake",(BetTable[Stake]/2)+BetTable[WBA1-Commission]/2,IF(BetTable[Outcome]="Lose Half Stake",BetTable[Stake]/2,IF(BetTable[Outcome]="Lose",0,IF(BetTable[Outcome]="Void",BetTable[Stake],)))))</f>
        <v>0</v>
      </c>
      <c r="AG438" s="164">
        <f>IF(BetTable[Outcome2]="Win",BetTable[WBA2-Commission],IF(BetTable[Outcome2]="Win Half Stake",(BetTable[S2]/2)+BetTable[WBA2-Commission]/2,IF(BetTable[Outcome2]="Lose Half Stake",BetTable[S2]/2,IF(BetTable[Outcome2]="Lose",0,IF(BetTable[Outcome2]="Void",BetTable[S2],)))))</f>
        <v>0</v>
      </c>
      <c r="AH438" s="164">
        <f>IF(BetTable[Outcome3]="Win",BetTable[WBA3-Commission],IF(BetTable[Outcome3]="Win Half Stake",(BetTable[S3]/2)+BetTable[WBA3-Commission]/2,IF(BetTable[Outcome3]="Lose Half Stake",BetTable[S3]/2,IF(BetTable[Outcome3]="Lose",0,IF(BetTable[Outcome3]="Void",BetTable[S3],)))))</f>
        <v>0</v>
      </c>
      <c r="AI438" s="168">
        <f>IF(BetTable[Outcome]="",AI437,BetTable[Result]+AI437)</f>
        <v>901.32425000000035</v>
      </c>
      <c r="AJ438" s="160"/>
    </row>
    <row r="439" spans="1:36" x14ac:dyDescent="0.2">
      <c r="A439" s="159" t="s">
        <v>1202</v>
      </c>
      <c r="B439" s="160" t="s">
        <v>200</v>
      </c>
      <c r="C439" s="161" t="s">
        <v>234</v>
      </c>
      <c r="D439" s="161"/>
      <c r="E439" s="161"/>
      <c r="F439" s="162"/>
      <c r="G439" s="162"/>
      <c r="H439" s="162"/>
      <c r="I439" s="160" t="s">
        <v>1329</v>
      </c>
      <c r="J439" s="163">
        <v>1.89</v>
      </c>
      <c r="K439" s="163"/>
      <c r="L439" s="163"/>
      <c r="M439" s="164">
        <v>15</v>
      </c>
      <c r="N439" s="164"/>
      <c r="O439" s="164"/>
      <c r="P439" s="159" t="s">
        <v>620</v>
      </c>
      <c r="Q439" s="159" t="s">
        <v>889</v>
      </c>
      <c r="R439" s="159" t="s">
        <v>1330</v>
      </c>
      <c r="S439" s="165">
        <v>1.0759465985560801E-2</v>
      </c>
      <c r="T439" s="166" t="s">
        <v>372</v>
      </c>
      <c r="U439" s="166"/>
      <c r="V439" s="166"/>
      <c r="W439" s="167">
        <f>IF(BetTable[Sport]="","",BetTable[Stake]+BetTable[S2]+BetTable[S3])</f>
        <v>15</v>
      </c>
      <c r="X439" s="164">
        <f>IF(BetTable[Odds]="","",(BetTable[WBA1-Commission])-BetTable[TS])</f>
        <v>13.349999999999998</v>
      </c>
      <c r="Y439" s="168">
        <f>IF(BetTable[Outcome]="","",BetTable[WBA1]+BetTable[WBA2]+BetTable[WBA3]-BetTable[TS])</f>
        <v>13.349999999999998</v>
      </c>
      <c r="Z439" s="164">
        <f>(((BetTable[Odds]-1)*BetTable[Stake])*(1-(BetTable[Comm %]))+BetTable[Stake])</f>
        <v>28.349999999999998</v>
      </c>
      <c r="AA439" s="164">
        <f>(((BetTable[O2]-1)*BetTable[S2])*(1-(BetTable[C% 2]))+BetTable[S2])</f>
        <v>0</v>
      </c>
      <c r="AB439" s="164">
        <f>(((BetTable[O3]-1)*BetTable[S3])*(1-(BetTable[C% 3]))+BetTable[S3])</f>
        <v>0</v>
      </c>
      <c r="AC439" s="165">
        <f>IFERROR(IF(BetTable[Sport]="","",BetTable[R1]/BetTable[TS]),"")</f>
        <v>0.8899999999999999</v>
      </c>
      <c r="AD439" s="165" t="str">
        <f>IF(BetTable[O2]="","",#REF!/BetTable[TS])</f>
        <v/>
      </c>
      <c r="AE439" s="165" t="str">
        <f>IFERROR(IF(BetTable[Sport]="","",#REF!/BetTable[TS]),"")</f>
        <v/>
      </c>
      <c r="AF439" s="164">
        <f>IF(BetTable[Outcome]="Win",BetTable[WBA1-Commission],IF(BetTable[Outcome]="Win Half Stake",(BetTable[Stake]/2)+BetTable[WBA1-Commission]/2,IF(BetTable[Outcome]="Lose Half Stake",BetTable[Stake]/2,IF(BetTable[Outcome]="Lose",0,IF(BetTable[Outcome]="Void",BetTable[Stake],)))))</f>
        <v>28.349999999999998</v>
      </c>
      <c r="AG439" s="164">
        <f>IF(BetTable[Outcome2]="Win",BetTable[WBA2-Commission],IF(BetTable[Outcome2]="Win Half Stake",(BetTable[S2]/2)+BetTable[WBA2-Commission]/2,IF(BetTable[Outcome2]="Lose Half Stake",BetTable[S2]/2,IF(BetTable[Outcome2]="Lose",0,IF(BetTable[Outcome2]="Void",BetTable[S2],)))))</f>
        <v>0</v>
      </c>
      <c r="AH439" s="164">
        <f>IF(BetTable[Outcome3]="Win",BetTable[WBA3-Commission],IF(BetTable[Outcome3]="Win Half Stake",(BetTable[S3]/2)+BetTable[WBA3-Commission]/2,IF(BetTable[Outcome3]="Lose Half Stake",BetTable[S3]/2,IF(BetTable[Outcome3]="Lose",0,IF(BetTable[Outcome3]="Void",BetTable[S3],)))))</f>
        <v>0</v>
      </c>
      <c r="AI439" s="168">
        <f>IF(BetTable[Outcome]="",AI438,BetTable[Result]+AI438)</f>
        <v>914.67425000000037</v>
      </c>
      <c r="AJ439" s="160"/>
    </row>
    <row r="440" spans="1:36" x14ac:dyDescent="0.2">
      <c r="A440" s="159" t="s">
        <v>1202</v>
      </c>
      <c r="B440" s="160" t="s">
        <v>200</v>
      </c>
      <c r="C440" s="161" t="s">
        <v>234</v>
      </c>
      <c r="D440" s="161"/>
      <c r="E440" s="161"/>
      <c r="F440" s="162"/>
      <c r="G440" s="162"/>
      <c r="H440" s="162"/>
      <c r="I440" s="160" t="s">
        <v>1327</v>
      </c>
      <c r="J440" s="163">
        <v>2.11</v>
      </c>
      <c r="K440" s="163"/>
      <c r="L440" s="163"/>
      <c r="M440" s="164">
        <v>12</v>
      </c>
      <c r="N440" s="164"/>
      <c r="O440" s="164"/>
      <c r="P440" s="159" t="s">
        <v>635</v>
      </c>
      <c r="Q440" s="159" t="s">
        <v>889</v>
      </c>
      <c r="R440" s="159" t="s">
        <v>1331</v>
      </c>
      <c r="S440" s="165">
        <v>1.09374859923784E-2</v>
      </c>
      <c r="T440" s="166" t="s">
        <v>382</v>
      </c>
      <c r="U440" s="166"/>
      <c r="V440" s="166"/>
      <c r="W440" s="167">
        <f>IF(BetTable[Sport]="","",BetTable[Stake]+BetTable[S2]+BetTable[S3])</f>
        <v>12</v>
      </c>
      <c r="X440" s="164">
        <f>IF(BetTable[Odds]="","",(BetTable[WBA1-Commission])-BetTable[TS])</f>
        <v>13.32</v>
      </c>
      <c r="Y440" s="168">
        <f>IF(BetTable[Outcome]="","",BetTable[WBA1]+BetTable[WBA2]+BetTable[WBA3]-BetTable[TS])</f>
        <v>-12</v>
      </c>
      <c r="Z440" s="164">
        <f>(((BetTable[Odds]-1)*BetTable[Stake])*(1-(BetTable[Comm %]))+BetTable[Stake])</f>
        <v>25.32</v>
      </c>
      <c r="AA440" s="164">
        <f>(((BetTable[O2]-1)*BetTable[S2])*(1-(BetTable[C% 2]))+BetTable[S2])</f>
        <v>0</v>
      </c>
      <c r="AB440" s="164">
        <f>(((BetTable[O3]-1)*BetTable[S3])*(1-(BetTable[C% 3]))+BetTable[S3])</f>
        <v>0</v>
      </c>
      <c r="AC440" s="165">
        <f>IFERROR(IF(BetTable[Sport]="","",BetTable[R1]/BetTable[TS]),"")</f>
        <v>1.1100000000000001</v>
      </c>
      <c r="AD440" s="165" t="str">
        <f>IF(BetTable[O2]="","",#REF!/BetTable[TS])</f>
        <v/>
      </c>
      <c r="AE440" s="165" t="str">
        <f>IFERROR(IF(BetTable[Sport]="","",#REF!/BetTable[TS]),"")</f>
        <v/>
      </c>
      <c r="AF440" s="164">
        <f>IF(BetTable[Outcome]="Win",BetTable[WBA1-Commission],IF(BetTable[Outcome]="Win Half Stake",(BetTable[Stake]/2)+BetTable[WBA1-Commission]/2,IF(BetTable[Outcome]="Lose Half Stake",BetTable[Stake]/2,IF(BetTable[Outcome]="Lose",0,IF(BetTable[Outcome]="Void",BetTable[Stake],)))))</f>
        <v>0</v>
      </c>
      <c r="AG440" s="164">
        <f>IF(BetTable[Outcome2]="Win",BetTable[WBA2-Commission],IF(BetTable[Outcome2]="Win Half Stake",(BetTable[S2]/2)+BetTable[WBA2-Commission]/2,IF(BetTable[Outcome2]="Lose Half Stake",BetTable[S2]/2,IF(BetTable[Outcome2]="Lose",0,IF(BetTable[Outcome2]="Void",BetTable[S2],)))))</f>
        <v>0</v>
      </c>
      <c r="AH440" s="164">
        <f>IF(BetTable[Outcome3]="Win",BetTable[WBA3-Commission],IF(BetTable[Outcome3]="Win Half Stake",(BetTable[S3]/2)+BetTable[WBA3-Commission]/2,IF(BetTable[Outcome3]="Lose Half Stake",BetTable[S3]/2,IF(BetTable[Outcome3]="Lose",0,IF(BetTable[Outcome3]="Void",BetTable[S3],)))))</f>
        <v>0</v>
      </c>
      <c r="AI440" s="168">
        <f>IF(BetTable[Outcome]="",AI439,BetTable[Result]+AI439)</f>
        <v>902.67425000000037</v>
      </c>
      <c r="AJ440" s="160"/>
    </row>
    <row r="441" spans="1:36" x14ac:dyDescent="0.2">
      <c r="A441" s="159" t="s">
        <v>1202</v>
      </c>
      <c r="B441" s="160" t="s">
        <v>200</v>
      </c>
      <c r="C441" s="161" t="s">
        <v>234</v>
      </c>
      <c r="D441" s="161"/>
      <c r="E441" s="161"/>
      <c r="F441" s="162"/>
      <c r="G441" s="162"/>
      <c r="H441" s="162"/>
      <c r="I441" s="160" t="s">
        <v>1332</v>
      </c>
      <c r="J441" s="163">
        <v>1.4</v>
      </c>
      <c r="K441" s="163"/>
      <c r="L441" s="163"/>
      <c r="M441" s="164">
        <v>70</v>
      </c>
      <c r="N441" s="164"/>
      <c r="O441" s="164"/>
      <c r="P441" s="159" t="s">
        <v>435</v>
      </c>
      <c r="Q441" s="159" t="s">
        <v>461</v>
      </c>
      <c r="R441" s="159" t="s">
        <v>1333</v>
      </c>
      <c r="S441" s="165">
        <v>2.33114608509279E-2</v>
      </c>
      <c r="T441" s="166" t="s">
        <v>382</v>
      </c>
      <c r="U441" s="166"/>
      <c r="V441" s="166"/>
      <c r="W441" s="167">
        <f>IF(BetTable[Sport]="","",BetTable[Stake]+BetTable[S2]+BetTable[S3])</f>
        <v>70</v>
      </c>
      <c r="X441" s="164">
        <f>IF(BetTable[Odds]="","",(BetTable[WBA1-Commission])-BetTable[TS])</f>
        <v>28</v>
      </c>
      <c r="Y441" s="168">
        <f>IF(BetTable[Outcome]="","",BetTable[WBA1]+BetTable[WBA2]+BetTable[WBA3]-BetTable[TS])</f>
        <v>-70</v>
      </c>
      <c r="Z441" s="164">
        <f>(((BetTable[Odds]-1)*BetTable[Stake])*(1-(BetTable[Comm %]))+BetTable[Stake])</f>
        <v>98</v>
      </c>
      <c r="AA441" s="164">
        <f>(((BetTable[O2]-1)*BetTable[S2])*(1-(BetTable[C% 2]))+BetTable[S2])</f>
        <v>0</v>
      </c>
      <c r="AB441" s="164">
        <f>(((BetTable[O3]-1)*BetTable[S3])*(1-(BetTable[C% 3]))+BetTable[S3])</f>
        <v>0</v>
      </c>
      <c r="AC441" s="165">
        <f>IFERROR(IF(BetTable[Sport]="","",BetTable[R1]/BetTable[TS]),"")</f>
        <v>0.4</v>
      </c>
      <c r="AD441" s="165" t="str">
        <f>IF(BetTable[O2]="","",#REF!/BetTable[TS])</f>
        <v/>
      </c>
      <c r="AE441" s="165" t="str">
        <f>IFERROR(IF(BetTable[Sport]="","",#REF!/BetTable[TS]),"")</f>
        <v/>
      </c>
      <c r="AF441" s="164">
        <f>IF(BetTable[Outcome]="Win",BetTable[WBA1-Commission],IF(BetTable[Outcome]="Win Half Stake",(BetTable[Stake]/2)+BetTable[WBA1-Commission]/2,IF(BetTable[Outcome]="Lose Half Stake",BetTable[Stake]/2,IF(BetTable[Outcome]="Lose",0,IF(BetTable[Outcome]="Void",BetTable[Stake],)))))</f>
        <v>0</v>
      </c>
      <c r="AG441" s="164">
        <f>IF(BetTable[Outcome2]="Win",BetTable[WBA2-Commission],IF(BetTable[Outcome2]="Win Half Stake",(BetTable[S2]/2)+BetTable[WBA2-Commission]/2,IF(BetTable[Outcome2]="Lose Half Stake",BetTable[S2]/2,IF(BetTable[Outcome2]="Lose",0,IF(BetTable[Outcome2]="Void",BetTable[S2],)))))</f>
        <v>0</v>
      </c>
      <c r="AH441" s="164">
        <f>IF(BetTable[Outcome3]="Win",BetTable[WBA3-Commission],IF(BetTable[Outcome3]="Win Half Stake",(BetTable[S3]/2)+BetTable[WBA3-Commission]/2,IF(BetTable[Outcome3]="Lose Half Stake",BetTable[S3]/2,IF(BetTable[Outcome3]="Lose",0,IF(BetTable[Outcome3]="Void",BetTable[S3],)))))</f>
        <v>0</v>
      </c>
      <c r="AI441" s="168">
        <f>IF(BetTable[Outcome]="",AI440,BetTable[Result]+AI440)</f>
        <v>832.67425000000037</v>
      </c>
      <c r="AJ441" s="160"/>
    </row>
    <row r="442" spans="1:36" x14ac:dyDescent="0.2">
      <c r="A442" s="159" t="s">
        <v>1202</v>
      </c>
      <c r="B442" s="160" t="s">
        <v>200</v>
      </c>
      <c r="C442" s="161" t="s">
        <v>234</v>
      </c>
      <c r="D442" s="161"/>
      <c r="E442" s="161"/>
      <c r="F442" s="162"/>
      <c r="G442" s="162"/>
      <c r="H442" s="162"/>
      <c r="I442" s="160" t="s">
        <v>1327</v>
      </c>
      <c r="J442" s="163">
        <v>2.0299999999999998</v>
      </c>
      <c r="K442" s="163"/>
      <c r="L442" s="163"/>
      <c r="M442" s="164">
        <v>17</v>
      </c>
      <c r="N442" s="164"/>
      <c r="O442" s="164"/>
      <c r="P442" s="159" t="s">
        <v>354</v>
      </c>
      <c r="Q442" s="159" t="s">
        <v>889</v>
      </c>
      <c r="R442" s="159" t="s">
        <v>1334</v>
      </c>
      <c r="S442" s="165">
        <v>1.4999999999999999E-2</v>
      </c>
      <c r="T442" s="166" t="s">
        <v>372</v>
      </c>
      <c r="U442" s="166"/>
      <c r="V442" s="166"/>
      <c r="W442" s="167">
        <f>IF(BetTable[Sport]="","",BetTable[Stake]+BetTable[S2]+BetTable[S3])</f>
        <v>17</v>
      </c>
      <c r="X442" s="164">
        <f>IF(BetTable[Odds]="","",(BetTable[WBA1-Commission])-BetTable[TS])</f>
        <v>17.509999999999998</v>
      </c>
      <c r="Y442" s="168">
        <f>IF(BetTable[Outcome]="","",BetTable[WBA1]+BetTable[WBA2]+BetTable[WBA3]-BetTable[TS])</f>
        <v>17.509999999999998</v>
      </c>
      <c r="Z442" s="164">
        <f>(((BetTable[Odds]-1)*BetTable[Stake])*(1-(BetTable[Comm %]))+BetTable[Stake])</f>
        <v>34.51</v>
      </c>
      <c r="AA442" s="164">
        <f>(((BetTable[O2]-1)*BetTable[S2])*(1-(BetTable[C% 2]))+BetTable[S2])</f>
        <v>0</v>
      </c>
      <c r="AB442" s="164">
        <f>(((BetTable[O3]-1)*BetTable[S3])*(1-(BetTable[C% 3]))+BetTable[S3])</f>
        <v>0</v>
      </c>
      <c r="AC442" s="165">
        <f>IFERROR(IF(BetTable[Sport]="","",BetTable[R1]/BetTable[TS]),"")</f>
        <v>1.0299999999999998</v>
      </c>
      <c r="AD442" s="165" t="str">
        <f>IF(BetTable[O2]="","",#REF!/BetTable[TS])</f>
        <v/>
      </c>
      <c r="AE442" s="165" t="str">
        <f>IFERROR(IF(BetTable[Sport]="","",#REF!/BetTable[TS]),"")</f>
        <v/>
      </c>
      <c r="AF442" s="164">
        <f>IF(BetTable[Outcome]="Win",BetTable[WBA1-Commission],IF(BetTable[Outcome]="Win Half Stake",(BetTable[Stake]/2)+BetTable[WBA1-Commission]/2,IF(BetTable[Outcome]="Lose Half Stake",BetTable[Stake]/2,IF(BetTable[Outcome]="Lose",0,IF(BetTable[Outcome]="Void",BetTable[Stake],)))))</f>
        <v>34.51</v>
      </c>
      <c r="AG442" s="164">
        <f>IF(BetTable[Outcome2]="Win",BetTable[WBA2-Commission],IF(BetTable[Outcome2]="Win Half Stake",(BetTable[S2]/2)+BetTable[WBA2-Commission]/2,IF(BetTable[Outcome2]="Lose Half Stake",BetTable[S2]/2,IF(BetTable[Outcome2]="Lose",0,IF(BetTable[Outcome2]="Void",BetTable[S2],)))))</f>
        <v>0</v>
      </c>
      <c r="AH442" s="164">
        <f>IF(BetTable[Outcome3]="Win",BetTable[WBA3-Commission],IF(BetTable[Outcome3]="Win Half Stake",(BetTable[S3]/2)+BetTable[WBA3-Commission]/2,IF(BetTable[Outcome3]="Lose Half Stake",BetTable[S3]/2,IF(BetTable[Outcome3]="Lose",0,IF(BetTable[Outcome3]="Void",BetTable[S3],)))))</f>
        <v>0</v>
      </c>
      <c r="AI442" s="168">
        <f>IF(BetTable[Outcome]="",AI441,BetTable[Result]+AI441)</f>
        <v>850.18425000000036</v>
      </c>
      <c r="AJ442" s="160"/>
    </row>
    <row r="443" spans="1:36" x14ac:dyDescent="0.2">
      <c r="A443" s="159" t="s">
        <v>1202</v>
      </c>
      <c r="B443" s="160" t="s">
        <v>200</v>
      </c>
      <c r="C443" s="161" t="s">
        <v>234</v>
      </c>
      <c r="D443" s="161"/>
      <c r="E443" s="161"/>
      <c r="F443" s="162"/>
      <c r="G443" s="162"/>
      <c r="H443" s="162"/>
      <c r="I443" s="160" t="s">
        <v>1335</v>
      </c>
      <c r="J443" s="163">
        <v>1.79</v>
      </c>
      <c r="K443" s="163"/>
      <c r="L443" s="163"/>
      <c r="M443" s="164">
        <v>17</v>
      </c>
      <c r="N443" s="164"/>
      <c r="O443" s="164"/>
      <c r="P443" s="159" t="s">
        <v>508</v>
      </c>
      <c r="Q443" s="159" t="s">
        <v>461</v>
      </c>
      <c r="R443" s="159" t="s">
        <v>1336</v>
      </c>
      <c r="S443" s="165">
        <v>1.0887225808063601E-2</v>
      </c>
      <c r="T443" s="166" t="s">
        <v>382</v>
      </c>
      <c r="U443" s="166"/>
      <c r="V443" s="166"/>
      <c r="W443" s="167">
        <f>IF(BetTable[Sport]="","",BetTable[Stake]+BetTable[S2]+BetTable[S3])</f>
        <v>17</v>
      </c>
      <c r="X443" s="164">
        <f>IF(BetTable[Odds]="","",(BetTable[WBA1-Commission])-BetTable[TS])</f>
        <v>13.43</v>
      </c>
      <c r="Y443" s="168">
        <f>IF(BetTable[Outcome]="","",BetTable[WBA1]+BetTable[WBA2]+BetTable[WBA3]-BetTable[TS])</f>
        <v>-17</v>
      </c>
      <c r="Z443" s="164">
        <f>(((BetTable[Odds]-1)*BetTable[Stake])*(1-(BetTable[Comm %]))+BetTable[Stake])</f>
        <v>30.43</v>
      </c>
      <c r="AA443" s="164">
        <f>(((BetTable[O2]-1)*BetTable[S2])*(1-(BetTable[C% 2]))+BetTable[S2])</f>
        <v>0</v>
      </c>
      <c r="AB443" s="164">
        <f>(((BetTable[O3]-1)*BetTable[S3])*(1-(BetTable[C% 3]))+BetTable[S3])</f>
        <v>0</v>
      </c>
      <c r="AC443" s="165">
        <f>IFERROR(IF(BetTable[Sport]="","",BetTable[R1]/BetTable[TS]),"")</f>
        <v>0.79</v>
      </c>
      <c r="AD443" s="165" t="str">
        <f>IF(BetTable[O2]="","",#REF!/BetTable[TS])</f>
        <v/>
      </c>
      <c r="AE443" s="165" t="str">
        <f>IFERROR(IF(BetTable[Sport]="","",#REF!/BetTable[TS]),"")</f>
        <v/>
      </c>
      <c r="AF443" s="164">
        <f>IF(BetTable[Outcome]="Win",BetTable[WBA1-Commission],IF(BetTable[Outcome]="Win Half Stake",(BetTable[Stake]/2)+BetTable[WBA1-Commission]/2,IF(BetTable[Outcome]="Lose Half Stake",BetTable[Stake]/2,IF(BetTable[Outcome]="Lose",0,IF(BetTable[Outcome]="Void",BetTable[Stake],)))))</f>
        <v>0</v>
      </c>
      <c r="AG443" s="164">
        <f>IF(BetTable[Outcome2]="Win",BetTable[WBA2-Commission],IF(BetTable[Outcome2]="Win Half Stake",(BetTable[S2]/2)+BetTable[WBA2-Commission]/2,IF(BetTable[Outcome2]="Lose Half Stake",BetTable[S2]/2,IF(BetTable[Outcome2]="Lose",0,IF(BetTable[Outcome2]="Void",BetTable[S2],)))))</f>
        <v>0</v>
      </c>
      <c r="AH443" s="164">
        <f>IF(BetTable[Outcome3]="Win",BetTable[WBA3-Commission],IF(BetTable[Outcome3]="Win Half Stake",(BetTable[S3]/2)+BetTable[WBA3-Commission]/2,IF(BetTable[Outcome3]="Lose Half Stake",BetTable[S3]/2,IF(BetTable[Outcome3]="Lose",0,IF(BetTable[Outcome3]="Void",BetTable[S3],)))))</f>
        <v>0</v>
      </c>
      <c r="AI443" s="168">
        <f>IF(BetTable[Outcome]="",AI442,BetTable[Result]+AI442)</f>
        <v>833.18425000000036</v>
      </c>
      <c r="AJ443" s="160"/>
    </row>
    <row r="444" spans="1:36" x14ac:dyDescent="0.2">
      <c r="A444" s="159" t="s">
        <v>1202</v>
      </c>
      <c r="B444" s="160" t="s">
        <v>9</v>
      </c>
      <c r="C444" s="161" t="s">
        <v>234</v>
      </c>
      <c r="D444" s="161"/>
      <c r="E444" s="161"/>
      <c r="F444" s="162"/>
      <c r="G444" s="162"/>
      <c r="H444" s="162"/>
      <c r="I444" s="160" t="s">
        <v>1337</v>
      </c>
      <c r="J444" s="163">
        <v>2.13</v>
      </c>
      <c r="K444" s="163"/>
      <c r="L444" s="163"/>
      <c r="M444" s="164">
        <v>29</v>
      </c>
      <c r="N444" s="164"/>
      <c r="O444" s="164"/>
      <c r="P444" s="159" t="s">
        <v>428</v>
      </c>
      <c r="Q444" s="159" t="s">
        <v>1101</v>
      </c>
      <c r="R444" s="159" t="s">
        <v>1338</v>
      </c>
      <c r="S444" s="165">
        <v>2.72289960088445E-2</v>
      </c>
      <c r="T444" s="166" t="s">
        <v>372</v>
      </c>
      <c r="U444" s="166"/>
      <c r="V444" s="166"/>
      <c r="W444" s="167">
        <f>IF(BetTable[Sport]="","",BetTable[Stake]+BetTable[S2]+BetTable[S3])</f>
        <v>29</v>
      </c>
      <c r="X444" s="164">
        <f>IF(BetTable[Odds]="","",(BetTable[WBA1-Commission])-BetTable[TS])</f>
        <v>32.769999999999996</v>
      </c>
      <c r="Y444" s="168">
        <f>IF(BetTable[Outcome]="","",BetTable[WBA1]+BetTable[WBA2]+BetTable[WBA3]-BetTable[TS])</f>
        <v>32.769999999999996</v>
      </c>
      <c r="Z444" s="164">
        <f>(((BetTable[Odds]-1)*BetTable[Stake])*(1-(BetTable[Comm %]))+BetTable[Stake])</f>
        <v>61.769999999999996</v>
      </c>
      <c r="AA444" s="164">
        <f>(((BetTable[O2]-1)*BetTable[S2])*(1-(BetTable[C% 2]))+BetTable[S2])</f>
        <v>0</v>
      </c>
      <c r="AB444" s="164">
        <f>(((BetTable[O3]-1)*BetTable[S3])*(1-(BetTable[C% 3]))+BetTable[S3])</f>
        <v>0</v>
      </c>
      <c r="AC444" s="165">
        <f>IFERROR(IF(BetTable[Sport]="","",BetTable[R1]/BetTable[TS]),"")</f>
        <v>1.1299999999999999</v>
      </c>
      <c r="AD444" s="165" t="str">
        <f>IF(BetTable[O2]="","",#REF!/BetTable[TS])</f>
        <v/>
      </c>
      <c r="AE444" s="165" t="str">
        <f>IFERROR(IF(BetTable[Sport]="","",#REF!/BetTable[TS]),"")</f>
        <v/>
      </c>
      <c r="AF444" s="164">
        <f>IF(BetTable[Outcome]="Win",BetTable[WBA1-Commission],IF(BetTable[Outcome]="Win Half Stake",(BetTable[Stake]/2)+BetTable[WBA1-Commission]/2,IF(BetTable[Outcome]="Lose Half Stake",BetTable[Stake]/2,IF(BetTable[Outcome]="Lose",0,IF(BetTable[Outcome]="Void",BetTable[Stake],)))))</f>
        <v>61.769999999999996</v>
      </c>
      <c r="AG444" s="164">
        <f>IF(BetTable[Outcome2]="Win",BetTable[WBA2-Commission],IF(BetTable[Outcome2]="Win Half Stake",(BetTable[S2]/2)+BetTable[WBA2-Commission]/2,IF(BetTable[Outcome2]="Lose Half Stake",BetTable[S2]/2,IF(BetTable[Outcome2]="Lose",0,IF(BetTable[Outcome2]="Void",BetTable[S2],)))))</f>
        <v>0</v>
      </c>
      <c r="AH444" s="164">
        <f>IF(BetTable[Outcome3]="Win",BetTable[WBA3-Commission],IF(BetTable[Outcome3]="Win Half Stake",(BetTable[S3]/2)+BetTable[WBA3-Commission]/2,IF(BetTable[Outcome3]="Lose Half Stake",BetTable[S3]/2,IF(BetTable[Outcome3]="Lose",0,IF(BetTable[Outcome3]="Void",BetTable[S3],)))))</f>
        <v>0</v>
      </c>
      <c r="AI444" s="168">
        <f>IF(BetTable[Outcome]="",AI443,BetTable[Result]+AI443)</f>
        <v>865.95425000000034</v>
      </c>
      <c r="AJ444" s="160"/>
    </row>
    <row r="445" spans="1:36" x14ac:dyDescent="0.2">
      <c r="A445" s="159" t="s">
        <v>1202</v>
      </c>
      <c r="B445" s="160" t="s">
        <v>200</v>
      </c>
      <c r="C445" s="161" t="s">
        <v>234</v>
      </c>
      <c r="D445" s="161"/>
      <c r="E445" s="161"/>
      <c r="F445" s="162"/>
      <c r="G445" s="162"/>
      <c r="H445" s="162"/>
      <c r="I445" s="160" t="s">
        <v>1339</v>
      </c>
      <c r="J445" s="163">
        <v>1.71</v>
      </c>
      <c r="K445" s="163"/>
      <c r="L445" s="163"/>
      <c r="M445" s="164">
        <v>26</v>
      </c>
      <c r="N445" s="164"/>
      <c r="O445" s="164"/>
      <c r="P445" s="159" t="s">
        <v>368</v>
      </c>
      <c r="Q445" s="159" t="s">
        <v>632</v>
      </c>
      <c r="R445" s="159" t="s">
        <v>1340</v>
      </c>
      <c r="S445" s="165">
        <v>1.56601745288984E-2</v>
      </c>
      <c r="T445" s="166" t="s">
        <v>372</v>
      </c>
      <c r="U445" s="166"/>
      <c r="V445" s="166"/>
      <c r="W445" s="167">
        <f>IF(BetTable[Sport]="","",BetTable[Stake]+BetTable[S2]+BetTable[S3])</f>
        <v>26</v>
      </c>
      <c r="X445" s="164">
        <f>IF(BetTable[Odds]="","",(BetTable[WBA1-Commission])-BetTable[TS])</f>
        <v>18.46</v>
      </c>
      <c r="Y445" s="168">
        <f>IF(BetTable[Outcome]="","",BetTable[WBA1]+BetTable[WBA2]+BetTable[WBA3]-BetTable[TS])</f>
        <v>18.46</v>
      </c>
      <c r="Z445" s="164">
        <f>(((BetTable[Odds]-1)*BetTable[Stake])*(1-(BetTable[Comm %]))+BetTable[Stake])</f>
        <v>44.46</v>
      </c>
      <c r="AA445" s="164">
        <f>(((BetTable[O2]-1)*BetTable[S2])*(1-(BetTable[C% 2]))+BetTable[S2])</f>
        <v>0</v>
      </c>
      <c r="AB445" s="164">
        <f>(((BetTable[O3]-1)*BetTable[S3])*(1-(BetTable[C% 3]))+BetTable[S3])</f>
        <v>0</v>
      </c>
      <c r="AC445" s="165">
        <f>IFERROR(IF(BetTable[Sport]="","",BetTable[R1]/BetTable[TS]),"")</f>
        <v>0.71000000000000008</v>
      </c>
      <c r="AD445" s="165" t="str">
        <f>IF(BetTable[O2]="","",#REF!/BetTable[TS])</f>
        <v/>
      </c>
      <c r="AE445" s="165" t="str">
        <f>IFERROR(IF(BetTable[Sport]="","",#REF!/BetTable[TS]),"")</f>
        <v/>
      </c>
      <c r="AF445" s="164">
        <f>IF(BetTable[Outcome]="Win",BetTable[WBA1-Commission],IF(BetTable[Outcome]="Win Half Stake",(BetTable[Stake]/2)+BetTable[WBA1-Commission]/2,IF(BetTable[Outcome]="Lose Half Stake",BetTable[Stake]/2,IF(BetTable[Outcome]="Lose",0,IF(BetTable[Outcome]="Void",BetTable[Stake],)))))</f>
        <v>44.46</v>
      </c>
      <c r="AG445" s="164">
        <f>IF(BetTable[Outcome2]="Win",BetTable[WBA2-Commission],IF(BetTable[Outcome2]="Win Half Stake",(BetTable[S2]/2)+BetTable[WBA2-Commission]/2,IF(BetTable[Outcome2]="Lose Half Stake",BetTable[S2]/2,IF(BetTable[Outcome2]="Lose",0,IF(BetTable[Outcome2]="Void",BetTable[S2],)))))</f>
        <v>0</v>
      </c>
      <c r="AH445" s="164">
        <f>IF(BetTable[Outcome3]="Win",BetTable[WBA3-Commission],IF(BetTable[Outcome3]="Win Half Stake",(BetTable[S3]/2)+BetTable[WBA3-Commission]/2,IF(BetTable[Outcome3]="Lose Half Stake",BetTable[S3]/2,IF(BetTable[Outcome3]="Lose",0,IF(BetTable[Outcome3]="Void",BetTable[S3],)))))</f>
        <v>0</v>
      </c>
      <c r="AI445" s="168">
        <f>IF(BetTable[Outcome]="",AI444,BetTable[Result]+AI444)</f>
        <v>884.41425000000038</v>
      </c>
      <c r="AJ445" s="160"/>
    </row>
    <row r="446" spans="1:36" x14ac:dyDescent="0.2">
      <c r="A446" s="159" t="s">
        <v>1202</v>
      </c>
      <c r="B446" s="160" t="s">
        <v>8</v>
      </c>
      <c r="C446" s="161" t="s">
        <v>91</v>
      </c>
      <c r="D446" s="161"/>
      <c r="E446" s="161"/>
      <c r="F446" s="162"/>
      <c r="G446" s="162"/>
      <c r="H446" s="162"/>
      <c r="I446" s="160" t="s">
        <v>1341</v>
      </c>
      <c r="J446" s="163">
        <v>2.16</v>
      </c>
      <c r="K446" s="163"/>
      <c r="L446" s="163"/>
      <c r="M446" s="164">
        <v>40</v>
      </c>
      <c r="N446" s="164"/>
      <c r="O446" s="164"/>
      <c r="P446" s="159" t="s">
        <v>435</v>
      </c>
      <c r="Q446" s="159" t="s">
        <v>540</v>
      </c>
      <c r="R446" s="159" t="s">
        <v>1342</v>
      </c>
      <c r="S446" s="165">
        <v>3.8499046176329703E-2</v>
      </c>
      <c r="T446" s="166" t="s">
        <v>382</v>
      </c>
      <c r="U446" s="166"/>
      <c r="V446" s="166"/>
      <c r="W446" s="167">
        <f>IF(BetTable[Sport]="","",BetTable[Stake]+BetTable[S2]+BetTable[S3])</f>
        <v>40</v>
      </c>
      <c r="X446" s="164">
        <f>IF(BetTable[Odds]="","",(BetTable[WBA1-Commission])-BetTable[TS])</f>
        <v>46.400000000000006</v>
      </c>
      <c r="Y446" s="168">
        <f>IF(BetTable[Outcome]="","",BetTable[WBA1]+BetTable[WBA2]+BetTable[WBA3]-BetTable[TS])</f>
        <v>-40</v>
      </c>
      <c r="Z446" s="164">
        <f>(((BetTable[Odds]-1)*BetTable[Stake])*(1-(BetTable[Comm %]))+BetTable[Stake])</f>
        <v>86.4</v>
      </c>
      <c r="AA446" s="164">
        <f>(((BetTable[O2]-1)*BetTable[S2])*(1-(BetTable[C% 2]))+BetTable[S2])</f>
        <v>0</v>
      </c>
      <c r="AB446" s="164">
        <f>(((BetTable[O3]-1)*BetTable[S3])*(1-(BetTable[C% 3]))+BetTable[S3])</f>
        <v>0</v>
      </c>
      <c r="AC446" s="165">
        <f>IFERROR(IF(BetTable[Sport]="","",BetTable[R1]/BetTable[TS]),"")</f>
        <v>1.1600000000000001</v>
      </c>
      <c r="AD446" s="165" t="str">
        <f>IF(BetTable[O2]="","",#REF!/BetTable[TS])</f>
        <v/>
      </c>
      <c r="AE446" s="165" t="str">
        <f>IFERROR(IF(BetTable[Sport]="","",#REF!/BetTable[TS]),"")</f>
        <v/>
      </c>
      <c r="AF446" s="164">
        <f>IF(BetTable[Outcome]="Win",BetTable[WBA1-Commission],IF(BetTable[Outcome]="Win Half Stake",(BetTable[Stake]/2)+BetTable[WBA1-Commission]/2,IF(BetTable[Outcome]="Lose Half Stake",BetTable[Stake]/2,IF(BetTable[Outcome]="Lose",0,IF(BetTable[Outcome]="Void",BetTable[Stake],)))))</f>
        <v>0</v>
      </c>
      <c r="AG446" s="164">
        <f>IF(BetTable[Outcome2]="Win",BetTable[WBA2-Commission],IF(BetTable[Outcome2]="Win Half Stake",(BetTable[S2]/2)+BetTable[WBA2-Commission]/2,IF(BetTable[Outcome2]="Lose Half Stake",BetTable[S2]/2,IF(BetTable[Outcome2]="Lose",0,IF(BetTable[Outcome2]="Void",BetTable[S2],)))))</f>
        <v>0</v>
      </c>
      <c r="AH446" s="164">
        <f>IF(BetTable[Outcome3]="Win",BetTable[WBA3-Commission],IF(BetTable[Outcome3]="Win Half Stake",(BetTable[S3]/2)+BetTable[WBA3-Commission]/2,IF(BetTable[Outcome3]="Lose Half Stake",BetTable[S3]/2,IF(BetTable[Outcome3]="Lose",0,IF(BetTable[Outcome3]="Void",BetTable[S3],)))))</f>
        <v>0</v>
      </c>
      <c r="AI446" s="168">
        <f>IF(BetTable[Outcome]="",AI445,BetTable[Result]+AI445)</f>
        <v>844.41425000000038</v>
      </c>
      <c r="AJ446" s="160"/>
    </row>
    <row r="447" spans="1:36" x14ac:dyDescent="0.2">
      <c r="A447" s="159" t="s">
        <v>1202</v>
      </c>
      <c r="B447" s="160" t="s">
        <v>200</v>
      </c>
      <c r="C447" s="161" t="s">
        <v>234</v>
      </c>
      <c r="D447" s="161"/>
      <c r="E447" s="161"/>
      <c r="F447" s="162"/>
      <c r="G447" s="162"/>
      <c r="H447" s="162"/>
      <c r="I447" s="160" t="s">
        <v>1247</v>
      </c>
      <c r="J447" s="163">
        <v>2.12</v>
      </c>
      <c r="K447" s="163"/>
      <c r="L447" s="163"/>
      <c r="M447" s="164">
        <v>16</v>
      </c>
      <c r="N447" s="164"/>
      <c r="O447" s="164"/>
      <c r="P447" s="159" t="s">
        <v>668</v>
      </c>
      <c r="Q447" s="159" t="s">
        <v>488</v>
      </c>
      <c r="R447" s="159" t="s">
        <v>1343</v>
      </c>
      <c r="S447" s="165">
        <v>1.51921939005968E-2</v>
      </c>
      <c r="T447" s="166" t="s">
        <v>383</v>
      </c>
      <c r="U447" s="166"/>
      <c r="V447" s="166"/>
      <c r="W447" s="167">
        <f>IF(BetTable[Sport]="","",BetTable[Stake]+BetTable[S2]+BetTable[S3])</f>
        <v>16</v>
      </c>
      <c r="X447" s="164">
        <f>IF(BetTable[Odds]="","",(BetTable[WBA1-Commission])-BetTable[TS])</f>
        <v>17.920000000000002</v>
      </c>
      <c r="Y447" s="168">
        <f>IF(BetTable[Outcome]="","",BetTable[WBA1]+BetTable[WBA2]+BetTable[WBA3]-BetTable[TS])</f>
        <v>0</v>
      </c>
      <c r="Z447" s="164">
        <f>(((BetTable[Odds]-1)*BetTable[Stake])*(1-(BetTable[Comm %]))+BetTable[Stake])</f>
        <v>33.92</v>
      </c>
      <c r="AA447" s="164">
        <f>(((BetTable[O2]-1)*BetTable[S2])*(1-(BetTable[C% 2]))+BetTable[S2])</f>
        <v>0</v>
      </c>
      <c r="AB447" s="164">
        <f>(((BetTable[O3]-1)*BetTable[S3])*(1-(BetTable[C% 3]))+BetTable[S3])</f>
        <v>0</v>
      </c>
      <c r="AC447" s="165">
        <f>IFERROR(IF(BetTable[Sport]="","",BetTable[R1]/BetTable[TS]),"")</f>
        <v>1.1200000000000001</v>
      </c>
      <c r="AD447" s="165" t="str">
        <f>IF(BetTable[O2]="","",#REF!/BetTable[TS])</f>
        <v/>
      </c>
      <c r="AE447" s="165" t="str">
        <f>IFERROR(IF(BetTable[Sport]="","",#REF!/BetTable[TS]),"")</f>
        <v/>
      </c>
      <c r="AF447" s="164">
        <f>IF(BetTable[Outcome]="Win",BetTable[WBA1-Commission],IF(BetTable[Outcome]="Win Half Stake",(BetTable[Stake]/2)+BetTable[WBA1-Commission]/2,IF(BetTable[Outcome]="Lose Half Stake",BetTable[Stake]/2,IF(BetTable[Outcome]="Lose",0,IF(BetTable[Outcome]="Void",BetTable[Stake],)))))</f>
        <v>16</v>
      </c>
      <c r="AG447" s="164">
        <f>IF(BetTable[Outcome2]="Win",BetTable[WBA2-Commission],IF(BetTable[Outcome2]="Win Half Stake",(BetTable[S2]/2)+BetTable[WBA2-Commission]/2,IF(BetTable[Outcome2]="Lose Half Stake",BetTable[S2]/2,IF(BetTable[Outcome2]="Lose",0,IF(BetTable[Outcome2]="Void",BetTable[S2],)))))</f>
        <v>0</v>
      </c>
      <c r="AH447" s="164">
        <f>IF(BetTable[Outcome3]="Win",BetTable[WBA3-Commission],IF(BetTable[Outcome3]="Win Half Stake",(BetTable[S3]/2)+BetTable[WBA3-Commission]/2,IF(BetTable[Outcome3]="Lose Half Stake",BetTable[S3]/2,IF(BetTable[Outcome3]="Lose",0,IF(BetTable[Outcome3]="Void",BetTable[S3],)))))</f>
        <v>0</v>
      </c>
      <c r="AI447" s="168">
        <f>IF(BetTable[Outcome]="",AI446,BetTable[Result]+AI446)</f>
        <v>844.41425000000038</v>
      </c>
      <c r="AJ447" s="160"/>
    </row>
    <row r="448" spans="1:36" x14ac:dyDescent="0.2">
      <c r="A448" s="159" t="s">
        <v>1202</v>
      </c>
      <c r="B448" s="160" t="s">
        <v>200</v>
      </c>
      <c r="C448" s="161" t="s">
        <v>234</v>
      </c>
      <c r="D448" s="161"/>
      <c r="E448" s="161"/>
      <c r="F448" s="162"/>
      <c r="G448" s="162"/>
      <c r="H448" s="162"/>
      <c r="I448" s="160" t="s">
        <v>1344</v>
      </c>
      <c r="J448" s="163">
        <v>1.87</v>
      </c>
      <c r="K448" s="163"/>
      <c r="L448" s="163"/>
      <c r="M448" s="164">
        <v>19</v>
      </c>
      <c r="N448" s="164"/>
      <c r="O448" s="164"/>
      <c r="P448" s="159" t="s">
        <v>1345</v>
      </c>
      <c r="Q448" s="159" t="s">
        <v>491</v>
      </c>
      <c r="R448" s="159" t="s">
        <v>1346</v>
      </c>
      <c r="S448" s="165">
        <v>1.37945548061935E-2</v>
      </c>
      <c r="T448" s="166" t="s">
        <v>372</v>
      </c>
      <c r="U448" s="166"/>
      <c r="V448" s="166"/>
      <c r="W448" s="167">
        <f>IF(BetTable[Sport]="","",BetTable[Stake]+BetTable[S2]+BetTable[S3])</f>
        <v>19</v>
      </c>
      <c r="X448" s="164">
        <f>IF(BetTable[Odds]="","",(BetTable[WBA1-Commission])-BetTable[TS])</f>
        <v>16.53</v>
      </c>
      <c r="Y448" s="168">
        <f>IF(BetTable[Outcome]="","",BetTable[WBA1]+BetTable[WBA2]+BetTable[WBA3]-BetTable[TS])</f>
        <v>16.53</v>
      </c>
      <c r="Z448" s="164">
        <f>(((BetTable[Odds]-1)*BetTable[Stake])*(1-(BetTable[Comm %]))+BetTable[Stake])</f>
        <v>35.53</v>
      </c>
      <c r="AA448" s="164">
        <f>(((BetTable[O2]-1)*BetTable[S2])*(1-(BetTable[C% 2]))+BetTable[S2])</f>
        <v>0</v>
      </c>
      <c r="AB448" s="164">
        <f>(((BetTable[O3]-1)*BetTable[S3])*(1-(BetTable[C% 3]))+BetTable[S3])</f>
        <v>0</v>
      </c>
      <c r="AC448" s="165">
        <f>IFERROR(IF(BetTable[Sport]="","",BetTable[R1]/BetTable[TS]),"")</f>
        <v>0.87000000000000011</v>
      </c>
      <c r="AD448" s="165" t="str">
        <f>IF(BetTable[O2]="","",#REF!/BetTable[TS])</f>
        <v/>
      </c>
      <c r="AE448" s="165" t="str">
        <f>IFERROR(IF(BetTable[Sport]="","",#REF!/BetTable[TS]),"")</f>
        <v/>
      </c>
      <c r="AF448" s="164">
        <f>IF(BetTable[Outcome]="Win",BetTable[WBA1-Commission],IF(BetTable[Outcome]="Win Half Stake",(BetTable[Stake]/2)+BetTable[WBA1-Commission]/2,IF(BetTable[Outcome]="Lose Half Stake",BetTable[Stake]/2,IF(BetTable[Outcome]="Lose",0,IF(BetTable[Outcome]="Void",BetTable[Stake],)))))</f>
        <v>35.53</v>
      </c>
      <c r="AG448" s="164">
        <f>IF(BetTable[Outcome2]="Win",BetTable[WBA2-Commission],IF(BetTable[Outcome2]="Win Half Stake",(BetTable[S2]/2)+BetTable[WBA2-Commission]/2,IF(BetTable[Outcome2]="Lose Half Stake",BetTable[S2]/2,IF(BetTable[Outcome2]="Lose",0,IF(BetTable[Outcome2]="Void",BetTable[S2],)))))</f>
        <v>0</v>
      </c>
      <c r="AH448" s="164">
        <f>IF(BetTable[Outcome3]="Win",BetTable[WBA3-Commission],IF(BetTable[Outcome3]="Win Half Stake",(BetTable[S3]/2)+BetTable[WBA3-Commission]/2,IF(BetTable[Outcome3]="Lose Half Stake",BetTable[S3]/2,IF(BetTable[Outcome3]="Lose",0,IF(BetTable[Outcome3]="Void",BetTable[S3],)))))</f>
        <v>0</v>
      </c>
      <c r="AI448" s="168">
        <f>IF(BetTable[Outcome]="",AI447,BetTable[Result]+AI447)</f>
        <v>860.94425000000035</v>
      </c>
      <c r="AJ448" s="160"/>
    </row>
    <row r="449" spans="1:36" x14ac:dyDescent="0.2">
      <c r="A449" s="201" t="s">
        <v>1202</v>
      </c>
      <c r="B449" s="202" t="s">
        <v>7</v>
      </c>
      <c r="C449" s="203" t="s">
        <v>91</v>
      </c>
      <c r="D449" s="203"/>
      <c r="E449" s="203"/>
      <c r="F449" s="204"/>
      <c r="G449" s="204"/>
      <c r="H449" s="204"/>
      <c r="I449" s="202" t="s">
        <v>1347</v>
      </c>
      <c r="J449" s="205">
        <v>2.2599999999999998</v>
      </c>
      <c r="K449" s="205"/>
      <c r="L449" s="205"/>
      <c r="M449" s="206">
        <v>31</v>
      </c>
      <c r="N449" s="206"/>
      <c r="O449" s="206"/>
      <c r="P449" s="201" t="s">
        <v>1348</v>
      </c>
      <c r="Q449" s="201" t="s">
        <v>503</v>
      </c>
      <c r="R449" s="201" t="s">
        <v>1349</v>
      </c>
      <c r="S449" s="207">
        <v>3.2447163806160202E-2</v>
      </c>
      <c r="T449" s="208" t="s">
        <v>372</v>
      </c>
      <c r="U449" s="208"/>
      <c r="V449" s="208"/>
      <c r="W449" s="209">
        <f>IF(BetTable[Sport]="","",BetTable[Stake]+BetTable[S2]+BetTable[S3])</f>
        <v>31</v>
      </c>
      <c r="X449" s="206">
        <f>IF(BetTable[Odds]="","",(BetTable[WBA1-Commission])-BetTable[TS])</f>
        <v>39.06</v>
      </c>
      <c r="Y449" s="210">
        <f>IF(BetTable[Outcome]="","",BetTable[WBA1]+BetTable[WBA2]+BetTable[WBA3]-BetTable[TS])</f>
        <v>39.06</v>
      </c>
      <c r="Z449" s="206">
        <f>(((BetTable[Odds]-1)*BetTable[Stake])*(1-(BetTable[Comm %]))+BetTable[Stake])</f>
        <v>70.06</v>
      </c>
      <c r="AA449" s="206">
        <f>(((BetTable[O2]-1)*BetTable[S2])*(1-(BetTable[C% 2]))+BetTable[S2])</f>
        <v>0</v>
      </c>
      <c r="AB449" s="206">
        <f>(((BetTable[O3]-1)*BetTable[S3])*(1-(BetTable[C% 3]))+BetTable[S3])</f>
        <v>0</v>
      </c>
      <c r="AC449" s="207">
        <f>IFERROR(IF(BetTable[Sport]="","",BetTable[R1]/BetTable[TS]),"")</f>
        <v>1.26</v>
      </c>
      <c r="AD449" s="207" t="str">
        <f>IF(BetTable[O2]="","",#REF!/BetTable[TS])</f>
        <v/>
      </c>
      <c r="AE449" s="207" t="str">
        <f>IFERROR(IF(BetTable[Sport]="","",#REF!/BetTable[TS]),"")</f>
        <v/>
      </c>
      <c r="AF449" s="206">
        <f>IF(BetTable[Outcome]="Win",BetTable[WBA1-Commission],IF(BetTable[Outcome]="Win Half Stake",(BetTable[Stake]/2)+BetTable[WBA1-Commission]/2,IF(BetTable[Outcome]="Lose Half Stake",BetTable[Stake]/2,IF(BetTable[Outcome]="Lose",0,IF(BetTable[Outcome]="Void",BetTable[Stake],)))))</f>
        <v>70.06</v>
      </c>
      <c r="AG449" s="206">
        <f>IF(BetTable[Outcome2]="Win",BetTable[WBA2-Commission],IF(BetTable[Outcome2]="Win Half Stake",(BetTable[S2]/2)+BetTable[WBA2-Commission]/2,IF(BetTable[Outcome2]="Lose Half Stake",BetTable[S2]/2,IF(BetTable[Outcome2]="Lose",0,IF(BetTable[Outcome2]="Void",BetTable[S2],)))))</f>
        <v>0</v>
      </c>
      <c r="AH449" s="206">
        <f>IF(BetTable[Outcome3]="Win",BetTable[WBA3-Commission],IF(BetTable[Outcome3]="Win Half Stake",(BetTable[S3]/2)+BetTable[WBA3-Commission]/2,IF(BetTable[Outcome3]="Lose Half Stake",BetTable[S3]/2,IF(BetTable[Outcome3]="Lose",0,IF(BetTable[Outcome3]="Void",BetTable[S3],)))))</f>
        <v>0</v>
      </c>
      <c r="AI449" s="210">
        <f>IF(BetTable[Outcome]="",AI448,BetTable[Result]+AI448)</f>
        <v>900.00425000000041</v>
      </c>
      <c r="AJ449" s="202"/>
    </row>
    <row r="450" spans="1:36" x14ac:dyDescent="0.2">
      <c r="A450" s="201" t="s">
        <v>1202</v>
      </c>
      <c r="B450" s="202" t="s">
        <v>200</v>
      </c>
      <c r="C450" s="203" t="s">
        <v>91</v>
      </c>
      <c r="D450" s="203"/>
      <c r="E450" s="203"/>
      <c r="F450" s="204"/>
      <c r="G450" s="204"/>
      <c r="H450" s="204"/>
      <c r="I450" s="202" t="s">
        <v>1350</v>
      </c>
      <c r="J450" s="205">
        <v>1.7</v>
      </c>
      <c r="K450" s="205"/>
      <c r="L450" s="205"/>
      <c r="M450" s="206">
        <v>64</v>
      </c>
      <c r="N450" s="206"/>
      <c r="O450" s="206"/>
      <c r="P450" s="201" t="s">
        <v>351</v>
      </c>
      <c r="Q450" s="201" t="s">
        <v>659</v>
      </c>
      <c r="R450" s="201" t="s">
        <v>1351</v>
      </c>
      <c r="S450" s="207">
        <v>3.7455741593145297E-2</v>
      </c>
      <c r="T450" s="208" t="s">
        <v>372</v>
      </c>
      <c r="U450" s="208"/>
      <c r="V450" s="208"/>
      <c r="W450" s="209">
        <f>IF(BetTable[Sport]="","",BetTable[Stake]+BetTable[S2]+BetTable[S3])</f>
        <v>64</v>
      </c>
      <c r="X450" s="206">
        <f>IF(BetTable[Odds]="","",(BetTable[WBA1-Commission])-BetTable[TS])</f>
        <v>44.8</v>
      </c>
      <c r="Y450" s="210">
        <f>IF(BetTable[Outcome]="","",BetTable[WBA1]+BetTable[WBA2]+BetTable[WBA3]-BetTable[TS])</f>
        <v>44.8</v>
      </c>
      <c r="Z450" s="206">
        <f>(((BetTable[Odds]-1)*BetTable[Stake])*(1-(BetTable[Comm %]))+BetTable[Stake])</f>
        <v>108.8</v>
      </c>
      <c r="AA450" s="206">
        <f>(((BetTable[O2]-1)*BetTable[S2])*(1-(BetTable[C% 2]))+BetTable[S2])</f>
        <v>0</v>
      </c>
      <c r="AB450" s="206">
        <f>(((BetTable[O3]-1)*BetTable[S3])*(1-(BetTable[C% 3]))+BetTable[S3])</f>
        <v>0</v>
      </c>
      <c r="AC450" s="207">
        <f>IFERROR(IF(BetTable[Sport]="","",BetTable[R1]/BetTable[TS]),"")</f>
        <v>0.7</v>
      </c>
      <c r="AD450" s="207" t="str">
        <f>IF(BetTable[O2]="","",#REF!/BetTable[TS])</f>
        <v/>
      </c>
      <c r="AE450" s="207" t="str">
        <f>IFERROR(IF(BetTable[Sport]="","",#REF!/BetTable[TS]),"")</f>
        <v/>
      </c>
      <c r="AF450" s="206">
        <f>IF(BetTable[Outcome]="Win",BetTable[WBA1-Commission],IF(BetTable[Outcome]="Win Half Stake",(BetTable[Stake]/2)+BetTable[WBA1-Commission]/2,IF(BetTable[Outcome]="Lose Half Stake",BetTable[Stake]/2,IF(BetTable[Outcome]="Lose",0,IF(BetTable[Outcome]="Void",BetTable[Stake],)))))</f>
        <v>108.8</v>
      </c>
      <c r="AG450" s="206">
        <f>IF(BetTable[Outcome2]="Win",BetTable[WBA2-Commission],IF(BetTable[Outcome2]="Win Half Stake",(BetTable[S2]/2)+BetTable[WBA2-Commission]/2,IF(BetTable[Outcome2]="Lose Half Stake",BetTable[S2]/2,IF(BetTable[Outcome2]="Lose",0,IF(BetTable[Outcome2]="Void",BetTable[S2],)))))</f>
        <v>0</v>
      </c>
      <c r="AH450" s="206">
        <f>IF(BetTable[Outcome3]="Win",BetTable[WBA3-Commission],IF(BetTable[Outcome3]="Win Half Stake",(BetTable[S3]/2)+BetTable[WBA3-Commission]/2,IF(BetTable[Outcome3]="Lose Half Stake",BetTable[S3]/2,IF(BetTable[Outcome3]="Lose",0,IF(BetTable[Outcome3]="Void",BetTable[S3],)))))</f>
        <v>0</v>
      </c>
      <c r="AI450" s="210">
        <f>IF(BetTable[Outcome]="",AI449,BetTable[Result]+AI449)</f>
        <v>944.80425000000037</v>
      </c>
      <c r="AJ450" s="202"/>
    </row>
    <row r="451" spans="1:36" x14ac:dyDescent="0.2">
      <c r="A451" s="201" t="s">
        <v>1202</v>
      </c>
      <c r="B451" s="202" t="s">
        <v>201</v>
      </c>
      <c r="C451" s="203" t="s">
        <v>91</v>
      </c>
      <c r="D451" s="203"/>
      <c r="E451" s="203"/>
      <c r="F451" s="204"/>
      <c r="G451" s="204"/>
      <c r="H451" s="204"/>
      <c r="I451" s="202" t="s">
        <v>1352</v>
      </c>
      <c r="J451" s="205">
        <v>1.77</v>
      </c>
      <c r="K451" s="205"/>
      <c r="L451" s="205"/>
      <c r="M451" s="206">
        <v>33</v>
      </c>
      <c r="N451" s="206"/>
      <c r="O451" s="206"/>
      <c r="P451" s="201" t="s">
        <v>1353</v>
      </c>
      <c r="Q451" s="201" t="s">
        <v>530</v>
      </c>
      <c r="R451" s="201" t="s">
        <v>1354</v>
      </c>
      <c r="S451" s="207">
        <v>2.0909652287838199E-2</v>
      </c>
      <c r="T451" s="208" t="s">
        <v>382</v>
      </c>
      <c r="U451" s="208"/>
      <c r="V451" s="208"/>
      <c r="W451" s="209">
        <f>IF(BetTable[Sport]="","",BetTable[Stake]+BetTable[S2]+BetTable[S3])</f>
        <v>33</v>
      </c>
      <c r="X451" s="206">
        <f>IF(BetTable[Odds]="","",(BetTable[WBA1-Commission])-BetTable[TS])</f>
        <v>25.409999999999997</v>
      </c>
      <c r="Y451" s="210">
        <f>IF(BetTable[Outcome]="","",BetTable[WBA1]+BetTable[WBA2]+BetTable[WBA3]-BetTable[TS])</f>
        <v>-33</v>
      </c>
      <c r="Z451" s="206">
        <f>(((BetTable[Odds]-1)*BetTable[Stake])*(1-(BetTable[Comm %]))+BetTable[Stake])</f>
        <v>58.41</v>
      </c>
      <c r="AA451" s="206">
        <f>(((BetTable[O2]-1)*BetTable[S2])*(1-(BetTable[C% 2]))+BetTable[S2])</f>
        <v>0</v>
      </c>
      <c r="AB451" s="206">
        <f>(((BetTable[O3]-1)*BetTable[S3])*(1-(BetTable[C% 3]))+BetTable[S3])</f>
        <v>0</v>
      </c>
      <c r="AC451" s="207">
        <f>IFERROR(IF(BetTable[Sport]="","",BetTable[R1]/BetTable[TS]),"")</f>
        <v>0.76999999999999991</v>
      </c>
      <c r="AD451" s="207" t="str">
        <f>IF(BetTable[O2]="","",#REF!/BetTable[TS])</f>
        <v/>
      </c>
      <c r="AE451" s="207" t="str">
        <f>IFERROR(IF(BetTable[Sport]="","",#REF!/BetTable[TS]),"")</f>
        <v/>
      </c>
      <c r="AF451" s="206">
        <f>IF(BetTable[Outcome]="Win",BetTable[WBA1-Commission],IF(BetTable[Outcome]="Win Half Stake",(BetTable[Stake]/2)+BetTable[WBA1-Commission]/2,IF(BetTable[Outcome]="Lose Half Stake",BetTable[Stake]/2,IF(BetTable[Outcome]="Lose",0,IF(BetTable[Outcome]="Void",BetTable[Stake],)))))</f>
        <v>0</v>
      </c>
      <c r="AG451" s="206">
        <f>IF(BetTable[Outcome2]="Win",BetTable[WBA2-Commission],IF(BetTable[Outcome2]="Win Half Stake",(BetTable[S2]/2)+BetTable[WBA2-Commission]/2,IF(BetTable[Outcome2]="Lose Half Stake",BetTable[S2]/2,IF(BetTable[Outcome2]="Lose",0,IF(BetTable[Outcome2]="Void",BetTable[S2],)))))</f>
        <v>0</v>
      </c>
      <c r="AH451" s="206">
        <f>IF(BetTable[Outcome3]="Win",BetTable[WBA3-Commission],IF(BetTable[Outcome3]="Win Half Stake",(BetTable[S3]/2)+BetTable[WBA3-Commission]/2,IF(BetTable[Outcome3]="Lose Half Stake",BetTable[S3]/2,IF(BetTable[Outcome3]="Lose",0,IF(BetTable[Outcome3]="Void",BetTable[S3],)))))</f>
        <v>0</v>
      </c>
      <c r="AI451" s="210">
        <f>IF(BetTable[Outcome]="",AI450,BetTable[Result]+AI450)</f>
        <v>911.80425000000037</v>
      </c>
      <c r="AJ451" s="202"/>
    </row>
    <row r="452" spans="1:36" x14ac:dyDescent="0.2">
      <c r="A452" s="201" t="s">
        <v>1202</v>
      </c>
      <c r="B452" s="202" t="s">
        <v>7</v>
      </c>
      <c r="C452" s="203" t="s">
        <v>91</v>
      </c>
      <c r="D452" s="203"/>
      <c r="E452" s="203"/>
      <c r="F452" s="204"/>
      <c r="G452" s="204"/>
      <c r="H452" s="204"/>
      <c r="I452" s="202" t="s">
        <v>1290</v>
      </c>
      <c r="J452" s="205">
        <v>2</v>
      </c>
      <c r="K452" s="205"/>
      <c r="L452" s="205"/>
      <c r="M452" s="206">
        <v>18</v>
      </c>
      <c r="N452" s="206"/>
      <c r="O452" s="206"/>
      <c r="P452" s="201" t="s">
        <v>1268</v>
      </c>
      <c r="Q452" s="201" t="s">
        <v>1291</v>
      </c>
      <c r="R452" s="201" t="s">
        <v>1355</v>
      </c>
      <c r="S452" s="207">
        <v>1.50767647353323E-2</v>
      </c>
      <c r="T452" s="208" t="s">
        <v>382</v>
      </c>
      <c r="U452" s="208"/>
      <c r="V452" s="208"/>
      <c r="W452" s="209">
        <f>IF(BetTable[Sport]="","",BetTable[Stake]+BetTable[S2]+BetTable[S3])</f>
        <v>18</v>
      </c>
      <c r="X452" s="206">
        <f>IF(BetTable[Odds]="","",(BetTable[WBA1-Commission])-BetTable[TS])</f>
        <v>18</v>
      </c>
      <c r="Y452" s="210">
        <f>IF(BetTable[Outcome]="","",BetTable[WBA1]+BetTable[WBA2]+BetTable[WBA3]-BetTable[TS])</f>
        <v>-18</v>
      </c>
      <c r="Z452" s="206">
        <f>(((BetTable[Odds]-1)*BetTable[Stake])*(1-(BetTable[Comm %]))+BetTable[Stake])</f>
        <v>36</v>
      </c>
      <c r="AA452" s="206">
        <f>(((BetTable[O2]-1)*BetTable[S2])*(1-(BetTable[C% 2]))+BetTable[S2])</f>
        <v>0</v>
      </c>
      <c r="AB452" s="206">
        <f>(((BetTable[O3]-1)*BetTable[S3])*(1-(BetTable[C% 3]))+BetTable[S3])</f>
        <v>0</v>
      </c>
      <c r="AC452" s="207">
        <f>IFERROR(IF(BetTable[Sport]="","",BetTable[R1]/BetTable[TS]),"")</f>
        <v>1</v>
      </c>
      <c r="AD452" s="207" t="str">
        <f>IF(BetTable[O2]="","",#REF!/BetTable[TS])</f>
        <v/>
      </c>
      <c r="AE452" s="207" t="str">
        <f>IFERROR(IF(BetTable[Sport]="","",#REF!/BetTable[TS]),"")</f>
        <v/>
      </c>
      <c r="AF452" s="206">
        <f>IF(BetTable[Outcome]="Win",BetTable[WBA1-Commission],IF(BetTable[Outcome]="Win Half Stake",(BetTable[Stake]/2)+BetTable[WBA1-Commission]/2,IF(BetTable[Outcome]="Lose Half Stake",BetTable[Stake]/2,IF(BetTable[Outcome]="Lose",0,IF(BetTable[Outcome]="Void",BetTable[Stake],)))))</f>
        <v>0</v>
      </c>
      <c r="AG452" s="206">
        <f>IF(BetTable[Outcome2]="Win",BetTable[WBA2-Commission],IF(BetTable[Outcome2]="Win Half Stake",(BetTable[S2]/2)+BetTable[WBA2-Commission]/2,IF(BetTable[Outcome2]="Lose Half Stake",BetTable[S2]/2,IF(BetTable[Outcome2]="Lose",0,IF(BetTable[Outcome2]="Void",BetTable[S2],)))))</f>
        <v>0</v>
      </c>
      <c r="AH452" s="206">
        <f>IF(BetTable[Outcome3]="Win",BetTable[WBA3-Commission],IF(BetTable[Outcome3]="Win Half Stake",(BetTable[S3]/2)+BetTable[WBA3-Commission]/2,IF(BetTable[Outcome3]="Lose Half Stake",BetTable[S3]/2,IF(BetTable[Outcome3]="Lose",0,IF(BetTable[Outcome3]="Void",BetTable[S3],)))))</f>
        <v>0</v>
      </c>
      <c r="AI452" s="210">
        <f>IF(BetTable[Outcome]="",AI451,BetTable[Result]+AI451)</f>
        <v>893.80425000000037</v>
      </c>
      <c r="AJ452" s="202"/>
    </row>
    <row r="453" spans="1:36" x14ac:dyDescent="0.2">
      <c r="A453" s="159" t="s">
        <v>1202</v>
      </c>
      <c r="B453" s="160" t="s">
        <v>200</v>
      </c>
      <c r="C453" s="161" t="s">
        <v>91</v>
      </c>
      <c r="D453" s="161"/>
      <c r="E453" s="161"/>
      <c r="F453" s="162"/>
      <c r="G453" s="162"/>
      <c r="H453" s="162"/>
      <c r="I453" s="160" t="s">
        <v>1232</v>
      </c>
      <c r="J453" s="163">
        <v>1.73</v>
      </c>
      <c r="K453" s="163"/>
      <c r="L453" s="163"/>
      <c r="M453" s="164">
        <v>26</v>
      </c>
      <c r="N453" s="164"/>
      <c r="O453" s="164"/>
      <c r="P453" s="159" t="s">
        <v>368</v>
      </c>
      <c r="Q453" s="159" t="s">
        <v>491</v>
      </c>
      <c r="R453" s="159" t="s">
        <v>1356</v>
      </c>
      <c r="S453" s="165">
        <v>1.5695730445607702E-2</v>
      </c>
      <c r="T453" s="166" t="s">
        <v>383</v>
      </c>
      <c r="U453" s="166"/>
      <c r="V453" s="166"/>
      <c r="W453" s="167">
        <f>IF(BetTable[Sport]="","",BetTable[Stake]+BetTable[S2]+BetTable[S3])</f>
        <v>26</v>
      </c>
      <c r="X453" s="164">
        <f>IF(BetTable[Odds]="","",(BetTable[WBA1-Commission])-BetTable[TS])</f>
        <v>18.980000000000004</v>
      </c>
      <c r="Y453" s="168">
        <f>IF(BetTable[Outcome]="","",BetTable[WBA1]+BetTable[WBA2]+BetTable[WBA3]-BetTable[TS])</f>
        <v>0</v>
      </c>
      <c r="Z453" s="164">
        <f>(((BetTable[Odds]-1)*BetTable[Stake])*(1-(BetTable[Comm %]))+BetTable[Stake])</f>
        <v>44.980000000000004</v>
      </c>
      <c r="AA453" s="164">
        <f>(((BetTable[O2]-1)*BetTable[S2])*(1-(BetTable[C% 2]))+BetTable[S2])</f>
        <v>0</v>
      </c>
      <c r="AB453" s="164">
        <f>(((BetTable[O3]-1)*BetTable[S3])*(1-(BetTable[C% 3]))+BetTable[S3])</f>
        <v>0</v>
      </c>
      <c r="AC453" s="165">
        <f>IFERROR(IF(BetTable[Sport]="","",BetTable[R1]/BetTable[TS]),"")</f>
        <v>0.7300000000000002</v>
      </c>
      <c r="AD453" s="165" t="str">
        <f>IF(BetTable[O2]="","",#REF!/BetTable[TS])</f>
        <v/>
      </c>
      <c r="AE453" s="165" t="str">
        <f>IFERROR(IF(BetTable[Sport]="","",#REF!/BetTable[TS]),"")</f>
        <v/>
      </c>
      <c r="AF453" s="164">
        <f>IF(BetTable[Outcome]="Win",BetTable[WBA1-Commission],IF(BetTable[Outcome]="Win Half Stake",(BetTable[Stake]/2)+BetTable[WBA1-Commission]/2,IF(BetTable[Outcome]="Lose Half Stake",BetTable[Stake]/2,IF(BetTable[Outcome]="Lose",0,IF(BetTable[Outcome]="Void",BetTable[Stake],)))))</f>
        <v>26</v>
      </c>
      <c r="AG453" s="164">
        <f>IF(BetTable[Outcome2]="Win",BetTable[WBA2-Commission],IF(BetTable[Outcome2]="Win Half Stake",(BetTable[S2]/2)+BetTable[WBA2-Commission]/2,IF(BetTable[Outcome2]="Lose Half Stake",BetTable[S2]/2,IF(BetTable[Outcome2]="Lose",0,IF(BetTable[Outcome2]="Void",BetTable[S2],)))))</f>
        <v>0</v>
      </c>
      <c r="AH453" s="164">
        <f>IF(BetTable[Outcome3]="Win",BetTable[WBA3-Commission],IF(BetTable[Outcome3]="Win Half Stake",(BetTable[S3]/2)+BetTable[WBA3-Commission]/2,IF(BetTable[Outcome3]="Lose Half Stake",BetTable[S3]/2,IF(BetTable[Outcome3]="Lose",0,IF(BetTable[Outcome3]="Void",BetTable[S3],)))))</f>
        <v>0</v>
      </c>
      <c r="AI453" s="168">
        <f>IF(BetTable[Outcome]="",AI452,BetTable[Result]+AI452)</f>
        <v>893.80425000000037</v>
      </c>
      <c r="AJ453" s="160"/>
    </row>
    <row r="454" spans="1:36" x14ac:dyDescent="0.2">
      <c r="A454" s="159" t="s">
        <v>1202</v>
      </c>
      <c r="B454" s="160" t="s">
        <v>7</v>
      </c>
      <c r="C454" s="161" t="s">
        <v>91</v>
      </c>
      <c r="D454" s="161"/>
      <c r="E454" s="161"/>
      <c r="F454" s="162"/>
      <c r="G454" s="162"/>
      <c r="H454" s="162"/>
      <c r="I454" s="160" t="s">
        <v>1305</v>
      </c>
      <c r="J454" s="163">
        <v>1.9</v>
      </c>
      <c r="K454" s="163"/>
      <c r="L454" s="163"/>
      <c r="M454" s="164">
        <v>29</v>
      </c>
      <c r="N454" s="164"/>
      <c r="O454" s="164"/>
      <c r="P454" s="159" t="s">
        <v>1357</v>
      </c>
      <c r="Q454" s="159" t="s">
        <v>1205</v>
      </c>
      <c r="R454" s="159" t="s">
        <v>1358</v>
      </c>
      <c r="S454" s="165">
        <v>2.1379859622330199E-2</v>
      </c>
      <c r="T454" s="166" t="s">
        <v>372</v>
      </c>
      <c r="U454" s="166"/>
      <c r="V454" s="166"/>
      <c r="W454" s="167">
        <f>IF(BetTable[Sport]="","",BetTable[Stake]+BetTable[S2]+BetTable[S3])</f>
        <v>29</v>
      </c>
      <c r="X454" s="164">
        <f>IF(BetTable[Odds]="","",(BetTable[WBA1-Commission])-BetTable[TS])</f>
        <v>26.099999999999994</v>
      </c>
      <c r="Y454" s="168">
        <f>IF(BetTable[Outcome]="","",BetTable[WBA1]+BetTable[WBA2]+BetTable[WBA3]-BetTable[TS])</f>
        <v>26.099999999999994</v>
      </c>
      <c r="Z454" s="164">
        <f>(((BetTable[Odds]-1)*BetTable[Stake])*(1-(BetTable[Comm %]))+BetTable[Stake])</f>
        <v>55.099999999999994</v>
      </c>
      <c r="AA454" s="164">
        <f>(((BetTable[O2]-1)*BetTable[S2])*(1-(BetTable[C% 2]))+BetTable[S2])</f>
        <v>0</v>
      </c>
      <c r="AB454" s="164">
        <f>(((BetTable[O3]-1)*BetTable[S3])*(1-(BetTable[C% 3]))+BetTable[S3])</f>
        <v>0</v>
      </c>
      <c r="AC454" s="165">
        <f>IFERROR(IF(BetTable[Sport]="","",BetTable[R1]/BetTable[TS]),"")</f>
        <v>0.8999999999999998</v>
      </c>
      <c r="AD454" s="165" t="str">
        <f>IF(BetTable[O2]="","",#REF!/BetTable[TS])</f>
        <v/>
      </c>
      <c r="AE454" s="165" t="str">
        <f>IFERROR(IF(BetTable[Sport]="","",#REF!/BetTable[TS]),"")</f>
        <v/>
      </c>
      <c r="AF454" s="164">
        <f>IF(BetTable[Outcome]="Win",BetTable[WBA1-Commission],IF(BetTable[Outcome]="Win Half Stake",(BetTable[Stake]/2)+BetTable[WBA1-Commission]/2,IF(BetTable[Outcome]="Lose Half Stake",BetTable[Stake]/2,IF(BetTable[Outcome]="Lose",0,IF(BetTable[Outcome]="Void",BetTable[Stake],)))))</f>
        <v>55.099999999999994</v>
      </c>
      <c r="AG454" s="164">
        <f>IF(BetTable[Outcome2]="Win",BetTable[WBA2-Commission],IF(BetTable[Outcome2]="Win Half Stake",(BetTable[S2]/2)+BetTable[WBA2-Commission]/2,IF(BetTable[Outcome2]="Lose Half Stake",BetTable[S2]/2,IF(BetTable[Outcome2]="Lose",0,IF(BetTable[Outcome2]="Void",BetTable[S2],)))))</f>
        <v>0</v>
      </c>
      <c r="AH454" s="164">
        <f>IF(BetTable[Outcome3]="Win",BetTable[WBA3-Commission],IF(BetTable[Outcome3]="Win Half Stake",(BetTable[S3]/2)+BetTable[WBA3-Commission]/2,IF(BetTable[Outcome3]="Lose Half Stake",BetTable[S3]/2,IF(BetTable[Outcome3]="Lose",0,IF(BetTable[Outcome3]="Void",BetTable[S3],)))))</f>
        <v>0</v>
      </c>
      <c r="AI454" s="168">
        <f>IF(BetTable[Outcome]="",AI453,BetTable[Result]+AI453)</f>
        <v>919.90425000000039</v>
      </c>
      <c r="AJ454" s="160"/>
    </row>
    <row r="455" spans="1:36" x14ac:dyDescent="0.2">
      <c r="A455" s="159" t="s">
        <v>1202</v>
      </c>
      <c r="B455" s="160" t="s">
        <v>200</v>
      </c>
      <c r="C455" s="161" t="s">
        <v>91</v>
      </c>
      <c r="D455" s="161"/>
      <c r="E455" s="161"/>
      <c r="F455" s="162"/>
      <c r="G455" s="162"/>
      <c r="H455" s="162"/>
      <c r="I455" s="160" t="s">
        <v>1359</v>
      </c>
      <c r="J455" s="163">
        <v>1.72</v>
      </c>
      <c r="K455" s="163"/>
      <c r="L455" s="163"/>
      <c r="M455" s="164">
        <v>23</v>
      </c>
      <c r="N455" s="164"/>
      <c r="O455" s="164"/>
      <c r="P455" s="159" t="s">
        <v>351</v>
      </c>
      <c r="Q455" s="159" t="s">
        <v>491</v>
      </c>
      <c r="R455" s="159" t="s">
        <v>1360</v>
      </c>
      <c r="S455" s="165">
        <v>1.40408894715896E-2</v>
      </c>
      <c r="T455" s="166" t="s">
        <v>549</v>
      </c>
      <c r="U455" s="166"/>
      <c r="V455" s="166"/>
      <c r="W455" s="167">
        <f>IF(BetTable[Sport]="","",BetTable[Stake]+BetTable[S2]+BetTable[S3])</f>
        <v>23</v>
      </c>
      <c r="X455" s="164">
        <f>IF(BetTable[Odds]="","",(BetTable[WBA1-Commission])-BetTable[TS])</f>
        <v>16.560000000000002</v>
      </c>
      <c r="Y455" s="168">
        <f>IF(BetTable[Outcome]="","",BetTable[WBA1]+BetTable[WBA2]+BetTable[WBA3]-BetTable[TS])</f>
        <v>-11.5</v>
      </c>
      <c r="Z455" s="164">
        <f>(((BetTable[Odds]-1)*BetTable[Stake])*(1-(BetTable[Comm %]))+BetTable[Stake])</f>
        <v>39.56</v>
      </c>
      <c r="AA455" s="164">
        <f>(((BetTable[O2]-1)*BetTable[S2])*(1-(BetTable[C% 2]))+BetTable[S2])</f>
        <v>0</v>
      </c>
      <c r="AB455" s="164">
        <f>(((BetTable[O3]-1)*BetTable[S3])*(1-(BetTable[C% 3]))+BetTable[S3])</f>
        <v>0</v>
      </c>
      <c r="AC455" s="165">
        <f>IFERROR(IF(BetTable[Sport]="","",BetTable[R1]/BetTable[TS]),"")</f>
        <v>0.72000000000000008</v>
      </c>
      <c r="AD455" s="165" t="str">
        <f>IF(BetTable[O2]="","",#REF!/BetTable[TS])</f>
        <v/>
      </c>
      <c r="AE455" s="165" t="str">
        <f>IFERROR(IF(BetTable[Sport]="","",#REF!/BetTable[TS]),"")</f>
        <v/>
      </c>
      <c r="AF455" s="164">
        <f>IF(BetTable[Outcome]="Win",BetTable[WBA1-Commission],IF(BetTable[Outcome]="Win Half Stake",(BetTable[Stake]/2)+BetTable[WBA1-Commission]/2,IF(BetTable[Outcome]="Lose Half Stake",BetTable[Stake]/2,IF(BetTable[Outcome]="Lose",0,IF(BetTable[Outcome]="Void",BetTable[Stake],)))))</f>
        <v>11.5</v>
      </c>
      <c r="AG455" s="164">
        <f>IF(BetTable[Outcome2]="Win",BetTable[WBA2-Commission],IF(BetTable[Outcome2]="Win Half Stake",(BetTable[S2]/2)+BetTable[WBA2-Commission]/2,IF(BetTable[Outcome2]="Lose Half Stake",BetTable[S2]/2,IF(BetTable[Outcome2]="Lose",0,IF(BetTable[Outcome2]="Void",BetTable[S2],)))))</f>
        <v>0</v>
      </c>
      <c r="AH455" s="164">
        <f>IF(BetTable[Outcome3]="Win",BetTable[WBA3-Commission],IF(BetTable[Outcome3]="Win Half Stake",(BetTable[S3]/2)+BetTable[WBA3-Commission]/2,IF(BetTable[Outcome3]="Lose Half Stake",BetTable[S3]/2,IF(BetTable[Outcome3]="Lose",0,IF(BetTable[Outcome3]="Void",BetTable[S3],)))))</f>
        <v>0</v>
      </c>
      <c r="AI455" s="168">
        <f>IF(BetTable[Outcome]="",AI454,BetTable[Result]+AI454)</f>
        <v>908.40425000000039</v>
      </c>
      <c r="AJ455" s="160"/>
    </row>
    <row r="456" spans="1:36" x14ac:dyDescent="0.2">
      <c r="A456" s="159" t="s">
        <v>1202</v>
      </c>
      <c r="B456" s="160" t="s">
        <v>7</v>
      </c>
      <c r="C456" s="161" t="s">
        <v>91</v>
      </c>
      <c r="D456" s="161"/>
      <c r="E456" s="161"/>
      <c r="F456" s="162"/>
      <c r="G456" s="162"/>
      <c r="H456" s="162"/>
      <c r="I456" s="160" t="s">
        <v>1361</v>
      </c>
      <c r="J456" s="163">
        <v>1.88</v>
      </c>
      <c r="K456" s="163"/>
      <c r="L456" s="163"/>
      <c r="M456" s="164">
        <v>45</v>
      </c>
      <c r="N456" s="164"/>
      <c r="O456" s="164"/>
      <c r="P456" s="159" t="s">
        <v>1362</v>
      </c>
      <c r="Q456" s="159" t="s">
        <v>503</v>
      </c>
      <c r="R456" s="159" t="s">
        <v>1363</v>
      </c>
      <c r="S456" s="165">
        <v>3.2792553889472199E-2</v>
      </c>
      <c r="T456" s="166" t="s">
        <v>382</v>
      </c>
      <c r="U456" s="166"/>
      <c r="V456" s="166"/>
      <c r="W456" s="167">
        <f>IF(BetTable[Sport]="","",BetTable[Stake]+BetTable[S2]+BetTable[S3])</f>
        <v>45</v>
      </c>
      <c r="X456" s="164">
        <f>IF(BetTable[Odds]="","",(BetTable[WBA1-Commission])-BetTable[TS])</f>
        <v>39.599999999999994</v>
      </c>
      <c r="Y456" s="168">
        <f>IF(BetTable[Outcome]="","",BetTable[WBA1]+BetTable[WBA2]+BetTable[WBA3]-BetTable[TS])</f>
        <v>-45</v>
      </c>
      <c r="Z456" s="164">
        <f>(((BetTable[Odds]-1)*BetTable[Stake])*(1-(BetTable[Comm %]))+BetTable[Stake])</f>
        <v>84.6</v>
      </c>
      <c r="AA456" s="164">
        <f>(((BetTable[O2]-1)*BetTable[S2])*(1-(BetTable[C% 2]))+BetTable[S2])</f>
        <v>0</v>
      </c>
      <c r="AB456" s="164">
        <f>(((BetTable[O3]-1)*BetTable[S3])*(1-(BetTable[C% 3]))+BetTable[S3])</f>
        <v>0</v>
      </c>
      <c r="AC456" s="165">
        <f>IFERROR(IF(BetTable[Sport]="","",BetTable[R1]/BetTable[TS]),"")</f>
        <v>0.87999999999999989</v>
      </c>
      <c r="AD456" s="165" t="str">
        <f>IF(BetTable[O2]="","",#REF!/BetTable[TS])</f>
        <v/>
      </c>
      <c r="AE456" s="165" t="str">
        <f>IFERROR(IF(BetTable[Sport]="","",#REF!/BetTable[TS]),"")</f>
        <v/>
      </c>
      <c r="AF456" s="164">
        <f>IF(BetTable[Outcome]="Win",BetTable[WBA1-Commission],IF(BetTable[Outcome]="Win Half Stake",(BetTable[Stake]/2)+BetTable[WBA1-Commission]/2,IF(BetTable[Outcome]="Lose Half Stake",BetTable[Stake]/2,IF(BetTable[Outcome]="Lose",0,IF(BetTable[Outcome]="Void",BetTable[Stake],)))))</f>
        <v>0</v>
      </c>
      <c r="AG456" s="164">
        <f>IF(BetTable[Outcome2]="Win",BetTable[WBA2-Commission],IF(BetTable[Outcome2]="Win Half Stake",(BetTable[S2]/2)+BetTable[WBA2-Commission]/2,IF(BetTable[Outcome2]="Lose Half Stake",BetTable[S2]/2,IF(BetTable[Outcome2]="Lose",0,IF(BetTable[Outcome2]="Void",BetTable[S2],)))))</f>
        <v>0</v>
      </c>
      <c r="AH456" s="164">
        <f>IF(BetTable[Outcome3]="Win",BetTable[WBA3-Commission],IF(BetTable[Outcome3]="Win Half Stake",(BetTable[S3]/2)+BetTable[WBA3-Commission]/2,IF(BetTable[Outcome3]="Lose Half Stake",BetTable[S3]/2,IF(BetTable[Outcome3]="Lose",0,IF(BetTable[Outcome3]="Void",BetTable[S3],)))))</f>
        <v>0</v>
      </c>
      <c r="AI456" s="168">
        <f>IF(BetTable[Outcome]="",AI455,BetTable[Result]+AI455)</f>
        <v>863.40425000000039</v>
      </c>
      <c r="AJ456" s="160"/>
    </row>
    <row r="457" spans="1:36" x14ac:dyDescent="0.2">
      <c r="A457" s="159" t="s">
        <v>1202</v>
      </c>
      <c r="B457" s="160" t="s">
        <v>200</v>
      </c>
      <c r="C457" s="161" t="s">
        <v>234</v>
      </c>
      <c r="D457" s="161"/>
      <c r="E457" s="161"/>
      <c r="F457" s="162"/>
      <c r="G457" s="162"/>
      <c r="H457" s="162"/>
      <c r="I457" s="160" t="s">
        <v>1364</v>
      </c>
      <c r="J457" s="163">
        <v>2.06</v>
      </c>
      <c r="K457" s="163"/>
      <c r="L457" s="163"/>
      <c r="M457" s="164">
        <v>13</v>
      </c>
      <c r="N457" s="164"/>
      <c r="O457" s="164"/>
      <c r="P457" s="159" t="s">
        <v>351</v>
      </c>
      <c r="Q457" s="159" t="s">
        <v>488</v>
      </c>
      <c r="R457" s="159" t="s">
        <v>1365</v>
      </c>
      <c r="S457" s="165">
        <v>1.1658720142328801E-2</v>
      </c>
      <c r="T457" s="166" t="s">
        <v>372</v>
      </c>
      <c r="U457" s="166"/>
      <c r="V457" s="166"/>
      <c r="W457" s="167">
        <f>IF(BetTable[Sport]="","",BetTable[Stake]+BetTable[S2]+BetTable[S3])</f>
        <v>13</v>
      </c>
      <c r="X457" s="164">
        <f>IF(BetTable[Odds]="","",(BetTable[WBA1-Commission])-BetTable[TS])</f>
        <v>13.780000000000001</v>
      </c>
      <c r="Y457" s="168">
        <f>IF(BetTable[Outcome]="","",BetTable[WBA1]+BetTable[WBA2]+BetTable[WBA3]-BetTable[TS])</f>
        <v>13.780000000000001</v>
      </c>
      <c r="Z457" s="164">
        <f>(((BetTable[Odds]-1)*BetTable[Stake])*(1-(BetTable[Comm %]))+BetTable[Stake])</f>
        <v>26.78</v>
      </c>
      <c r="AA457" s="164">
        <f>(((BetTable[O2]-1)*BetTable[S2])*(1-(BetTable[C% 2]))+BetTable[S2])</f>
        <v>0</v>
      </c>
      <c r="AB457" s="164">
        <f>(((BetTable[O3]-1)*BetTable[S3])*(1-(BetTable[C% 3]))+BetTable[S3])</f>
        <v>0</v>
      </c>
      <c r="AC457" s="165">
        <f>IFERROR(IF(BetTable[Sport]="","",BetTable[R1]/BetTable[TS]),"")</f>
        <v>1.06</v>
      </c>
      <c r="AD457" s="165" t="str">
        <f>IF(BetTable[O2]="","",#REF!/BetTable[TS])</f>
        <v/>
      </c>
      <c r="AE457" s="165" t="str">
        <f>IFERROR(IF(BetTable[Sport]="","",#REF!/BetTable[TS]),"")</f>
        <v/>
      </c>
      <c r="AF457" s="164">
        <f>IF(BetTable[Outcome]="Win",BetTable[WBA1-Commission],IF(BetTable[Outcome]="Win Half Stake",(BetTable[Stake]/2)+BetTable[WBA1-Commission]/2,IF(BetTable[Outcome]="Lose Half Stake",BetTable[Stake]/2,IF(BetTable[Outcome]="Lose",0,IF(BetTable[Outcome]="Void",BetTable[Stake],)))))</f>
        <v>26.78</v>
      </c>
      <c r="AG457" s="164">
        <f>IF(BetTable[Outcome2]="Win",BetTable[WBA2-Commission],IF(BetTable[Outcome2]="Win Half Stake",(BetTable[S2]/2)+BetTable[WBA2-Commission]/2,IF(BetTable[Outcome2]="Lose Half Stake",BetTable[S2]/2,IF(BetTable[Outcome2]="Lose",0,IF(BetTable[Outcome2]="Void",BetTable[S2],)))))</f>
        <v>0</v>
      </c>
      <c r="AH457" s="164">
        <f>IF(BetTable[Outcome3]="Win",BetTable[WBA3-Commission],IF(BetTable[Outcome3]="Win Half Stake",(BetTable[S3]/2)+BetTable[WBA3-Commission]/2,IF(BetTable[Outcome3]="Lose Half Stake",BetTable[S3]/2,IF(BetTable[Outcome3]="Lose",0,IF(BetTable[Outcome3]="Void",BetTable[S3],)))))</f>
        <v>0</v>
      </c>
      <c r="AI457" s="168">
        <f>IF(BetTable[Outcome]="",AI456,BetTable[Result]+AI456)</f>
        <v>877.18425000000036</v>
      </c>
      <c r="AJ457" s="160"/>
    </row>
    <row r="458" spans="1:36" x14ac:dyDescent="0.2">
      <c r="A458" s="159" t="s">
        <v>1202</v>
      </c>
      <c r="B458" s="160" t="s">
        <v>200</v>
      </c>
      <c r="C458" s="161" t="s">
        <v>91</v>
      </c>
      <c r="D458" s="161"/>
      <c r="E458" s="161"/>
      <c r="F458" s="162"/>
      <c r="G458" s="162"/>
      <c r="H458" s="162"/>
      <c r="I458" s="160" t="s">
        <v>1366</v>
      </c>
      <c r="J458" s="163">
        <v>2.17</v>
      </c>
      <c r="K458" s="163"/>
      <c r="L458" s="163"/>
      <c r="M458" s="164">
        <v>16</v>
      </c>
      <c r="N458" s="164"/>
      <c r="O458" s="164"/>
      <c r="P458" s="159" t="s">
        <v>385</v>
      </c>
      <c r="Q458" s="159" t="s">
        <v>458</v>
      </c>
      <c r="R458" s="159" t="s">
        <v>1367</v>
      </c>
      <c r="S458" s="165">
        <v>1.54370695401347E-2</v>
      </c>
      <c r="T458" s="166" t="s">
        <v>372</v>
      </c>
      <c r="U458" s="166"/>
      <c r="V458" s="166"/>
      <c r="W458" s="167">
        <f>IF(BetTable[Sport]="","",BetTable[Stake]+BetTable[S2]+BetTable[S3])</f>
        <v>16</v>
      </c>
      <c r="X458" s="164">
        <f>IF(BetTable[Odds]="","",(BetTable[WBA1-Commission])-BetTable[TS])</f>
        <v>18.72</v>
      </c>
      <c r="Y458" s="168">
        <f>IF(BetTable[Outcome]="","",BetTable[WBA1]+BetTable[WBA2]+BetTable[WBA3]-BetTable[TS])</f>
        <v>18.72</v>
      </c>
      <c r="Z458" s="164">
        <f>(((BetTable[Odds]-1)*BetTable[Stake])*(1-(BetTable[Comm %]))+BetTable[Stake])</f>
        <v>34.72</v>
      </c>
      <c r="AA458" s="164">
        <f>(((BetTable[O2]-1)*BetTable[S2])*(1-(BetTable[C% 2]))+BetTable[S2])</f>
        <v>0</v>
      </c>
      <c r="AB458" s="164">
        <f>(((BetTable[O3]-1)*BetTable[S3])*(1-(BetTable[C% 3]))+BetTable[S3])</f>
        <v>0</v>
      </c>
      <c r="AC458" s="165">
        <f>IFERROR(IF(BetTable[Sport]="","",BetTable[R1]/BetTable[TS]),"")</f>
        <v>1.17</v>
      </c>
      <c r="AD458" s="165" t="str">
        <f>IF(BetTable[O2]="","",#REF!/BetTable[TS])</f>
        <v/>
      </c>
      <c r="AE458" s="165" t="str">
        <f>IFERROR(IF(BetTable[Sport]="","",#REF!/BetTable[TS]),"")</f>
        <v/>
      </c>
      <c r="AF458" s="164">
        <f>IF(BetTable[Outcome]="Win",BetTable[WBA1-Commission],IF(BetTable[Outcome]="Win Half Stake",(BetTable[Stake]/2)+BetTable[WBA1-Commission]/2,IF(BetTable[Outcome]="Lose Half Stake",BetTable[Stake]/2,IF(BetTable[Outcome]="Lose",0,IF(BetTable[Outcome]="Void",BetTable[Stake],)))))</f>
        <v>34.72</v>
      </c>
      <c r="AG458" s="164">
        <f>IF(BetTable[Outcome2]="Win",BetTable[WBA2-Commission],IF(BetTable[Outcome2]="Win Half Stake",(BetTable[S2]/2)+BetTable[WBA2-Commission]/2,IF(BetTable[Outcome2]="Lose Half Stake",BetTable[S2]/2,IF(BetTable[Outcome2]="Lose",0,IF(BetTable[Outcome2]="Void",BetTable[S2],)))))</f>
        <v>0</v>
      </c>
      <c r="AH458" s="164">
        <f>IF(BetTable[Outcome3]="Win",BetTable[WBA3-Commission],IF(BetTable[Outcome3]="Win Half Stake",(BetTable[S3]/2)+BetTable[WBA3-Commission]/2,IF(BetTable[Outcome3]="Lose Half Stake",BetTable[S3]/2,IF(BetTable[Outcome3]="Lose",0,IF(BetTable[Outcome3]="Void",BetTable[S3],)))))</f>
        <v>0</v>
      </c>
      <c r="AI458" s="168">
        <f>IF(BetTable[Outcome]="",AI457,BetTable[Result]+AI457)</f>
        <v>895.90425000000039</v>
      </c>
      <c r="AJ458" s="160"/>
    </row>
    <row r="459" spans="1:36" x14ac:dyDescent="0.2">
      <c r="A459" s="159" t="s">
        <v>1202</v>
      </c>
      <c r="B459" s="160" t="s">
        <v>200</v>
      </c>
      <c r="C459" s="161" t="s">
        <v>234</v>
      </c>
      <c r="D459" s="161"/>
      <c r="E459" s="161"/>
      <c r="F459" s="162"/>
      <c r="G459" s="162"/>
      <c r="H459" s="162"/>
      <c r="I459" s="160" t="s">
        <v>1368</v>
      </c>
      <c r="J459" s="163">
        <v>1.98</v>
      </c>
      <c r="K459" s="163"/>
      <c r="L459" s="163"/>
      <c r="M459" s="164">
        <v>31</v>
      </c>
      <c r="N459" s="164"/>
      <c r="O459" s="164"/>
      <c r="P459" s="159" t="s">
        <v>652</v>
      </c>
      <c r="Q459" s="159" t="s">
        <v>488</v>
      </c>
      <c r="R459" s="159" t="s">
        <v>1369</v>
      </c>
      <c r="S459" s="165">
        <v>2.4961677319057698E-2</v>
      </c>
      <c r="T459" s="166" t="s">
        <v>382</v>
      </c>
      <c r="U459" s="166"/>
      <c r="V459" s="166"/>
      <c r="W459" s="167">
        <f>IF(BetTable[Sport]="","",BetTable[Stake]+BetTable[S2]+BetTable[S3])</f>
        <v>31</v>
      </c>
      <c r="X459" s="164">
        <f>IF(BetTable[Odds]="","",(BetTable[WBA1-Commission])-BetTable[TS])</f>
        <v>30.379999999999995</v>
      </c>
      <c r="Y459" s="168">
        <f>IF(BetTable[Outcome]="","",BetTable[WBA1]+BetTable[WBA2]+BetTable[WBA3]-BetTable[TS])</f>
        <v>-31</v>
      </c>
      <c r="Z459" s="164">
        <f>(((BetTable[Odds]-1)*BetTable[Stake])*(1-(BetTable[Comm %]))+BetTable[Stake])</f>
        <v>61.379999999999995</v>
      </c>
      <c r="AA459" s="164">
        <f>(((BetTable[O2]-1)*BetTable[S2])*(1-(BetTable[C% 2]))+BetTable[S2])</f>
        <v>0</v>
      </c>
      <c r="AB459" s="164">
        <f>(((BetTable[O3]-1)*BetTable[S3])*(1-(BetTable[C% 3]))+BetTable[S3])</f>
        <v>0</v>
      </c>
      <c r="AC459" s="165">
        <f>IFERROR(IF(BetTable[Sport]="","",BetTable[R1]/BetTable[TS]),"")</f>
        <v>0.97999999999999987</v>
      </c>
      <c r="AD459" s="165" t="str">
        <f>IF(BetTable[O2]="","",#REF!/BetTable[TS])</f>
        <v/>
      </c>
      <c r="AE459" s="165" t="str">
        <f>IFERROR(IF(BetTable[Sport]="","",#REF!/BetTable[TS]),"")</f>
        <v/>
      </c>
      <c r="AF459" s="164">
        <f>IF(BetTable[Outcome]="Win",BetTable[WBA1-Commission],IF(BetTable[Outcome]="Win Half Stake",(BetTable[Stake]/2)+BetTable[WBA1-Commission]/2,IF(BetTable[Outcome]="Lose Half Stake",BetTable[Stake]/2,IF(BetTable[Outcome]="Lose",0,IF(BetTable[Outcome]="Void",BetTable[Stake],)))))</f>
        <v>0</v>
      </c>
      <c r="AG459" s="164">
        <f>IF(BetTable[Outcome2]="Win",BetTable[WBA2-Commission],IF(BetTable[Outcome2]="Win Half Stake",(BetTable[S2]/2)+BetTable[WBA2-Commission]/2,IF(BetTable[Outcome2]="Lose Half Stake",BetTable[S2]/2,IF(BetTable[Outcome2]="Lose",0,IF(BetTable[Outcome2]="Void",BetTable[S2],)))))</f>
        <v>0</v>
      </c>
      <c r="AH459" s="164">
        <f>IF(BetTable[Outcome3]="Win",BetTable[WBA3-Commission],IF(BetTable[Outcome3]="Win Half Stake",(BetTable[S3]/2)+BetTable[WBA3-Commission]/2,IF(BetTable[Outcome3]="Lose Half Stake",BetTable[S3]/2,IF(BetTable[Outcome3]="Lose",0,IF(BetTable[Outcome3]="Void",BetTable[S3],)))))</f>
        <v>0</v>
      </c>
      <c r="AI459" s="168">
        <f>IF(BetTable[Outcome]="",AI458,BetTable[Result]+AI458)</f>
        <v>864.90425000000039</v>
      </c>
      <c r="AJ459" s="160"/>
    </row>
    <row r="460" spans="1:36" x14ac:dyDescent="0.2">
      <c r="A460" s="159" t="s">
        <v>1202</v>
      </c>
      <c r="B460" s="160" t="s">
        <v>200</v>
      </c>
      <c r="C460" s="161" t="s">
        <v>234</v>
      </c>
      <c r="D460" s="161"/>
      <c r="E460" s="161"/>
      <c r="F460" s="162"/>
      <c r="G460" s="162"/>
      <c r="H460" s="162"/>
      <c r="I460" s="160" t="s">
        <v>1370</v>
      </c>
      <c r="J460" s="163">
        <v>1.88</v>
      </c>
      <c r="K460" s="163"/>
      <c r="L460" s="163"/>
      <c r="M460" s="164">
        <v>25</v>
      </c>
      <c r="N460" s="164"/>
      <c r="O460" s="164"/>
      <c r="P460" s="159" t="s">
        <v>360</v>
      </c>
      <c r="Q460" s="159" t="s">
        <v>796</v>
      </c>
      <c r="R460" s="159" t="s">
        <v>1371</v>
      </c>
      <c r="S460" s="165">
        <v>1.80298461248877E-2</v>
      </c>
      <c r="T460" s="166" t="s">
        <v>383</v>
      </c>
      <c r="U460" s="166"/>
      <c r="V460" s="166"/>
      <c r="W460" s="167">
        <f>IF(BetTable[Sport]="","",BetTable[Stake]+BetTable[S2]+BetTable[S3])</f>
        <v>25</v>
      </c>
      <c r="X460" s="164">
        <f>IF(BetTable[Odds]="","",(BetTable[WBA1-Commission])-BetTable[TS])</f>
        <v>22</v>
      </c>
      <c r="Y460" s="168">
        <f>IF(BetTable[Outcome]="","",BetTable[WBA1]+BetTable[WBA2]+BetTable[WBA3]-BetTable[TS])</f>
        <v>0</v>
      </c>
      <c r="Z460" s="164">
        <f>(((BetTable[Odds]-1)*BetTable[Stake])*(1-(BetTable[Comm %]))+BetTable[Stake])</f>
        <v>47</v>
      </c>
      <c r="AA460" s="164">
        <f>(((BetTable[O2]-1)*BetTable[S2])*(1-(BetTable[C% 2]))+BetTable[S2])</f>
        <v>0</v>
      </c>
      <c r="AB460" s="164">
        <f>(((BetTable[O3]-1)*BetTable[S3])*(1-(BetTable[C% 3]))+BetTable[S3])</f>
        <v>0</v>
      </c>
      <c r="AC460" s="165">
        <f>IFERROR(IF(BetTable[Sport]="","",BetTable[R1]/BetTable[TS]),"")</f>
        <v>0.88</v>
      </c>
      <c r="AD460" s="165" t="str">
        <f>IF(BetTable[O2]="","",#REF!/BetTable[TS])</f>
        <v/>
      </c>
      <c r="AE460" s="165" t="str">
        <f>IFERROR(IF(BetTable[Sport]="","",#REF!/BetTable[TS]),"")</f>
        <v/>
      </c>
      <c r="AF460" s="164">
        <f>IF(BetTable[Outcome]="Win",BetTable[WBA1-Commission],IF(BetTable[Outcome]="Win Half Stake",(BetTable[Stake]/2)+BetTable[WBA1-Commission]/2,IF(BetTable[Outcome]="Lose Half Stake",BetTable[Stake]/2,IF(BetTable[Outcome]="Lose",0,IF(BetTable[Outcome]="Void",BetTable[Stake],)))))</f>
        <v>25</v>
      </c>
      <c r="AG460" s="164">
        <f>IF(BetTable[Outcome2]="Win",BetTable[WBA2-Commission],IF(BetTable[Outcome2]="Win Half Stake",(BetTable[S2]/2)+BetTable[WBA2-Commission]/2,IF(BetTable[Outcome2]="Lose Half Stake",BetTable[S2]/2,IF(BetTable[Outcome2]="Lose",0,IF(BetTable[Outcome2]="Void",BetTable[S2],)))))</f>
        <v>0</v>
      </c>
      <c r="AH460" s="164">
        <f>IF(BetTable[Outcome3]="Win",BetTable[WBA3-Commission],IF(BetTable[Outcome3]="Win Half Stake",(BetTable[S3]/2)+BetTable[WBA3-Commission]/2,IF(BetTable[Outcome3]="Lose Half Stake",BetTable[S3]/2,IF(BetTable[Outcome3]="Lose",0,IF(BetTable[Outcome3]="Void",BetTable[S3],)))))</f>
        <v>0</v>
      </c>
      <c r="AI460" s="168">
        <f>IF(BetTable[Outcome]="",AI459,BetTable[Result]+AI459)</f>
        <v>864.90425000000039</v>
      </c>
      <c r="AJ460" s="160"/>
    </row>
    <row r="461" spans="1:36" x14ac:dyDescent="0.2">
      <c r="A461" s="159" t="s">
        <v>1202</v>
      </c>
      <c r="B461" s="160" t="s">
        <v>200</v>
      </c>
      <c r="C461" s="161" t="s">
        <v>91</v>
      </c>
      <c r="D461" s="161"/>
      <c r="E461" s="161"/>
      <c r="F461" s="162"/>
      <c r="G461" s="162"/>
      <c r="H461" s="162"/>
      <c r="I461" s="160" t="s">
        <v>1372</v>
      </c>
      <c r="J461" s="163">
        <v>2.23</v>
      </c>
      <c r="K461" s="163"/>
      <c r="L461" s="163"/>
      <c r="M461" s="164">
        <v>19</v>
      </c>
      <c r="N461" s="164"/>
      <c r="O461" s="164"/>
      <c r="P461" s="159" t="s">
        <v>435</v>
      </c>
      <c r="Q461" s="159" t="s">
        <v>547</v>
      </c>
      <c r="R461" s="159" t="s">
        <v>1373</v>
      </c>
      <c r="S461" s="165">
        <v>1.95358345358345E-2</v>
      </c>
      <c r="T461" s="166" t="s">
        <v>382</v>
      </c>
      <c r="U461" s="166"/>
      <c r="V461" s="166"/>
      <c r="W461" s="167">
        <f>IF(BetTable[Sport]="","",BetTable[Stake]+BetTable[S2]+BetTable[S3])</f>
        <v>19</v>
      </c>
      <c r="X461" s="164">
        <f>IF(BetTable[Odds]="","",(BetTable[WBA1-Commission])-BetTable[TS])</f>
        <v>23.370000000000005</v>
      </c>
      <c r="Y461" s="168">
        <f>IF(BetTable[Outcome]="","",BetTable[WBA1]+BetTable[WBA2]+BetTable[WBA3]-BetTable[TS])</f>
        <v>-19</v>
      </c>
      <c r="Z461" s="164">
        <f>(((BetTable[Odds]-1)*BetTable[Stake])*(1-(BetTable[Comm %]))+BetTable[Stake])</f>
        <v>42.370000000000005</v>
      </c>
      <c r="AA461" s="164">
        <f>(((BetTable[O2]-1)*BetTable[S2])*(1-(BetTable[C% 2]))+BetTable[S2])</f>
        <v>0</v>
      </c>
      <c r="AB461" s="164">
        <f>(((BetTable[O3]-1)*BetTable[S3])*(1-(BetTable[C% 3]))+BetTable[S3])</f>
        <v>0</v>
      </c>
      <c r="AC461" s="165">
        <f>IFERROR(IF(BetTable[Sport]="","",BetTable[R1]/BetTable[TS]),"")</f>
        <v>1.2300000000000002</v>
      </c>
      <c r="AD461" s="165" t="str">
        <f>IF(BetTable[O2]="","",#REF!/BetTable[TS])</f>
        <v/>
      </c>
      <c r="AE461" s="165" t="str">
        <f>IFERROR(IF(BetTable[Sport]="","",#REF!/BetTable[TS]),"")</f>
        <v/>
      </c>
      <c r="AF461" s="164">
        <f>IF(BetTable[Outcome]="Win",BetTable[WBA1-Commission],IF(BetTable[Outcome]="Win Half Stake",(BetTable[Stake]/2)+BetTable[WBA1-Commission]/2,IF(BetTable[Outcome]="Lose Half Stake",BetTable[Stake]/2,IF(BetTable[Outcome]="Lose",0,IF(BetTable[Outcome]="Void",BetTable[Stake],)))))</f>
        <v>0</v>
      </c>
      <c r="AG461" s="164">
        <f>IF(BetTable[Outcome2]="Win",BetTable[WBA2-Commission],IF(BetTable[Outcome2]="Win Half Stake",(BetTable[S2]/2)+BetTable[WBA2-Commission]/2,IF(BetTable[Outcome2]="Lose Half Stake",BetTable[S2]/2,IF(BetTable[Outcome2]="Lose",0,IF(BetTable[Outcome2]="Void",BetTable[S2],)))))</f>
        <v>0</v>
      </c>
      <c r="AH461" s="164">
        <f>IF(BetTable[Outcome3]="Win",BetTable[WBA3-Commission],IF(BetTable[Outcome3]="Win Half Stake",(BetTable[S3]/2)+BetTable[WBA3-Commission]/2,IF(BetTable[Outcome3]="Lose Half Stake",BetTable[S3]/2,IF(BetTable[Outcome3]="Lose",0,IF(BetTable[Outcome3]="Void",BetTable[S3],)))))</f>
        <v>0</v>
      </c>
      <c r="AI461" s="168">
        <f>IF(BetTable[Outcome]="",AI460,BetTable[Result]+AI460)</f>
        <v>845.90425000000039</v>
      </c>
      <c r="AJ461" s="160"/>
    </row>
    <row r="462" spans="1:36" x14ac:dyDescent="0.2">
      <c r="A462" s="159" t="s">
        <v>1202</v>
      </c>
      <c r="B462" s="160" t="s">
        <v>200</v>
      </c>
      <c r="C462" s="161" t="s">
        <v>91</v>
      </c>
      <c r="D462" s="161"/>
      <c r="E462" s="161"/>
      <c r="F462" s="162"/>
      <c r="G462" s="162"/>
      <c r="H462" s="162"/>
      <c r="I462" s="160" t="s">
        <v>1374</v>
      </c>
      <c r="J462" s="163">
        <v>1.79</v>
      </c>
      <c r="K462" s="163"/>
      <c r="L462" s="163"/>
      <c r="M462" s="164">
        <v>25</v>
      </c>
      <c r="N462" s="164"/>
      <c r="O462" s="164"/>
      <c r="P462" s="159" t="s">
        <v>409</v>
      </c>
      <c r="Q462" s="159" t="s">
        <v>547</v>
      </c>
      <c r="R462" s="159" t="s">
        <v>1375</v>
      </c>
      <c r="S462" s="165">
        <v>1.6669128560120101E-2</v>
      </c>
      <c r="T462" s="166" t="s">
        <v>372</v>
      </c>
      <c r="U462" s="166"/>
      <c r="V462" s="166"/>
      <c r="W462" s="167">
        <f>IF(BetTable[Sport]="","",BetTable[Stake]+BetTable[S2]+BetTable[S3])</f>
        <v>25</v>
      </c>
      <c r="X462" s="164">
        <f>IF(BetTable[Odds]="","",(BetTable[WBA1-Commission])-BetTable[TS])</f>
        <v>19.75</v>
      </c>
      <c r="Y462" s="168">
        <f>IF(BetTable[Outcome]="","",BetTable[WBA1]+BetTable[WBA2]+BetTable[WBA3]-BetTable[TS])</f>
        <v>19.75</v>
      </c>
      <c r="Z462" s="164">
        <f>(((BetTable[Odds]-1)*BetTable[Stake])*(1-(BetTable[Comm %]))+BetTable[Stake])</f>
        <v>44.75</v>
      </c>
      <c r="AA462" s="164">
        <f>(((BetTable[O2]-1)*BetTable[S2])*(1-(BetTable[C% 2]))+BetTable[S2])</f>
        <v>0</v>
      </c>
      <c r="AB462" s="164">
        <f>(((BetTable[O3]-1)*BetTable[S3])*(1-(BetTable[C% 3]))+BetTable[S3])</f>
        <v>0</v>
      </c>
      <c r="AC462" s="165">
        <f>IFERROR(IF(BetTable[Sport]="","",BetTable[R1]/BetTable[TS]),"")</f>
        <v>0.79</v>
      </c>
      <c r="AD462" s="165" t="str">
        <f>IF(BetTable[O2]="","",#REF!/BetTable[TS])</f>
        <v/>
      </c>
      <c r="AE462" s="165" t="str">
        <f>IFERROR(IF(BetTable[Sport]="","",#REF!/BetTable[TS]),"")</f>
        <v/>
      </c>
      <c r="AF462" s="164">
        <f>IF(BetTable[Outcome]="Win",BetTable[WBA1-Commission],IF(BetTable[Outcome]="Win Half Stake",(BetTable[Stake]/2)+BetTable[WBA1-Commission]/2,IF(BetTable[Outcome]="Lose Half Stake",BetTable[Stake]/2,IF(BetTable[Outcome]="Lose",0,IF(BetTable[Outcome]="Void",BetTable[Stake],)))))</f>
        <v>44.75</v>
      </c>
      <c r="AG462" s="164">
        <f>IF(BetTable[Outcome2]="Win",BetTable[WBA2-Commission],IF(BetTable[Outcome2]="Win Half Stake",(BetTable[S2]/2)+BetTable[WBA2-Commission]/2,IF(BetTable[Outcome2]="Lose Half Stake",BetTable[S2]/2,IF(BetTable[Outcome2]="Lose",0,IF(BetTable[Outcome2]="Void",BetTable[S2],)))))</f>
        <v>0</v>
      </c>
      <c r="AH462" s="164">
        <f>IF(BetTable[Outcome3]="Win",BetTable[WBA3-Commission],IF(BetTable[Outcome3]="Win Half Stake",(BetTable[S3]/2)+BetTable[WBA3-Commission]/2,IF(BetTable[Outcome3]="Lose Half Stake",BetTable[S3]/2,IF(BetTable[Outcome3]="Lose",0,IF(BetTable[Outcome3]="Void",BetTable[S3],)))))</f>
        <v>0</v>
      </c>
      <c r="AI462" s="168">
        <f>IF(BetTable[Outcome]="",AI461,BetTable[Result]+AI461)</f>
        <v>865.65425000000039</v>
      </c>
      <c r="AJ462" s="160"/>
    </row>
    <row r="463" spans="1:36" x14ac:dyDescent="0.2">
      <c r="A463" s="159" t="s">
        <v>1202</v>
      </c>
      <c r="B463" s="160" t="s">
        <v>200</v>
      </c>
      <c r="C463" s="161" t="s">
        <v>234</v>
      </c>
      <c r="D463" s="161"/>
      <c r="E463" s="161"/>
      <c r="F463" s="162"/>
      <c r="G463" s="162"/>
      <c r="H463" s="162"/>
      <c r="I463" s="160" t="s">
        <v>1376</v>
      </c>
      <c r="J463" s="163">
        <v>1.7</v>
      </c>
      <c r="K463" s="163"/>
      <c r="L463" s="163"/>
      <c r="M463" s="164">
        <v>32</v>
      </c>
      <c r="N463" s="164"/>
      <c r="O463" s="164"/>
      <c r="P463" s="159" t="s">
        <v>360</v>
      </c>
      <c r="Q463" s="159" t="s">
        <v>547</v>
      </c>
      <c r="R463" s="159" t="s">
        <v>1377</v>
      </c>
      <c r="S463" s="165">
        <v>1.8748880509370999E-2</v>
      </c>
      <c r="T463" s="166" t="s">
        <v>372</v>
      </c>
      <c r="U463" s="166"/>
      <c r="V463" s="166"/>
      <c r="W463" s="167">
        <f>IF(BetTable[Sport]="","",BetTable[Stake]+BetTable[S2]+BetTable[S3])</f>
        <v>32</v>
      </c>
      <c r="X463" s="164">
        <f>IF(BetTable[Odds]="","",(BetTable[WBA1-Commission])-BetTable[TS])</f>
        <v>22.4</v>
      </c>
      <c r="Y463" s="168">
        <f>IF(BetTable[Outcome]="","",BetTable[WBA1]+BetTable[WBA2]+BetTable[WBA3]-BetTable[TS])</f>
        <v>22.4</v>
      </c>
      <c r="Z463" s="164">
        <f>(((BetTable[Odds]-1)*BetTable[Stake])*(1-(BetTable[Comm %]))+BetTable[Stake])</f>
        <v>54.4</v>
      </c>
      <c r="AA463" s="164">
        <f>(((BetTable[O2]-1)*BetTable[S2])*(1-(BetTable[C% 2]))+BetTable[S2])</f>
        <v>0</v>
      </c>
      <c r="AB463" s="164">
        <f>(((BetTable[O3]-1)*BetTable[S3])*(1-(BetTable[C% 3]))+BetTable[S3])</f>
        <v>0</v>
      </c>
      <c r="AC463" s="165">
        <f>IFERROR(IF(BetTable[Sport]="","",BetTable[R1]/BetTable[TS]),"")</f>
        <v>0.7</v>
      </c>
      <c r="AD463" s="165" t="str">
        <f>IF(BetTable[O2]="","",#REF!/BetTable[TS])</f>
        <v/>
      </c>
      <c r="AE463" s="165" t="str">
        <f>IFERROR(IF(BetTable[Sport]="","",#REF!/BetTable[TS]),"")</f>
        <v/>
      </c>
      <c r="AF463" s="164">
        <f>IF(BetTable[Outcome]="Win",BetTable[WBA1-Commission],IF(BetTable[Outcome]="Win Half Stake",(BetTable[Stake]/2)+BetTable[WBA1-Commission]/2,IF(BetTable[Outcome]="Lose Half Stake",BetTable[Stake]/2,IF(BetTable[Outcome]="Lose",0,IF(BetTable[Outcome]="Void",BetTable[Stake],)))))</f>
        <v>54.4</v>
      </c>
      <c r="AG463" s="164">
        <f>IF(BetTable[Outcome2]="Win",BetTable[WBA2-Commission],IF(BetTable[Outcome2]="Win Half Stake",(BetTable[S2]/2)+BetTable[WBA2-Commission]/2,IF(BetTable[Outcome2]="Lose Half Stake",BetTable[S2]/2,IF(BetTable[Outcome2]="Lose",0,IF(BetTable[Outcome2]="Void",BetTable[S2],)))))</f>
        <v>0</v>
      </c>
      <c r="AH463" s="164">
        <f>IF(BetTable[Outcome3]="Win",BetTable[WBA3-Commission],IF(BetTable[Outcome3]="Win Half Stake",(BetTable[S3]/2)+BetTable[WBA3-Commission]/2,IF(BetTable[Outcome3]="Lose Half Stake",BetTable[S3]/2,IF(BetTable[Outcome3]="Lose",0,IF(BetTable[Outcome3]="Void",BetTable[S3],)))))</f>
        <v>0</v>
      </c>
      <c r="AI463" s="168">
        <f>IF(BetTable[Outcome]="",AI462,BetTable[Result]+AI462)</f>
        <v>888.05425000000037</v>
      </c>
      <c r="AJ463" s="160"/>
    </row>
    <row r="464" spans="1:36" x14ac:dyDescent="0.2">
      <c r="A464" s="159" t="s">
        <v>1202</v>
      </c>
      <c r="B464" s="160" t="s">
        <v>9</v>
      </c>
      <c r="C464" s="161" t="s">
        <v>91</v>
      </c>
      <c r="D464" s="161"/>
      <c r="E464" s="161"/>
      <c r="F464" s="162"/>
      <c r="G464" s="162"/>
      <c r="H464" s="162"/>
      <c r="I464" s="160" t="s">
        <v>1378</v>
      </c>
      <c r="J464" s="163">
        <v>2.21</v>
      </c>
      <c r="K464" s="163"/>
      <c r="L464" s="163"/>
      <c r="M464" s="164">
        <v>30</v>
      </c>
      <c r="N464" s="164"/>
      <c r="O464" s="164"/>
      <c r="P464" s="159" t="s">
        <v>782</v>
      </c>
      <c r="Q464" s="159" t="s">
        <v>1379</v>
      </c>
      <c r="R464" s="159" t="s">
        <v>1380</v>
      </c>
      <c r="S464" s="165">
        <v>3.0604447170109302E-2</v>
      </c>
      <c r="T464" s="166" t="s">
        <v>382</v>
      </c>
      <c r="U464" s="166"/>
      <c r="V464" s="166"/>
      <c r="W464" s="167">
        <f>IF(BetTable[Sport]="","",BetTable[Stake]+BetTable[S2]+BetTable[S3])</f>
        <v>30</v>
      </c>
      <c r="X464" s="164">
        <f>IF(BetTable[Odds]="","",(BetTable[WBA1-Commission])-BetTable[TS])</f>
        <v>36.299999999999997</v>
      </c>
      <c r="Y464" s="168">
        <f>IF(BetTable[Outcome]="","",BetTable[WBA1]+BetTable[WBA2]+BetTable[WBA3]-BetTable[TS])</f>
        <v>-30</v>
      </c>
      <c r="Z464" s="164">
        <f>(((BetTable[Odds]-1)*BetTable[Stake])*(1-(BetTable[Comm %]))+BetTable[Stake])</f>
        <v>66.3</v>
      </c>
      <c r="AA464" s="164">
        <f>(((BetTable[O2]-1)*BetTable[S2])*(1-(BetTable[C% 2]))+BetTable[S2])</f>
        <v>0</v>
      </c>
      <c r="AB464" s="164">
        <f>(((BetTable[O3]-1)*BetTable[S3])*(1-(BetTable[C% 3]))+BetTable[S3])</f>
        <v>0</v>
      </c>
      <c r="AC464" s="165">
        <f>IFERROR(IF(BetTable[Sport]="","",BetTable[R1]/BetTable[TS]),"")</f>
        <v>1.21</v>
      </c>
      <c r="AD464" s="165" t="str">
        <f>IF(BetTable[O2]="","",#REF!/BetTable[TS])</f>
        <v/>
      </c>
      <c r="AE464" s="165" t="str">
        <f>IFERROR(IF(BetTable[Sport]="","",#REF!/BetTable[TS]),"")</f>
        <v/>
      </c>
      <c r="AF464" s="164">
        <f>IF(BetTable[Outcome]="Win",BetTable[WBA1-Commission],IF(BetTable[Outcome]="Win Half Stake",(BetTable[Stake]/2)+BetTable[WBA1-Commission]/2,IF(BetTable[Outcome]="Lose Half Stake",BetTable[Stake]/2,IF(BetTable[Outcome]="Lose",0,IF(BetTable[Outcome]="Void",BetTable[Stake],)))))</f>
        <v>0</v>
      </c>
      <c r="AG464" s="164">
        <f>IF(BetTable[Outcome2]="Win",BetTable[WBA2-Commission],IF(BetTable[Outcome2]="Win Half Stake",(BetTable[S2]/2)+BetTable[WBA2-Commission]/2,IF(BetTable[Outcome2]="Lose Half Stake",BetTable[S2]/2,IF(BetTable[Outcome2]="Lose",0,IF(BetTable[Outcome2]="Void",BetTable[S2],)))))</f>
        <v>0</v>
      </c>
      <c r="AH464" s="164">
        <f>IF(BetTable[Outcome3]="Win",BetTable[WBA3-Commission],IF(BetTable[Outcome3]="Win Half Stake",(BetTable[S3]/2)+BetTable[WBA3-Commission]/2,IF(BetTable[Outcome3]="Lose Half Stake",BetTable[S3]/2,IF(BetTable[Outcome3]="Lose",0,IF(BetTable[Outcome3]="Void",BetTable[S3],)))))</f>
        <v>0</v>
      </c>
      <c r="AI464" s="168">
        <f>IF(BetTable[Outcome]="",AI463,BetTable[Result]+AI463)</f>
        <v>858.05425000000037</v>
      </c>
      <c r="AJ464" s="160"/>
    </row>
    <row r="465" spans="1:36" x14ac:dyDescent="0.2">
      <c r="A465" s="159" t="s">
        <v>1202</v>
      </c>
      <c r="B465" s="160" t="s">
        <v>200</v>
      </c>
      <c r="C465" s="161" t="s">
        <v>91</v>
      </c>
      <c r="D465" s="161"/>
      <c r="E465" s="161"/>
      <c r="F465" s="162"/>
      <c r="G465" s="162"/>
      <c r="H465" s="162"/>
      <c r="I465" s="160" t="s">
        <v>1381</v>
      </c>
      <c r="J465" s="163">
        <v>1.67</v>
      </c>
      <c r="K465" s="163"/>
      <c r="L465" s="163"/>
      <c r="M465" s="164">
        <v>29</v>
      </c>
      <c r="N465" s="164"/>
      <c r="O465" s="164"/>
      <c r="P465" s="159" t="s">
        <v>652</v>
      </c>
      <c r="Q465" s="159" t="s">
        <v>547</v>
      </c>
      <c r="R465" s="159" t="s">
        <v>1382</v>
      </c>
      <c r="S465" s="165">
        <v>1.6219096073112501E-2</v>
      </c>
      <c r="T465" s="166" t="s">
        <v>510</v>
      </c>
      <c r="U465" s="166"/>
      <c r="V465" s="166"/>
      <c r="W465" s="167">
        <f>IF(BetTable[Sport]="","",BetTable[Stake]+BetTable[S2]+BetTable[S3])</f>
        <v>29</v>
      </c>
      <c r="X465" s="164">
        <f>IF(BetTable[Odds]="","",(BetTable[WBA1-Commission])-BetTable[TS])</f>
        <v>19.43</v>
      </c>
      <c r="Y465" s="168">
        <f>IF(BetTable[Outcome]="","",BetTable[WBA1]+BetTable[WBA2]+BetTable[WBA3]-BetTable[TS])</f>
        <v>9.7150000000000034</v>
      </c>
      <c r="Z465" s="164">
        <f>(((BetTable[Odds]-1)*BetTable[Stake])*(1-(BetTable[Comm %]))+BetTable[Stake])</f>
        <v>48.43</v>
      </c>
      <c r="AA465" s="164">
        <f>(((BetTable[O2]-1)*BetTable[S2])*(1-(BetTable[C% 2]))+BetTable[S2])</f>
        <v>0</v>
      </c>
      <c r="AB465" s="164">
        <f>(((BetTable[O3]-1)*BetTable[S3])*(1-(BetTable[C% 3]))+BetTable[S3])</f>
        <v>0</v>
      </c>
      <c r="AC465" s="165">
        <f>IFERROR(IF(BetTable[Sport]="","",BetTable[R1]/BetTable[TS]),"")</f>
        <v>0.67</v>
      </c>
      <c r="AD465" s="165" t="str">
        <f>IF(BetTable[O2]="","",#REF!/BetTable[TS])</f>
        <v/>
      </c>
      <c r="AE465" s="165" t="str">
        <f>IFERROR(IF(BetTable[Sport]="","",#REF!/BetTable[TS]),"")</f>
        <v/>
      </c>
      <c r="AF465" s="164">
        <f>IF(BetTable[Outcome]="Win",BetTable[WBA1-Commission],IF(BetTable[Outcome]="Win Half Stake",(BetTable[Stake]/2)+BetTable[WBA1-Commission]/2,IF(BetTable[Outcome]="Lose Half Stake",BetTable[Stake]/2,IF(BetTable[Outcome]="Lose",0,IF(BetTable[Outcome]="Void",BetTable[Stake],)))))</f>
        <v>38.715000000000003</v>
      </c>
      <c r="AG465" s="164">
        <f>IF(BetTable[Outcome2]="Win",BetTable[WBA2-Commission],IF(BetTable[Outcome2]="Win Half Stake",(BetTable[S2]/2)+BetTable[WBA2-Commission]/2,IF(BetTable[Outcome2]="Lose Half Stake",BetTable[S2]/2,IF(BetTable[Outcome2]="Lose",0,IF(BetTable[Outcome2]="Void",BetTable[S2],)))))</f>
        <v>0</v>
      </c>
      <c r="AH465" s="164">
        <f>IF(BetTable[Outcome3]="Win",BetTable[WBA3-Commission],IF(BetTable[Outcome3]="Win Half Stake",(BetTable[S3]/2)+BetTable[WBA3-Commission]/2,IF(BetTable[Outcome3]="Lose Half Stake",BetTable[S3]/2,IF(BetTable[Outcome3]="Lose",0,IF(BetTable[Outcome3]="Void",BetTable[S3],)))))</f>
        <v>0</v>
      </c>
      <c r="AI465" s="168">
        <f>IF(BetTable[Outcome]="",AI464,BetTable[Result]+AI464)</f>
        <v>867.7692500000004</v>
      </c>
      <c r="AJ465" s="160"/>
    </row>
    <row r="466" spans="1:36" x14ac:dyDescent="0.2">
      <c r="A466" s="159" t="s">
        <v>1202</v>
      </c>
      <c r="B466" s="160" t="s">
        <v>200</v>
      </c>
      <c r="C466" s="161" t="s">
        <v>234</v>
      </c>
      <c r="D466" s="161"/>
      <c r="E466" s="161"/>
      <c r="F466" s="162"/>
      <c r="G466" s="162"/>
      <c r="H466" s="162"/>
      <c r="I466" s="160" t="s">
        <v>1383</v>
      </c>
      <c r="J466" s="163">
        <v>1.85</v>
      </c>
      <c r="K466" s="163"/>
      <c r="L466" s="163"/>
      <c r="M466" s="164">
        <v>44</v>
      </c>
      <c r="N466" s="164"/>
      <c r="O466" s="164"/>
      <c r="P466" s="159" t="s">
        <v>864</v>
      </c>
      <c r="Q466" s="159" t="s">
        <v>547</v>
      </c>
      <c r="R466" s="159" t="s">
        <v>1384</v>
      </c>
      <c r="S466" s="165">
        <v>3.09531622025573E-2</v>
      </c>
      <c r="T466" s="166" t="s">
        <v>549</v>
      </c>
      <c r="U466" s="166"/>
      <c r="V466" s="166"/>
      <c r="W466" s="167">
        <f>IF(BetTable[Sport]="","",BetTable[Stake]+BetTable[S2]+BetTable[S3])</f>
        <v>44</v>
      </c>
      <c r="X466" s="164">
        <f>IF(BetTable[Odds]="","",(BetTable[WBA1-Commission])-BetTable[TS])</f>
        <v>37.400000000000006</v>
      </c>
      <c r="Y466" s="168">
        <f>IF(BetTable[Outcome]="","",BetTable[WBA1]+BetTable[WBA2]+BetTable[WBA3]-BetTable[TS])</f>
        <v>-22</v>
      </c>
      <c r="Z466" s="164">
        <f>(((BetTable[Odds]-1)*BetTable[Stake])*(1-(BetTable[Comm %]))+BetTable[Stake])</f>
        <v>81.400000000000006</v>
      </c>
      <c r="AA466" s="164">
        <f>(((BetTable[O2]-1)*BetTable[S2])*(1-(BetTable[C% 2]))+BetTable[S2])</f>
        <v>0</v>
      </c>
      <c r="AB466" s="164">
        <f>(((BetTable[O3]-1)*BetTable[S3])*(1-(BetTable[C% 3]))+BetTable[S3])</f>
        <v>0</v>
      </c>
      <c r="AC466" s="165">
        <f>IFERROR(IF(BetTable[Sport]="","",BetTable[R1]/BetTable[TS]),"")</f>
        <v>0.85000000000000009</v>
      </c>
      <c r="AD466" s="165" t="str">
        <f>IF(BetTable[O2]="","",#REF!/BetTable[TS])</f>
        <v/>
      </c>
      <c r="AE466" s="165" t="str">
        <f>IFERROR(IF(BetTable[Sport]="","",#REF!/BetTable[TS]),"")</f>
        <v/>
      </c>
      <c r="AF466" s="164">
        <f>IF(BetTable[Outcome]="Win",BetTable[WBA1-Commission],IF(BetTable[Outcome]="Win Half Stake",(BetTable[Stake]/2)+BetTable[WBA1-Commission]/2,IF(BetTable[Outcome]="Lose Half Stake",BetTable[Stake]/2,IF(BetTable[Outcome]="Lose",0,IF(BetTable[Outcome]="Void",BetTable[Stake],)))))</f>
        <v>22</v>
      </c>
      <c r="AG466" s="164">
        <f>IF(BetTable[Outcome2]="Win",BetTable[WBA2-Commission],IF(BetTable[Outcome2]="Win Half Stake",(BetTable[S2]/2)+BetTable[WBA2-Commission]/2,IF(BetTable[Outcome2]="Lose Half Stake",BetTable[S2]/2,IF(BetTable[Outcome2]="Lose",0,IF(BetTable[Outcome2]="Void",BetTable[S2],)))))</f>
        <v>0</v>
      </c>
      <c r="AH466" s="164">
        <f>IF(BetTable[Outcome3]="Win",BetTable[WBA3-Commission],IF(BetTable[Outcome3]="Win Half Stake",(BetTable[S3]/2)+BetTable[WBA3-Commission]/2,IF(BetTable[Outcome3]="Lose Half Stake",BetTable[S3]/2,IF(BetTable[Outcome3]="Lose",0,IF(BetTable[Outcome3]="Void",BetTable[S3],)))))</f>
        <v>0</v>
      </c>
      <c r="AI466" s="168">
        <f>IF(BetTable[Outcome]="",AI465,BetTable[Result]+AI465)</f>
        <v>845.7692500000004</v>
      </c>
      <c r="AJ466" s="160"/>
    </row>
    <row r="467" spans="1:36" x14ac:dyDescent="0.2">
      <c r="A467" s="159" t="s">
        <v>1202</v>
      </c>
      <c r="B467" s="160" t="s">
        <v>200</v>
      </c>
      <c r="C467" s="161" t="s">
        <v>91</v>
      </c>
      <c r="D467" s="161"/>
      <c r="E467" s="161"/>
      <c r="F467" s="162"/>
      <c r="G467" s="162"/>
      <c r="H467" s="162"/>
      <c r="I467" s="160" t="s">
        <v>1385</v>
      </c>
      <c r="J467" s="163">
        <v>1.96</v>
      </c>
      <c r="K467" s="163"/>
      <c r="L467" s="163"/>
      <c r="M467" s="164">
        <v>22</v>
      </c>
      <c r="N467" s="164"/>
      <c r="O467" s="164"/>
      <c r="P467" s="159" t="s">
        <v>469</v>
      </c>
      <c r="Q467" s="159" t="s">
        <v>547</v>
      </c>
      <c r="R467" s="159" t="s">
        <v>1386</v>
      </c>
      <c r="S467" s="165">
        <v>1.7658272914071099E-2</v>
      </c>
      <c r="T467" s="166" t="s">
        <v>372</v>
      </c>
      <c r="U467" s="166"/>
      <c r="V467" s="166"/>
      <c r="W467" s="167">
        <f>IF(BetTable[Sport]="","",BetTable[Stake]+BetTable[S2]+BetTable[S3])</f>
        <v>22</v>
      </c>
      <c r="X467" s="164">
        <f>IF(BetTable[Odds]="","",(BetTable[WBA1-Commission])-BetTable[TS])</f>
        <v>21.119999999999997</v>
      </c>
      <c r="Y467" s="168">
        <f>IF(BetTable[Outcome]="","",BetTable[WBA1]+BetTable[WBA2]+BetTable[WBA3]-BetTable[TS])</f>
        <v>21.119999999999997</v>
      </c>
      <c r="Z467" s="164">
        <f>(((BetTable[Odds]-1)*BetTable[Stake])*(1-(BetTable[Comm %]))+BetTable[Stake])</f>
        <v>43.12</v>
      </c>
      <c r="AA467" s="164">
        <f>(((BetTable[O2]-1)*BetTable[S2])*(1-(BetTable[C% 2]))+BetTable[S2])</f>
        <v>0</v>
      </c>
      <c r="AB467" s="164">
        <f>(((BetTable[O3]-1)*BetTable[S3])*(1-(BetTable[C% 3]))+BetTable[S3])</f>
        <v>0</v>
      </c>
      <c r="AC467" s="165">
        <f>IFERROR(IF(BetTable[Sport]="","",BetTable[R1]/BetTable[TS]),"")</f>
        <v>0.95999999999999985</v>
      </c>
      <c r="AD467" s="165" t="str">
        <f>IF(BetTable[O2]="","",#REF!/BetTable[TS])</f>
        <v/>
      </c>
      <c r="AE467" s="165" t="str">
        <f>IFERROR(IF(BetTable[Sport]="","",#REF!/BetTable[TS]),"")</f>
        <v/>
      </c>
      <c r="AF467" s="164">
        <f>IF(BetTable[Outcome]="Win",BetTable[WBA1-Commission],IF(BetTable[Outcome]="Win Half Stake",(BetTable[Stake]/2)+BetTable[WBA1-Commission]/2,IF(BetTable[Outcome]="Lose Half Stake",BetTable[Stake]/2,IF(BetTable[Outcome]="Lose",0,IF(BetTable[Outcome]="Void",BetTable[Stake],)))))</f>
        <v>43.12</v>
      </c>
      <c r="AG467" s="164">
        <f>IF(BetTable[Outcome2]="Win",BetTable[WBA2-Commission],IF(BetTable[Outcome2]="Win Half Stake",(BetTable[S2]/2)+BetTable[WBA2-Commission]/2,IF(BetTable[Outcome2]="Lose Half Stake",BetTable[S2]/2,IF(BetTable[Outcome2]="Lose",0,IF(BetTable[Outcome2]="Void",BetTable[S2],)))))</f>
        <v>0</v>
      </c>
      <c r="AH467" s="164">
        <f>IF(BetTable[Outcome3]="Win",BetTable[WBA3-Commission],IF(BetTable[Outcome3]="Win Half Stake",(BetTable[S3]/2)+BetTable[WBA3-Commission]/2,IF(BetTable[Outcome3]="Lose Half Stake",BetTable[S3]/2,IF(BetTable[Outcome3]="Lose",0,IF(BetTable[Outcome3]="Void",BetTable[S3],)))))</f>
        <v>0</v>
      </c>
      <c r="AI467" s="168">
        <f>IF(BetTable[Outcome]="",AI466,BetTable[Result]+AI466)</f>
        <v>866.8892500000004</v>
      </c>
      <c r="AJ467" s="160"/>
    </row>
    <row r="468" spans="1:36" x14ac:dyDescent="0.2">
      <c r="A468" s="159" t="s">
        <v>1202</v>
      </c>
      <c r="B468" s="160" t="s">
        <v>200</v>
      </c>
      <c r="C468" s="161" t="s">
        <v>91</v>
      </c>
      <c r="D468" s="161"/>
      <c r="E468" s="161"/>
      <c r="F468" s="162"/>
      <c r="G468" s="162"/>
      <c r="H468" s="162"/>
      <c r="I468" s="160" t="s">
        <v>1387</v>
      </c>
      <c r="J468" s="163">
        <v>1.8</v>
      </c>
      <c r="K468" s="163"/>
      <c r="L468" s="163"/>
      <c r="M468" s="164">
        <v>26</v>
      </c>
      <c r="N468" s="164"/>
      <c r="O468" s="164"/>
      <c r="P468" s="159" t="s">
        <v>688</v>
      </c>
      <c r="Q468" s="159" t="s">
        <v>581</v>
      </c>
      <c r="R468" s="159" t="s">
        <v>1388</v>
      </c>
      <c r="S468" s="165">
        <v>1.7463708734554301E-2</v>
      </c>
      <c r="T468" s="166" t="s">
        <v>372</v>
      </c>
      <c r="U468" s="166"/>
      <c r="V468" s="166"/>
      <c r="W468" s="167">
        <f>IF(BetTable[Sport]="","",BetTable[Stake]+BetTable[S2]+BetTable[S3])</f>
        <v>26</v>
      </c>
      <c r="X468" s="164">
        <f>IF(BetTable[Odds]="","",(BetTable[WBA1-Commission])-BetTable[TS])</f>
        <v>20.799999999999997</v>
      </c>
      <c r="Y468" s="168">
        <f>IF(BetTable[Outcome]="","",BetTable[WBA1]+BetTable[WBA2]+BetTable[WBA3]-BetTable[TS])</f>
        <v>20.799999999999997</v>
      </c>
      <c r="Z468" s="164">
        <f>(((BetTable[Odds]-1)*BetTable[Stake])*(1-(BetTable[Comm %]))+BetTable[Stake])</f>
        <v>46.8</v>
      </c>
      <c r="AA468" s="164">
        <f>(((BetTable[O2]-1)*BetTable[S2])*(1-(BetTable[C% 2]))+BetTable[S2])</f>
        <v>0</v>
      </c>
      <c r="AB468" s="164">
        <f>(((BetTable[O3]-1)*BetTable[S3])*(1-(BetTable[C% 3]))+BetTable[S3])</f>
        <v>0</v>
      </c>
      <c r="AC468" s="165">
        <f>IFERROR(IF(BetTable[Sport]="","",BetTable[R1]/BetTable[TS]),"")</f>
        <v>0.79999999999999993</v>
      </c>
      <c r="AD468" s="165" t="str">
        <f>IF(BetTable[O2]="","",#REF!/BetTable[TS])</f>
        <v/>
      </c>
      <c r="AE468" s="165" t="str">
        <f>IFERROR(IF(BetTable[Sport]="","",#REF!/BetTable[TS]),"")</f>
        <v/>
      </c>
      <c r="AF468" s="164">
        <f>IF(BetTable[Outcome]="Win",BetTable[WBA1-Commission],IF(BetTable[Outcome]="Win Half Stake",(BetTable[Stake]/2)+BetTable[WBA1-Commission]/2,IF(BetTable[Outcome]="Lose Half Stake",BetTable[Stake]/2,IF(BetTable[Outcome]="Lose",0,IF(BetTable[Outcome]="Void",BetTable[Stake],)))))</f>
        <v>46.8</v>
      </c>
      <c r="AG468" s="164">
        <f>IF(BetTable[Outcome2]="Win",BetTable[WBA2-Commission],IF(BetTable[Outcome2]="Win Half Stake",(BetTable[S2]/2)+BetTable[WBA2-Commission]/2,IF(BetTable[Outcome2]="Lose Half Stake",BetTable[S2]/2,IF(BetTable[Outcome2]="Lose",0,IF(BetTable[Outcome2]="Void",BetTable[S2],)))))</f>
        <v>0</v>
      </c>
      <c r="AH468" s="164">
        <f>IF(BetTable[Outcome3]="Win",BetTable[WBA3-Commission],IF(BetTable[Outcome3]="Win Half Stake",(BetTable[S3]/2)+BetTable[WBA3-Commission]/2,IF(BetTable[Outcome3]="Lose Half Stake",BetTable[S3]/2,IF(BetTable[Outcome3]="Lose",0,IF(BetTable[Outcome3]="Void",BetTable[S3],)))))</f>
        <v>0</v>
      </c>
      <c r="AI468" s="168">
        <f>IF(BetTable[Outcome]="",AI467,BetTable[Result]+AI467)</f>
        <v>887.68925000000036</v>
      </c>
      <c r="AJ468" s="160"/>
    </row>
    <row r="469" spans="1:36" x14ac:dyDescent="0.2">
      <c r="A469" s="159" t="s">
        <v>1202</v>
      </c>
      <c r="B469" s="160" t="s">
        <v>200</v>
      </c>
      <c r="C469" s="161" t="s">
        <v>91</v>
      </c>
      <c r="D469" s="161"/>
      <c r="E469" s="161"/>
      <c r="F469" s="162"/>
      <c r="G469" s="162"/>
      <c r="H469" s="162"/>
      <c r="I469" s="160" t="s">
        <v>1325</v>
      </c>
      <c r="J469" s="163">
        <v>2.17</v>
      </c>
      <c r="K469" s="163"/>
      <c r="L469" s="163"/>
      <c r="M469" s="164">
        <v>18</v>
      </c>
      <c r="N469" s="164"/>
      <c r="O469" s="164"/>
      <c r="P469" s="159" t="s">
        <v>1389</v>
      </c>
      <c r="Q469" s="159" t="s">
        <v>547</v>
      </c>
      <c r="R469" s="159" t="s">
        <v>1390</v>
      </c>
      <c r="S469" s="165">
        <v>1.7774028481292701E-2</v>
      </c>
      <c r="T469" s="166" t="s">
        <v>382</v>
      </c>
      <c r="U469" s="166"/>
      <c r="V469" s="166"/>
      <c r="W469" s="167">
        <f>IF(BetTable[Sport]="","",BetTable[Stake]+BetTable[S2]+BetTable[S3])</f>
        <v>18</v>
      </c>
      <c r="X469" s="164">
        <f>IF(BetTable[Odds]="","",(BetTable[WBA1-Commission])-BetTable[TS])</f>
        <v>21.060000000000002</v>
      </c>
      <c r="Y469" s="168">
        <f>IF(BetTable[Outcome]="","",BetTable[WBA1]+BetTable[WBA2]+BetTable[WBA3]-BetTable[TS])</f>
        <v>-18</v>
      </c>
      <c r="Z469" s="164">
        <f>(((BetTable[Odds]-1)*BetTable[Stake])*(1-(BetTable[Comm %]))+BetTable[Stake])</f>
        <v>39.06</v>
      </c>
      <c r="AA469" s="164">
        <f>(((BetTable[O2]-1)*BetTable[S2])*(1-(BetTable[C% 2]))+BetTable[S2])</f>
        <v>0</v>
      </c>
      <c r="AB469" s="164">
        <f>(((BetTable[O3]-1)*BetTable[S3])*(1-(BetTable[C% 3]))+BetTable[S3])</f>
        <v>0</v>
      </c>
      <c r="AC469" s="165">
        <f>IFERROR(IF(BetTable[Sport]="","",BetTable[R1]/BetTable[TS]),"")</f>
        <v>1.1700000000000002</v>
      </c>
      <c r="AD469" s="165" t="str">
        <f>IF(BetTable[O2]="","",#REF!/BetTable[TS])</f>
        <v/>
      </c>
      <c r="AE469" s="165" t="str">
        <f>IFERROR(IF(BetTable[Sport]="","",#REF!/BetTable[TS]),"")</f>
        <v/>
      </c>
      <c r="AF469" s="164">
        <f>IF(BetTable[Outcome]="Win",BetTable[WBA1-Commission],IF(BetTable[Outcome]="Win Half Stake",(BetTable[Stake]/2)+BetTable[WBA1-Commission]/2,IF(BetTable[Outcome]="Lose Half Stake",BetTable[Stake]/2,IF(BetTable[Outcome]="Lose",0,IF(BetTable[Outcome]="Void",BetTable[Stake],)))))</f>
        <v>0</v>
      </c>
      <c r="AG469" s="164">
        <f>IF(BetTable[Outcome2]="Win",BetTable[WBA2-Commission],IF(BetTable[Outcome2]="Win Half Stake",(BetTable[S2]/2)+BetTable[WBA2-Commission]/2,IF(BetTable[Outcome2]="Lose Half Stake",BetTable[S2]/2,IF(BetTable[Outcome2]="Lose",0,IF(BetTable[Outcome2]="Void",BetTable[S2],)))))</f>
        <v>0</v>
      </c>
      <c r="AH469" s="164">
        <f>IF(BetTable[Outcome3]="Win",BetTable[WBA3-Commission],IF(BetTable[Outcome3]="Win Half Stake",(BetTable[S3]/2)+BetTable[WBA3-Commission]/2,IF(BetTable[Outcome3]="Lose Half Stake",BetTable[S3]/2,IF(BetTable[Outcome3]="Lose",0,IF(BetTable[Outcome3]="Void",BetTable[S3],)))))</f>
        <v>0</v>
      </c>
      <c r="AI469" s="168">
        <f>IF(BetTable[Outcome]="",AI468,BetTable[Result]+AI468)</f>
        <v>869.68925000000036</v>
      </c>
      <c r="AJ469" s="160"/>
    </row>
    <row r="470" spans="1:36" x14ac:dyDescent="0.2">
      <c r="A470" s="159" t="s">
        <v>1202</v>
      </c>
      <c r="B470" s="160" t="s">
        <v>200</v>
      </c>
      <c r="C470" s="161" t="s">
        <v>234</v>
      </c>
      <c r="D470" s="161"/>
      <c r="E470" s="161"/>
      <c r="F470" s="162"/>
      <c r="G470" s="162"/>
      <c r="H470" s="162"/>
      <c r="I470" s="160" t="s">
        <v>1391</v>
      </c>
      <c r="J470" s="163">
        <v>1.98</v>
      </c>
      <c r="K470" s="163"/>
      <c r="L470" s="163"/>
      <c r="M470" s="164">
        <v>15</v>
      </c>
      <c r="N470" s="164"/>
      <c r="O470" s="164"/>
      <c r="P470" s="159" t="s">
        <v>864</v>
      </c>
      <c r="Q470" s="159" t="s">
        <v>547</v>
      </c>
      <c r="R470" s="159" t="s">
        <v>1392</v>
      </c>
      <c r="S470" s="165">
        <v>1.22498847265314E-2</v>
      </c>
      <c r="T470" s="166" t="s">
        <v>382</v>
      </c>
      <c r="U470" s="166"/>
      <c r="V470" s="166"/>
      <c r="W470" s="167">
        <f>IF(BetTable[Sport]="","",BetTable[Stake]+BetTable[S2]+BetTable[S3])</f>
        <v>15</v>
      </c>
      <c r="X470" s="164">
        <f>IF(BetTable[Odds]="","",(BetTable[WBA1-Commission])-BetTable[TS])</f>
        <v>14.7</v>
      </c>
      <c r="Y470" s="168">
        <f>IF(BetTable[Outcome]="","",BetTable[WBA1]+BetTable[WBA2]+BetTable[WBA3]-BetTable[TS])</f>
        <v>-15</v>
      </c>
      <c r="Z470" s="164">
        <f>(((BetTable[Odds]-1)*BetTable[Stake])*(1-(BetTable[Comm %]))+BetTable[Stake])</f>
        <v>29.7</v>
      </c>
      <c r="AA470" s="164">
        <f>(((BetTable[O2]-1)*BetTable[S2])*(1-(BetTable[C% 2]))+BetTable[S2])</f>
        <v>0</v>
      </c>
      <c r="AB470" s="164">
        <f>(((BetTable[O3]-1)*BetTable[S3])*(1-(BetTable[C% 3]))+BetTable[S3])</f>
        <v>0</v>
      </c>
      <c r="AC470" s="165">
        <f>IFERROR(IF(BetTable[Sport]="","",BetTable[R1]/BetTable[TS]),"")</f>
        <v>0.98</v>
      </c>
      <c r="AD470" s="165" t="str">
        <f>IF(BetTable[O2]="","",#REF!/BetTable[TS])</f>
        <v/>
      </c>
      <c r="AE470" s="165" t="str">
        <f>IFERROR(IF(BetTable[Sport]="","",#REF!/BetTable[TS]),"")</f>
        <v/>
      </c>
      <c r="AF470" s="164">
        <f>IF(BetTable[Outcome]="Win",BetTable[WBA1-Commission],IF(BetTable[Outcome]="Win Half Stake",(BetTable[Stake]/2)+BetTable[WBA1-Commission]/2,IF(BetTable[Outcome]="Lose Half Stake",BetTable[Stake]/2,IF(BetTable[Outcome]="Lose",0,IF(BetTable[Outcome]="Void",BetTable[Stake],)))))</f>
        <v>0</v>
      </c>
      <c r="AG470" s="164">
        <f>IF(BetTable[Outcome2]="Win",BetTable[WBA2-Commission],IF(BetTable[Outcome2]="Win Half Stake",(BetTable[S2]/2)+BetTable[WBA2-Commission]/2,IF(BetTable[Outcome2]="Lose Half Stake",BetTable[S2]/2,IF(BetTable[Outcome2]="Lose",0,IF(BetTable[Outcome2]="Void",BetTable[S2],)))))</f>
        <v>0</v>
      </c>
      <c r="AH470" s="164">
        <f>IF(BetTable[Outcome3]="Win",BetTable[WBA3-Commission],IF(BetTable[Outcome3]="Win Half Stake",(BetTable[S3]/2)+BetTable[WBA3-Commission]/2,IF(BetTable[Outcome3]="Lose Half Stake",BetTable[S3]/2,IF(BetTable[Outcome3]="Lose",0,IF(BetTable[Outcome3]="Void",BetTable[S3],)))))</f>
        <v>0</v>
      </c>
      <c r="AI470" s="168">
        <f>IF(BetTable[Outcome]="",AI469,BetTable[Result]+AI469)</f>
        <v>854.68925000000036</v>
      </c>
      <c r="AJ470" s="160"/>
    </row>
    <row r="471" spans="1:36" x14ac:dyDescent="0.2">
      <c r="A471" s="159" t="s">
        <v>1202</v>
      </c>
      <c r="B471" s="160" t="s">
        <v>200</v>
      </c>
      <c r="C471" s="161" t="s">
        <v>91</v>
      </c>
      <c r="D471" s="161"/>
      <c r="E471" s="161"/>
      <c r="F471" s="162"/>
      <c r="G471" s="162"/>
      <c r="H471" s="162"/>
      <c r="I471" s="160" t="s">
        <v>1385</v>
      </c>
      <c r="J471" s="163">
        <v>2.09</v>
      </c>
      <c r="K471" s="163"/>
      <c r="L471" s="163"/>
      <c r="M471" s="164">
        <v>21</v>
      </c>
      <c r="N471" s="164"/>
      <c r="O471" s="164"/>
      <c r="P471" s="159" t="s">
        <v>354</v>
      </c>
      <c r="Q471" s="159" t="s">
        <v>547</v>
      </c>
      <c r="R471" s="159" t="s">
        <v>1393</v>
      </c>
      <c r="S471" s="165">
        <v>1.9283963120231999E-2</v>
      </c>
      <c r="T471" s="166" t="s">
        <v>510</v>
      </c>
      <c r="U471" s="166"/>
      <c r="V471" s="166"/>
      <c r="W471" s="167">
        <f>IF(BetTable[Sport]="","",BetTable[Stake]+BetTable[S2]+BetTable[S3])</f>
        <v>21</v>
      </c>
      <c r="X471" s="164">
        <f>IF(BetTable[Odds]="","",(BetTable[WBA1-Commission])-BetTable[TS])</f>
        <v>22.89</v>
      </c>
      <c r="Y471" s="168">
        <f>IF(BetTable[Outcome]="","",BetTable[WBA1]+BetTable[WBA2]+BetTable[WBA3]-BetTable[TS])</f>
        <v>11.445</v>
      </c>
      <c r="Z471" s="164">
        <f>(((BetTable[Odds]-1)*BetTable[Stake])*(1-(BetTable[Comm %]))+BetTable[Stake])</f>
        <v>43.89</v>
      </c>
      <c r="AA471" s="164">
        <f>(((BetTable[O2]-1)*BetTable[S2])*(1-(BetTable[C% 2]))+BetTable[S2])</f>
        <v>0</v>
      </c>
      <c r="AB471" s="164">
        <f>(((BetTable[O3]-1)*BetTable[S3])*(1-(BetTable[C% 3]))+BetTable[S3])</f>
        <v>0</v>
      </c>
      <c r="AC471" s="165">
        <f>IFERROR(IF(BetTable[Sport]="","",BetTable[R1]/BetTable[TS]),"")</f>
        <v>1.0900000000000001</v>
      </c>
      <c r="AD471" s="165" t="str">
        <f>IF(BetTable[O2]="","",#REF!/BetTable[TS])</f>
        <v/>
      </c>
      <c r="AE471" s="165" t="str">
        <f>IFERROR(IF(BetTable[Sport]="","",#REF!/BetTable[TS]),"")</f>
        <v/>
      </c>
      <c r="AF471" s="164">
        <f>IF(BetTable[Outcome]="Win",BetTable[WBA1-Commission],IF(BetTable[Outcome]="Win Half Stake",(BetTable[Stake]/2)+BetTable[WBA1-Commission]/2,IF(BetTable[Outcome]="Lose Half Stake",BetTable[Stake]/2,IF(BetTable[Outcome]="Lose",0,IF(BetTable[Outcome]="Void",BetTable[Stake],)))))</f>
        <v>32.445</v>
      </c>
      <c r="AG471" s="164">
        <f>IF(BetTable[Outcome2]="Win",BetTable[WBA2-Commission],IF(BetTable[Outcome2]="Win Half Stake",(BetTable[S2]/2)+BetTable[WBA2-Commission]/2,IF(BetTable[Outcome2]="Lose Half Stake",BetTable[S2]/2,IF(BetTable[Outcome2]="Lose",0,IF(BetTable[Outcome2]="Void",BetTable[S2],)))))</f>
        <v>0</v>
      </c>
      <c r="AH471" s="164">
        <f>IF(BetTable[Outcome3]="Win",BetTable[WBA3-Commission],IF(BetTable[Outcome3]="Win Half Stake",(BetTable[S3]/2)+BetTable[WBA3-Commission]/2,IF(BetTable[Outcome3]="Lose Half Stake",BetTable[S3]/2,IF(BetTable[Outcome3]="Lose",0,IF(BetTable[Outcome3]="Void",BetTable[S3],)))))</f>
        <v>0</v>
      </c>
      <c r="AI471" s="168">
        <f>IF(BetTable[Outcome]="",AI470,BetTable[Result]+AI470)</f>
        <v>866.13425000000041</v>
      </c>
      <c r="AJ471" s="160"/>
    </row>
    <row r="472" spans="1:36" x14ac:dyDescent="0.2">
      <c r="A472" s="159" t="s">
        <v>1202</v>
      </c>
      <c r="B472" s="160" t="s">
        <v>200</v>
      </c>
      <c r="C472" s="161" t="s">
        <v>91</v>
      </c>
      <c r="D472" s="161"/>
      <c r="E472" s="161"/>
      <c r="F472" s="162"/>
      <c r="G472" s="162"/>
      <c r="H472" s="162"/>
      <c r="I472" s="160" t="s">
        <v>1394</v>
      </c>
      <c r="J472" s="163">
        <v>1.87</v>
      </c>
      <c r="K472" s="163"/>
      <c r="L472" s="163"/>
      <c r="M472" s="164">
        <v>23</v>
      </c>
      <c r="N472" s="164"/>
      <c r="O472" s="164"/>
      <c r="P472" s="159" t="s">
        <v>668</v>
      </c>
      <c r="Q472" s="159" t="s">
        <v>581</v>
      </c>
      <c r="R472" s="159" t="s">
        <v>1395</v>
      </c>
      <c r="S472" s="165">
        <v>1.67843186164463E-2</v>
      </c>
      <c r="T472" s="166" t="s">
        <v>382</v>
      </c>
      <c r="U472" s="166"/>
      <c r="V472" s="166"/>
      <c r="W472" s="167">
        <f>IF(BetTable[Sport]="","",BetTable[Stake]+BetTable[S2]+BetTable[S3])</f>
        <v>23</v>
      </c>
      <c r="X472" s="164">
        <f>IF(BetTable[Odds]="","",(BetTable[WBA1-Commission])-BetTable[TS])</f>
        <v>20.010000000000005</v>
      </c>
      <c r="Y472" s="168">
        <f>IF(BetTable[Outcome]="","",BetTable[WBA1]+BetTable[WBA2]+BetTable[WBA3]-BetTable[TS])</f>
        <v>-23</v>
      </c>
      <c r="Z472" s="164">
        <f>(((BetTable[Odds]-1)*BetTable[Stake])*(1-(BetTable[Comm %]))+BetTable[Stake])</f>
        <v>43.010000000000005</v>
      </c>
      <c r="AA472" s="164">
        <f>(((BetTable[O2]-1)*BetTable[S2])*(1-(BetTable[C% 2]))+BetTable[S2])</f>
        <v>0</v>
      </c>
      <c r="AB472" s="164">
        <f>(((BetTable[O3]-1)*BetTable[S3])*(1-(BetTable[C% 3]))+BetTable[S3])</f>
        <v>0</v>
      </c>
      <c r="AC472" s="165">
        <f>IFERROR(IF(BetTable[Sport]="","",BetTable[R1]/BetTable[TS]),"")</f>
        <v>0.87000000000000022</v>
      </c>
      <c r="AD472" s="165" t="str">
        <f>IF(BetTable[O2]="","",#REF!/BetTable[TS])</f>
        <v/>
      </c>
      <c r="AE472" s="165" t="str">
        <f>IFERROR(IF(BetTable[Sport]="","",#REF!/BetTable[TS]),"")</f>
        <v/>
      </c>
      <c r="AF472" s="164">
        <f>IF(BetTable[Outcome]="Win",BetTable[WBA1-Commission],IF(BetTable[Outcome]="Win Half Stake",(BetTable[Stake]/2)+BetTable[WBA1-Commission]/2,IF(BetTable[Outcome]="Lose Half Stake",BetTable[Stake]/2,IF(BetTable[Outcome]="Lose",0,IF(BetTable[Outcome]="Void",BetTable[Stake],)))))</f>
        <v>0</v>
      </c>
      <c r="AG472" s="164">
        <f>IF(BetTable[Outcome2]="Win",BetTable[WBA2-Commission],IF(BetTable[Outcome2]="Win Half Stake",(BetTable[S2]/2)+BetTable[WBA2-Commission]/2,IF(BetTable[Outcome2]="Lose Half Stake",BetTable[S2]/2,IF(BetTable[Outcome2]="Lose",0,IF(BetTable[Outcome2]="Void",BetTable[S2],)))))</f>
        <v>0</v>
      </c>
      <c r="AH472" s="164">
        <f>IF(BetTable[Outcome3]="Win",BetTable[WBA3-Commission],IF(BetTable[Outcome3]="Win Half Stake",(BetTable[S3]/2)+BetTable[WBA3-Commission]/2,IF(BetTable[Outcome3]="Lose Half Stake",BetTable[S3]/2,IF(BetTable[Outcome3]="Lose",0,IF(BetTable[Outcome3]="Void",BetTable[S3],)))))</f>
        <v>0</v>
      </c>
      <c r="AI472" s="168">
        <f>IF(BetTable[Outcome]="",AI471,BetTable[Result]+AI471)</f>
        <v>843.13425000000041</v>
      </c>
      <c r="AJ472" s="160"/>
    </row>
    <row r="473" spans="1:36" x14ac:dyDescent="0.2">
      <c r="A473" s="159" t="s">
        <v>1202</v>
      </c>
      <c r="B473" s="160" t="s">
        <v>200</v>
      </c>
      <c r="C473" s="161" t="s">
        <v>91</v>
      </c>
      <c r="D473" s="161"/>
      <c r="E473" s="161"/>
      <c r="F473" s="162"/>
      <c r="G473" s="162"/>
      <c r="H473" s="162"/>
      <c r="I473" s="160" t="s">
        <v>1396</v>
      </c>
      <c r="J473" s="163">
        <v>2.04</v>
      </c>
      <c r="K473" s="163"/>
      <c r="L473" s="163"/>
      <c r="M473" s="164">
        <v>20</v>
      </c>
      <c r="N473" s="164"/>
      <c r="O473" s="164"/>
      <c r="P473" s="159" t="s">
        <v>354</v>
      </c>
      <c r="Q473" s="159" t="s">
        <v>581</v>
      </c>
      <c r="R473" s="159" t="s">
        <v>1397</v>
      </c>
      <c r="S473" s="165">
        <v>1.7698036675408799E-2</v>
      </c>
      <c r="T473" s="166" t="s">
        <v>382</v>
      </c>
      <c r="U473" s="166"/>
      <c r="V473" s="166"/>
      <c r="W473" s="167">
        <f>IF(BetTable[Sport]="","",BetTable[Stake]+BetTable[S2]+BetTable[S3])</f>
        <v>20</v>
      </c>
      <c r="X473" s="164">
        <f>IF(BetTable[Odds]="","",(BetTable[WBA1-Commission])-BetTable[TS])</f>
        <v>20.799999999999997</v>
      </c>
      <c r="Y473" s="168">
        <f>IF(BetTable[Outcome]="","",BetTable[WBA1]+BetTable[WBA2]+BetTable[WBA3]-BetTable[TS])</f>
        <v>-20</v>
      </c>
      <c r="Z473" s="164">
        <f>(((BetTable[Odds]-1)*BetTable[Stake])*(1-(BetTable[Comm %]))+BetTable[Stake])</f>
        <v>40.799999999999997</v>
      </c>
      <c r="AA473" s="164">
        <f>(((BetTable[O2]-1)*BetTable[S2])*(1-(BetTable[C% 2]))+BetTable[S2])</f>
        <v>0</v>
      </c>
      <c r="AB473" s="164">
        <f>(((BetTable[O3]-1)*BetTable[S3])*(1-(BetTable[C% 3]))+BetTable[S3])</f>
        <v>0</v>
      </c>
      <c r="AC473" s="165">
        <f>IFERROR(IF(BetTable[Sport]="","",BetTable[R1]/BetTable[TS]),"")</f>
        <v>1.0399999999999998</v>
      </c>
      <c r="AD473" s="165" t="str">
        <f>IF(BetTable[O2]="","",#REF!/BetTable[TS])</f>
        <v/>
      </c>
      <c r="AE473" s="165" t="str">
        <f>IFERROR(IF(BetTable[Sport]="","",#REF!/BetTable[TS]),"")</f>
        <v/>
      </c>
      <c r="AF473" s="164">
        <f>IF(BetTable[Outcome]="Win",BetTable[WBA1-Commission],IF(BetTable[Outcome]="Win Half Stake",(BetTable[Stake]/2)+BetTable[WBA1-Commission]/2,IF(BetTable[Outcome]="Lose Half Stake",BetTable[Stake]/2,IF(BetTable[Outcome]="Lose",0,IF(BetTable[Outcome]="Void",BetTable[Stake],)))))</f>
        <v>0</v>
      </c>
      <c r="AG473" s="164">
        <f>IF(BetTable[Outcome2]="Win",BetTable[WBA2-Commission],IF(BetTable[Outcome2]="Win Half Stake",(BetTable[S2]/2)+BetTable[WBA2-Commission]/2,IF(BetTable[Outcome2]="Lose Half Stake",BetTable[S2]/2,IF(BetTable[Outcome2]="Lose",0,IF(BetTable[Outcome2]="Void",BetTable[S2],)))))</f>
        <v>0</v>
      </c>
      <c r="AH473" s="164">
        <f>IF(BetTable[Outcome3]="Win",BetTable[WBA3-Commission],IF(BetTable[Outcome3]="Win Half Stake",(BetTable[S3]/2)+BetTable[WBA3-Commission]/2,IF(BetTable[Outcome3]="Lose Half Stake",BetTable[S3]/2,IF(BetTable[Outcome3]="Lose",0,IF(BetTable[Outcome3]="Void",BetTable[S3],)))))</f>
        <v>0</v>
      </c>
      <c r="AI473" s="168">
        <f>IF(BetTable[Outcome]="",AI472,BetTable[Result]+AI472)</f>
        <v>823.13425000000041</v>
      </c>
      <c r="AJ473" s="160"/>
    </row>
    <row r="474" spans="1:36" x14ac:dyDescent="0.2">
      <c r="A474" s="159" t="s">
        <v>1202</v>
      </c>
      <c r="B474" s="160" t="s">
        <v>7</v>
      </c>
      <c r="C474" s="161" t="s">
        <v>91</v>
      </c>
      <c r="D474" s="161"/>
      <c r="E474" s="161"/>
      <c r="F474" s="162"/>
      <c r="G474" s="162"/>
      <c r="H474" s="162"/>
      <c r="I474" s="160" t="s">
        <v>1398</v>
      </c>
      <c r="J474" s="163">
        <v>1.9</v>
      </c>
      <c r="K474" s="163"/>
      <c r="L474" s="163"/>
      <c r="M474" s="164">
        <v>47</v>
      </c>
      <c r="N474" s="164"/>
      <c r="O474" s="164"/>
      <c r="P474" s="159" t="s">
        <v>1399</v>
      </c>
      <c r="Q474" s="159" t="s">
        <v>1400</v>
      </c>
      <c r="R474" s="159" t="s">
        <v>1401</v>
      </c>
      <c r="S474" s="165">
        <v>3.5153320999983598E-2</v>
      </c>
      <c r="T474" s="166" t="s">
        <v>382</v>
      </c>
      <c r="U474" s="166"/>
      <c r="V474" s="166"/>
      <c r="W474" s="167">
        <f>IF(BetTable[Sport]="","",BetTable[Stake]+BetTable[S2]+BetTable[S3])</f>
        <v>47</v>
      </c>
      <c r="X474" s="164">
        <f>IF(BetTable[Odds]="","",(BetTable[WBA1-Commission])-BetTable[TS])</f>
        <v>42.3</v>
      </c>
      <c r="Y474" s="168">
        <f>IF(BetTable[Outcome]="","",BetTable[WBA1]+BetTable[WBA2]+BetTable[WBA3]-BetTable[TS])</f>
        <v>-47</v>
      </c>
      <c r="Z474" s="164">
        <f>(((BetTable[Odds]-1)*BetTable[Stake])*(1-(BetTable[Comm %]))+BetTable[Stake])</f>
        <v>89.3</v>
      </c>
      <c r="AA474" s="164">
        <f>(((BetTable[O2]-1)*BetTable[S2])*(1-(BetTable[C% 2]))+BetTable[S2])</f>
        <v>0</v>
      </c>
      <c r="AB474" s="164">
        <f>(((BetTable[O3]-1)*BetTable[S3])*(1-(BetTable[C% 3]))+BetTable[S3])</f>
        <v>0</v>
      </c>
      <c r="AC474" s="165">
        <f>IFERROR(IF(BetTable[Sport]="","",BetTable[R1]/BetTable[TS]),"")</f>
        <v>0.89999999999999991</v>
      </c>
      <c r="AD474" s="165" t="str">
        <f>IF(BetTable[O2]="","",#REF!/BetTable[TS])</f>
        <v/>
      </c>
      <c r="AE474" s="165" t="str">
        <f>IFERROR(IF(BetTable[Sport]="","",#REF!/BetTable[TS]),"")</f>
        <v/>
      </c>
      <c r="AF474" s="164">
        <f>IF(BetTable[Outcome]="Win",BetTable[WBA1-Commission],IF(BetTable[Outcome]="Win Half Stake",(BetTable[Stake]/2)+BetTable[WBA1-Commission]/2,IF(BetTable[Outcome]="Lose Half Stake",BetTable[Stake]/2,IF(BetTable[Outcome]="Lose",0,IF(BetTable[Outcome]="Void",BetTable[Stake],)))))</f>
        <v>0</v>
      </c>
      <c r="AG474" s="164">
        <f>IF(BetTable[Outcome2]="Win",BetTable[WBA2-Commission],IF(BetTable[Outcome2]="Win Half Stake",(BetTable[S2]/2)+BetTable[WBA2-Commission]/2,IF(BetTable[Outcome2]="Lose Half Stake",BetTable[S2]/2,IF(BetTable[Outcome2]="Lose",0,IF(BetTable[Outcome2]="Void",BetTable[S2],)))))</f>
        <v>0</v>
      </c>
      <c r="AH474" s="164">
        <f>IF(BetTable[Outcome3]="Win",BetTable[WBA3-Commission],IF(BetTable[Outcome3]="Win Half Stake",(BetTable[S3]/2)+BetTable[WBA3-Commission]/2,IF(BetTable[Outcome3]="Lose Half Stake",BetTable[S3]/2,IF(BetTable[Outcome3]="Lose",0,IF(BetTable[Outcome3]="Void",BetTable[S3],)))))</f>
        <v>0</v>
      </c>
      <c r="AI474" s="168">
        <f>IF(BetTable[Outcome]="",AI473,BetTable[Result]+AI473)</f>
        <v>776.13425000000041</v>
      </c>
      <c r="AJ474" s="160"/>
    </row>
    <row r="475" spans="1:36" x14ac:dyDescent="0.2">
      <c r="A475" s="159" t="s">
        <v>1202</v>
      </c>
      <c r="B475" s="160" t="s">
        <v>8</v>
      </c>
      <c r="C475" s="161" t="s">
        <v>216</v>
      </c>
      <c r="D475" s="161"/>
      <c r="E475" s="161"/>
      <c r="F475" s="162"/>
      <c r="G475" s="162"/>
      <c r="H475" s="162"/>
      <c r="I475" s="160" t="s">
        <v>1402</v>
      </c>
      <c r="J475" s="163">
        <v>1.556</v>
      </c>
      <c r="K475" s="163"/>
      <c r="L475" s="163"/>
      <c r="M475" s="164">
        <v>63</v>
      </c>
      <c r="N475" s="164"/>
      <c r="O475" s="164"/>
      <c r="P475" s="159" t="s">
        <v>428</v>
      </c>
      <c r="Q475" s="159" t="s">
        <v>1403</v>
      </c>
      <c r="R475" s="159" t="s">
        <v>1404</v>
      </c>
      <c r="S475" s="165">
        <v>2.94602438826654E-2</v>
      </c>
      <c r="T475" s="166" t="s">
        <v>372</v>
      </c>
      <c r="U475" s="166"/>
      <c r="V475" s="166"/>
      <c r="W475" s="167">
        <f>IF(BetTable[Sport]="","",BetTable[Stake]+BetTable[S2]+BetTable[S3])</f>
        <v>63</v>
      </c>
      <c r="X475" s="164">
        <f>IF(BetTable[Odds]="","",(BetTable[WBA1-Commission])-BetTable[TS])</f>
        <v>35.028000000000006</v>
      </c>
      <c r="Y475" s="168">
        <f>IF(BetTable[Outcome]="","",BetTable[WBA1]+BetTable[WBA2]+BetTable[WBA3]-BetTable[TS])</f>
        <v>35.028000000000006</v>
      </c>
      <c r="Z475" s="164">
        <f>(((BetTable[Odds]-1)*BetTable[Stake])*(1-(BetTable[Comm %]))+BetTable[Stake])</f>
        <v>98.028000000000006</v>
      </c>
      <c r="AA475" s="164">
        <f>(((BetTable[O2]-1)*BetTable[S2])*(1-(BetTable[C% 2]))+BetTable[S2])</f>
        <v>0</v>
      </c>
      <c r="AB475" s="164">
        <f>(((BetTable[O3]-1)*BetTable[S3])*(1-(BetTable[C% 3]))+BetTable[S3])</f>
        <v>0</v>
      </c>
      <c r="AC475" s="165">
        <f>IFERROR(IF(BetTable[Sport]="","",BetTable[R1]/BetTable[TS]),"")</f>
        <v>0.55600000000000005</v>
      </c>
      <c r="AD475" s="165" t="str">
        <f>IF(BetTable[O2]="","",#REF!/BetTable[TS])</f>
        <v/>
      </c>
      <c r="AE475" s="165" t="str">
        <f>IFERROR(IF(BetTable[Sport]="","",#REF!/BetTable[TS]),"")</f>
        <v/>
      </c>
      <c r="AF475" s="164">
        <f>IF(BetTable[Outcome]="Win",BetTable[WBA1-Commission],IF(BetTable[Outcome]="Win Half Stake",(BetTable[Stake]/2)+BetTable[WBA1-Commission]/2,IF(BetTable[Outcome]="Lose Half Stake",BetTable[Stake]/2,IF(BetTable[Outcome]="Lose",0,IF(BetTable[Outcome]="Void",BetTable[Stake],)))))</f>
        <v>98.028000000000006</v>
      </c>
      <c r="AG475" s="164">
        <f>IF(BetTable[Outcome2]="Win",BetTable[WBA2-Commission],IF(BetTable[Outcome2]="Win Half Stake",(BetTable[S2]/2)+BetTable[WBA2-Commission]/2,IF(BetTable[Outcome2]="Lose Half Stake",BetTable[S2]/2,IF(BetTable[Outcome2]="Lose",0,IF(BetTable[Outcome2]="Void",BetTable[S2],)))))</f>
        <v>0</v>
      </c>
      <c r="AH475" s="164">
        <f>IF(BetTable[Outcome3]="Win",BetTable[WBA3-Commission],IF(BetTable[Outcome3]="Win Half Stake",(BetTable[S3]/2)+BetTable[WBA3-Commission]/2,IF(BetTable[Outcome3]="Lose Half Stake",BetTable[S3]/2,IF(BetTable[Outcome3]="Lose",0,IF(BetTable[Outcome3]="Void",BetTable[S3],)))))</f>
        <v>0</v>
      </c>
      <c r="AI475" s="168">
        <f>IF(BetTable[Outcome]="",AI474,BetTable[Result]+AI474)</f>
        <v>811.16225000000043</v>
      </c>
      <c r="AJ475" s="160"/>
    </row>
    <row r="476" spans="1:36" x14ac:dyDescent="0.2">
      <c r="A476" s="159" t="s">
        <v>1202</v>
      </c>
      <c r="B476" s="160" t="s">
        <v>7</v>
      </c>
      <c r="C476" s="161" t="s">
        <v>91</v>
      </c>
      <c r="D476" s="161"/>
      <c r="E476" s="161"/>
      <c r="F476" s="162"/>
      <c r="G476" s="162"/>
      <c r="H476" s="162"/>
      <c r="I476" s="160" t="s">
        <v>1405</v>
      </c>
      <c r="J476" s="163">
        <v>2.04</v>
      </c>
      <c r="K476" s="163"/>
      <c r="L476" s="163"/>
      <c r="M476" s="164">
        <v>39</v>
      </c>
      <c r="N476" s="164"/>
      <c r="O476" s="164"/>
      <c r="P476" s="159" t="s">
        <v>1406</v>
      </c>
      <c r="Q476" s="159" t="s">
        <v>581</v>
      </c>
      <c r="R476" s="159" t="s">
        <v>1407</v>
      </c>
      <c r="S476" s="165">
        <v>3.3879317138939297E-2</v>
      </c>
      <c r="T476" s="166" t="s">
        <v>382</v>
      </c>
      <c r="U476" s="166"/>
      <c r="V476" s="166"/>
      <c r="W476" s="167">
        <f>IF(BetTable[Sport]="","",BetTable[Stake]+BetTable[S2]+BetTable[S3])</f>
        <v>39</v>
      </c>
      <c r="X476" s="164">
        <f>IF(BetTable[Odds]="","",(BetTable[WBA1-Commission])-BetTable[TS])</f>
        <v>40.56</v>
      </c>
      <c r="Y476" s="168">
        <f>IF(BetTable[Outcome]="","",BetTable[WBA1]+BetTable[WBA2]+BetTable[WBA3]-BetTable[TS])</f>
        <v>-39</v>
      </c>
      <c r="Z476" s="164">
        <f>(((BetTable[Odds]-1)*BetTable[Stake])*(1-(BetTable[Comm %]))+BetTable[Stake])</f>
        <v>79.56</v>
      </c>
      <c r="AA476" s="164">
        <f>(((BetTable[O2]-1)*BetTable[S2])*(1-(BetTable[C% 2]))+BetTable[S2])</f>
        <v>0</v>
      </c>
      <c r="AB476" s="164">
        <f>(((BetTable[O3]-1)*BetTable[S3])*(1-(BetTable[C% 3]))+BetTable[S3])</f>
        <v>0</v>
      </c>
      <c r="AC476" s="165">
        <f>IFERROR(IF(BetTable[Sport]="","",BetTable[R1]/BetTable[TS]),"")</f>
        <v>1.04</v>
      </c>
      <c r="AD476" s="165" t="str">
        <f>IF(BetTable[O2]="","",#REF!/BetTable[TS])</f>
        <v/>
      </c>
      <c r="AE476" s="165" t="str">
        <f>IFERROR(IF(BetTable[Sport]="","",#REF!/BetTable[TS]),"")</f>
        <v/>
      </c>
      <c r="AF476" s="164">
        <f>IF(BetTable[Outcome]="Win",BetTable[WBA1-Commission],IF(BetTable[Outcome]="Win Half Stake",(BetTable[Stake]/2)+BetTable[WBA1-Commission]/2,IF(BetTable[Outcome]="Lose Half Stake",BetTable[Stake]/2,IF(BetTable[Outcome]="Lose",0,IF(BetTable[Outcome]="Void",BetTable[Stake],)))))</f>
        <v>0</v>
      </c>
      <c r="AG476" s="164">
        <f>IF(BetTable[Outcome2]="Win",BetTable[WBA2-Commission],IF(BetTable[Outcome2]="Win Half Stake",(BetTable[S2]/2)+BetTable[WBA2-Commission]/2,IF(BetTable[Outcome2]="Lose Half Stake",BetTable[S2]/2,IF(BetTable[Outcome2]="Lose",0,IF(BetTable[Outcome2]="Void",BetTable[S2],)))))</f>
        <v>0</v>
      </c>
      <c r="AH476" s="164">
        <f>IF(BetTable[Outcome3]="Win",BetTable[WBA3-Commission],IF(BetTable[Outcome3]="Win Half Stake",(BetTable[S3]/2)+BetTable[WBA3-Commission]/2,IF(BetTable[Outcome3]="Lose Half Stake",BetTable[S3]/2,IF(BetTable[Outcome3]="Lose",0,IF(BetTable[Outcome3]="Void",BetTable[S3],)))))</f>
        <v>0</v>
      </c>
      <c r="AI476" s="168">
        <f>IF(BetTable[Outcome]="",AI475,BetTable[Result]+AI475)</f>
        <v>772.16225000000043</v>
      </c>
      <c r="AJ476" s="160"/>
    </row>
    <row r="477" spans="1:36" x14ac:dyDescent="0.2">
      <c r="A477" s="159" t="s">
        <v>1202</v>
      </c>
      <c r="B477" s="160" t="s">
        <v>200</v>
      </c>
      <c r="C477" s="161" t="s">
        <v>91</v>
      </c>
      <c r="D477" s="161"/>
      <c r="E477" s="161"/>
      <c r="F477" s="162"/>
      <c r="G477" s="162"/>
      <c r="H477" s="162"/>
      <c r="I477" s="160" t="s">
        <v>1408</v>
      </c>
      <c r="J477" s="163">
        <v>1.66</v>
      </c>
      <c r="K477" s="163"/>
      <c r="L477" s="163"/>
      <c r="M477" s="164">
        <v>32</v>
      </c>
      <c r="N477" s="164"/>
      <c r="O477" s="164"/>
      <c r="P477" s="159" t="s">
        <v>360</v>
      </c>
      <c r="Q477" s="159" t="s">
        <v>474</v>
      </c>
      <c r="R477" s="159" t="s">
        <v>1409</v>
      </c>
      <c r="S477" s="165">
        <v>1.7386397764232401E-2</v>
      </c>
      <c r="T477" s="166" t="s">
        <v>382</v>
      </c>
      <c r="U477" s="166"/>
      <c r="V477" s="166"/>
      <c r="W477" s="167">
        <f>IF(BetTable[Sport]="","",BetTable[Stake]+BetTable[S2]+BetTable[S3])</f>
        <v>32</v>
      </c>
      <c r="X477" s="164">
        <f>IF(BetTable[Odds]="","",(BetTable[WBA1-Commission])-BetTable[TS])</f>
        <v>21.119999999999997</v>
      </c>
      <c r="Y477" s="168">
        <f>IF(BetTable[Outcome]="","",BetTable[WBA1]+BetTable[WBA2]+BetTable[WBA3]-BetTable[TS])</f>
        <v>-32</v>
      </c>
      <c r="Z477" s="164">
        <f>(((BetTable[Odds]-1)*BetTable[Stake])*(1-(BetTable[Comm %]))+BetTable[Stake])</f>
        <v>53.12</v>
      </c>
      <c r="AA477" s="164">
        <f>(((BetTable[O2]-1)*BetTable[S2])*(1-(BetTable[C% 2]))+BetTable[S2])</f>
        <v>0</v>
      </c>
      <c r="AB477" s="164">
        <f>(((BetTable[O3]-1)*BetTable[S3])*(1-(BetTable[C% 3]))+BetTable[S3])</f>
        <v>0</v>
      </c>
      <c r="AC477" s="165">
        <f>IFERROR(IF(BetTable[Sport]="","",BetTable[R1]/BetTable[TS]),"")</f>
        <v>0.65999999999999992</v>
      </c>
      <c r="AD477" s="165" t="str">
        <f>IF(BetTable[O2]="","",#REF!/BetTable[TS])</f>
        <v/>
      </c>
      <c r="AE477" s="165" t="str">
        <f>IFERROR(IF(BetTable[Sport]="","",#REF!/BetTable[TS]),"")</f>
        <v/>
      </c>
      <c r="AF477" s="164">
        <f>IF(BetTable[Outcome]="Win",BetTable[WBA1-Commission],IF(BetTable[Outcome]="Win Half Stake",(BetTable[Stake]/2)+BetTable[WBA1-Commission]/2,IF(BetTable[Outcome]="Lose Half Stake",BetTable[Stake]/2,IF(BetTable[Outcome]="Lose",0,IF(BetTable[Outcome]="Void",BetTable[Stake],)))))</f>
        <v>0</v>
      </c>
      <c r="AG477" s="164">
        <f>IF(BetTable[Outcome2]="Win",BetTable[WBA2-Commission],IF(BetTable[Outcome2]="Win Half Stake",(BetTable[S2]/2)+BetTable[WBA2-Commission]/2,IF(BetTable[Outcome2]="Lose Half Stake",BetTable[S2]/2,IF(BetTable[Outcome2]="Lose",0,IF(BetTable[Outcome2]="Void",BetTable[S2],)))))</f>
        <v>0</v>
      </c>
      <c r="AH477" s="164">
        <f>IF(BetTable[Outcome3]="Win",BetTable[WBA3-Commission],IF(BetTable[Outcome3]="Win Half Stake",(BetTable[S3]/2)+BetTable[WBA3-Commission]/2,IF(BetTable[Outcome3]="Lose Half Stake",BetTable[S3]/2,IF(BetTable[Outcome3]="Lose",0,IF(BetTable[Outcome3]="Void",BetTable[S3],)))))</f>
        <v>0</v>
      </c>
      <c r="AI477" s="168">
        <f>IF(BetTable[Outcome]="",AI476,BetTable[Result]+AI476)</f>
        <v>740.16225000000043</v>
      </c>
      <c r="AJ477" s="160"/>
    </row>
    <row r="478" spans="1:36" x14ac:dyDescent="0.2">
      <c r="A478" s="159" t="s">
        <v>1202</v>
      </c>
      <c r="B478" s="160" t="s">
        <v>7</v>
      </c>
      <c r="C478" s="161" t="s">
        <v>216</v>
      </c>
      <c r="D478" s="161"/>
      <c r="E478" s="161"/>
      <c r="F478" s="162"/>
      <c r="G478" s="162"/>
      <c r="H478" s="162"/>
      <c r="I478" s="160" t="s">
        <v>1410</v>
      </c>
      <c r="J478" s="163">
        <v>1.667</v>
      </c>
      <c r="K478" s="163"/>
      <c r="L478" s="163"/>
      <c r="M478" s="164">
        <v>57</v>
      </c>
      <c r="N478" s="164"/>
      <c r="O478" s="164"/>
      <c r="P478" s="159" t="s">
        <v>428</v>
      </c>
      <c r="Q478" s="159" t="s">
        <v>491</v>
      </c>
      <c r="R478" s="159" t="s">
        <v>1411</v>
      </c>
      <c r="S478" s="165">
        <v>3.1607862617811698E-2</v>
      </c>
      <c r="T478" s="166" t="s">
        <v>382</v>
      </c>
      <c r="U478" s="166"/>
      <c r="V478" s="166"/>
      <c r="W478" s="167">
        <f>IF(BetTable[Sport]="","",BetTable[Stake]+BetTable[S2]+BetTable[S3])</f>
        <v>57</v>
      </c>
      <c r="X478" s="164">
        <f>IF(BetTable[Odds]="","",(BetTable[WBA1-Commission])-BetTable[TS])</f>
        <v>38.019000000000005</v>
      </c>
      <c r="Y478" s="168">
        <f>IF(BetTable[Outcome]="","",BetTable[WBA1]+BetTable[WBA2]+BetTable[WBA3]-BetTable[TS])</f>
        <v>-57</v>
      </c>
      <c r="Z478" s="164">
        <f>(((BetTable[Odds]-1)*BetTable[Stake])*(1-(BetTable[Comm %]))+BetTable[Stake])</f>
        <v>95.019000000000005</v>
      </c>
      <c r="AA478" s="164">
        <f>(((BetTable[O2]-1)*BetTable[S2])*(1-(BetTable[C% 2]))+BetTable[S2])</f>
        <v>0</v>
      </c>
      <c r="AB478" s="164">
        <f>(((BetTable[O3]-1)*BetTable[S3])*(1-(BetTable[C% 3]))+BetTable[S3])</f>
        <v>0</v>
      </c>
      <c r="AC478" s="165">
        <f>IFERROR(IF(BetTable[Sport]="","",BetTable[R1]/BetTable[TS]),"")</f>
        <v>0.66700000000000015</v>
      </c>
      <c r="AD478" s="165" t="str">
        <f>IF(BetTable[O2]="","",#REF!/BetTable[TS])</f>
        <v/>
      </c>
      <c r="AE478" s="165" t="str">
        <f>IFERROR(IF(BetTable[Sport]="","",#REF!/BetTable[TS]),"")</f>
        <v/>
      </c>
      <c r="AF478" s="164">
        <f>IF(BetTable[Outcome]="Win",BetTable[WBA1-Commission],IF(BetTable[Outcome]="Win Half Stake",(BetTable[Stake]/2)+BetTable[WBA1-Commission]/2,IF(BetTable[Outcome]="Lose Half Stake",BetTable[Stake]/2,IF(BetTable[Outcome]="Lose",0,IF(BetTable[Outcome]="Void",BetTable[Stake],)))))</f>
        <v>0</v>
      </c>
      <c r="AG478" s="164">
        <f>IF(BetTable[Outcome2]="Win",BetTable[WBA2-Commission],IF(BetTable[Outcome2]="Win Half Stake",(BetTable[S2]/2)+BetTable[WBA2-Commission]/2,IF(BetTable[Outcome2]="Lose Half Stake",BetTable[S2]/2,IF(BetTable[Outcome2]="Lose",0,IF(BetTable[Outcome2]="Void",BetTable[S2],)))))</f>
        <v>0</v>
      </c>
      <c r="AH478" s="164">
        <f>IF(BetTable[Outcome3]="Win",BetTable[WBA3-Commission],IF(BetTable[Outcome3]="Win Half Stake",(BetTable[S3]/2)+BetTable[WBA3-Commission]/2,IF(BetTable[Outcome3]="Lose Half Stake",BetTable[S3]/2,IF(BetTable[Outcome3]="Lose",0,IF(BetTable[Outcome3]="Void",BetTable[S3],)))))</f>
        <v>0</v>
      </c>
      <c r="AI478" s="168">
        <f>IF(BetTable[Outcome]="",AI477,BetTable[Result]+AI477)</f>
        <v>683.16225000000043</v>
      </c>
      <c r="AJ478" s="160"/>
    </row>
    <row r="479" spans="1:36" x14ac:dyDescent="0.2">
      <c r="A479" s="159" t="s">
        <v>1202</v>
      </c>
      <c r="B479" s="160" t="s">
        <v>200</v>
      </c>
      <c r="C479" s="161" t="s">
        <v>91</v>
      </c>
      <c r="D479" s="161"/>
      <c r="E479" s="161"/>
      <c r="F479" s="162"/>
      <c r="G479" s="162"/>
      <c r="H479" s="162"/>
      <c r="I479" s="160" t="s">
        <v>1412</v>
      </c>
      <c r="J479" s="163">
        <v>1.75</v>
      </c>
      <c r="K479" s="163"/>
      <c r="L479" s="163"/>
      <c r="M479" s="164">
        <v>24</v>
      </c>
      <c r="N479" s="164"/>
      <c r="O479" s="164"/>
      <c r="P479" s="159" t="s">
        <v>508</v>
      </c>
      <c r="Q479" s="159" t="s">
        <v>547</v>
      </c>
      <c r="R479" s="159" t="s">
        <v>1413</v>
      </c>
      <c r="S479" s="165">
        <v>1.5206917096157201E-2</v>
      </c>
      <c r="T479" s="166" t="s">
        <v>372</v>
      </c>
      <c r="U479" s="166"/>
      <c r="V479" s="166"/>
      <c r="W479" s="167">
        <f>IF(BetTable[Sport]="","",BetTable[Stake]+BetTable[S2]+BetTable[S3])</f>
        <v>24</v>
      </c>
      <c r="X479" s="164">
        <f>IF(BetTable[Odds]="","",(BetTable[WBA1-Commission])-BetTable[TS])</f>
        <v>18</v>
      </c>
      <c r="Y479" s="168">
        <f>IF(BetTable[Outcome]="","",BetTable[WBA1]+BetTable[WBA2]+BetTable[WBA3]-BetTable[TS])</f>
        <v>18</v>
      </c>
      <c r="Z479" s="164">
        <f>(((BetTable[Odds]-1)*BetTable[Stake])*(1-(BetTable[Comm %]))+BetTable[Stake])</f>
        <v>42</v>
      </c>
      <c r="AA479" s="164">
        <f>(((BetTable[O2]-1)*BetTable[S2])*(1-(BetTable[C% 2]))+BetTable[S2])</f>
        <v>0</v>
      </c>
      <c r="AB479" s="164">
        <f>(((BetTable[O3]-1)*BetTable[S3])*(1-(BetTable[C% 3]))+BetTable[S3])</f>
        <v>0</v>
      </c>
      <c r="AC479" s="165">
        <f>IFERROR(IF(BetTable[Sport]="","",BetTable[R1]/BetTable[TS]),"")</f>
        <v>0.75</v>
      </c>
      <c r="AD479" s="165" t="str">
        <f>IF(BetTable[O2]="","",#REF!/BetTable[TS])</f>
        <v/>
      </c>
      <c r="AE479" s="165" t="str">
        <f>IFERROR(IF(BetTable[Sport]="","",#REF!/BetTable[TS]),"")</f>
        <v/>
      </c>
      <c r="AF479" s="164">
        <f>IF(BetTable[Outcome]="Win",BetTable[WBA1-Commission],IF(BetTable[Outcome]="Win Half Stake",(BetTable[Stake]/2)+BetTable[WBA1-Commission]/2,IF(BetTable[Outcome]="Lose Half Stake",BetTable[Stake]/2,IF(BetTable[Outcome]="Lose",0,IF(BetTable[Outcome]="Void",BetTable[Stake],)))))</f>
        <v>42</v>
      </c>
      <c r="AG479" s="164">
        <f>IF(BetTable[Outcome2]="Win",BetTable[WBA2-Commission],IF(BetTable[Outcome2]="Win Half Stake",(BetTable[S2]/2)+BetTable[WBA2-Commission]/2,IF(BetTable[Outcome2]="Lose Half Stake",BetTable[S2]/2,IF(BetTable[Outcome2]="Lose",0,IF(BetTable[Outcome2]="Void",BetTable[S2],)))))</f>
        <v>0</v>
      </c>
      <c r="AH479" s="164">
        <f>IF(BetTable[Outcome3]="Win",BetTable[WBA3-Commission],IF(BetTable[Outcome3]="Win Half Stake",(BetTable[S3]/2)+BetTable[WBA3-Commission]/2,IF(BetTable[Outcome3]="Lose Half Stake",BetTable[S3]/2,IF(BetTable[Outcome3]="Lose",0,IF(BetTable[Outcome3]="Void",BetTable[S3],)))))</f>
        <v>0</v>
      </c>
      <c r="AI479" s="168">
        <f>IF(BetTable[Outcome]="",AI478,BetTable[Result]+AI478)</f>
        <v>701.16225000000043</v>
      </c>
      <c r="AJ479" s="160"/>
    </row>
    <row r="480" spans="1:36" x14ac:dyDescent="0.2">
      <c r="A480" s="159" t="s">
        <v>1202</v>
      </c>
      <c r="B480" s="160" t="s">
        <v>200</v>
      </c>
      <c r="C480" s="161" t="s">
        <v>91</v>
      </c>
      <c r="D480" s="161"/>
      <c r="E480" s="161"/>
      <c r="F480" s="162"/>
      <c r="G480" s="162"/>
      <c r="H480" s="162"/>
      <c r="I480" s="160" t="s">
        <v>1414</v>
      </c>
      <c r="J480" s="163">
        <v>1.73</v>
      </c>
      <c r="K480" s="163"/>
      <c r="L480" s="163"/>
      <c r="M480" s="164">
        <v>28</v>
      </c>
      <c r="N480" s="164"/>
      <c r="O480" s="164"/>
      <c r="P480" s="159" t="s">
        <v>668</v>
      </c>
      <c r="Q480" s="159" t="s">
        <v>547</v>
      </c>
      <c r="R480" s="159" t="s">
        <v>1415</v>
      </c>
      <c r="S480" s="165">
        <v>1.7293897978579401E-2</v>
      </c>
      <c r="T480" s="166" t="s">
        <v>372</v>
      </c>
      <c r="U480" s="166"/>
      <c r="V480" s="166"/>
      <c r="W480" s="167">
        <f>IF(BetTable[Sport]="","",BetTable[Stake]+BetTable[S2]+BetTable[S3])</f>
        <v>28</v>
      </c>
      <c r="X480" s="164">
        <f>IF(BetTable[Odds]="","",(BetTable[WBA1-Commission])-BetTable[TS])</f>
        <v>20.439999999999998</v>
      </c>
      <c r="Y480" s="168">
        <f>IF(BetTable[Outcome]="","",BetTable[WBA1]+BetTable[WBA2]+BetTable[WBA3]-BetTable[TS])</f>
        <v>20.439999999999998</v>
      </c>
      <c r="Z480" s="164">
        <f>(((BetTable[Odds]-1)*BetTable[Stake])*(1-(BetTable[Comm %]))+BetTable[Stake])</f>
        <v>48.44</v>
      </c>
      <c r="AA480" s="164">
        <f>(((BetTable[O2]-1)*BetTable[S2])*(1-(BetTable[C% 2]))+BetTable[S2])</f>
        <v>0</v>
      </c>
      <c r="AB480" s="164">
        <f>(((BetTable[O3]-1)*BetTable[S3])*(1-(BetTable[C% 3]))+BetTable[S3])</f>
        <v>0</v>
      </c>
      <c r="AC480" s="165">
        <f>IFERROR(IF(BetTable[Sport]="","",BetTable[R1]/BetTable[TS]),"")</f>
        <v>0.72999999999999987</v>
      </c>
      <c r="AD480" s="165" t="str">
        <f>IF(BetTable[O2]="","",#REF!/BetTable[TS])</f>
        <v/>
      </c>
      <c r="AE480" s="165" t="str">
        <f>IFERROR(IF(BetTable[Sport]="","",#REF!/BetTable[TS]),"")</f>
        <v/>
      </c>
      <c r="AF480" s="164">
        <f>IF(BetTable[Outcome]="Win",BetTable[WBA1-Commission],IF(BetTable[Outcome]="Win Half Stake",(BetTable[Stake]/2)+BetTable[WBA1-Commission]/2,IF(BetTable[Outcome]="Lose Half Stake",BetTable[Stake]/2,IF(BetTable[Outcome]="Lose",0,IF(BetTable[Outcome]="Void",BetTable[Stake],)))))</f>
        <v>48.44</v>
      </c>
      <c r="AG480" s="164">
        <f>IF(BetTable[Outcome2]="Win",BetTable[WBA2-Commission],IF(BetTable[Outcome2]="Win Half Stake",(BetTable[S2]/2)+BetTable[WBA2-Commission]/2,IF(BetTable[Outcome2]="Lose Half Stake",BetTable[S2]/2,IF(BetTable[Outcome2]="Lose",0,IF(BetTable[Outcome2]="Void",BetTable[S2],)))))</f>
        <v>0</v>
      </c>
      <c r="AH480" s="164">
        <f>IF(BetTable[Outcome3]="Win",BetTable[WBA3-Commission],IF(BetTable[Outcome3]="Win Half Stake",(BetTable[S3]/2)+BetTable[WBA3-Commission]/2,IF(BetTable[Outcome3]="Lose Half Stake",BetTable[S3]/2,IF(BetTable[Outcome3]="Lose",0,IF(BetTable[Outcome3]="Void",BetTable[S3],)))))</f>
        <v>0</v>
      </c>
      <c r="AI480" s="168">
        <f>IF(BetTable[Outcome]="",AI479,BetTable[Result]+AI479)</f>
        <v>721.60225000000037</v>
      </c>
      <c r="AJ480" s="160"/>
    </row>
    <row r="481" spans="1:36" x14ac:dyDescent="0.2">
      <c r="A481" s="159" t="s">
        <v>1416</v>
      </c>
      <c r="B481" s="160" t="s">
        <v>200</v>
      </c>
      <c r="C481" s="161" t="s">
        <v>91</v>
      </c>
      <c r="D481" s="161"/>
      <c r="E481" s="161"/>
      <c r="F481" s="162"/>
      <c r="G481" s="162"/>
      <c r="H481" s="162"/>
      <c r="I481" s="160" t="s">
        <v>1417</v>
      </c>
      <c r="J481" s="163">
        <v>1.92</v>
      </c>
      <c r="K481" s="163"/>
      <c r="L481" s="163"/>
      <c r="M481" s="164">
        <v>24</v>
      </c>
      <c r="N481" s="164"/>
      <c r="O481" s="164"/>
      <c r="P481" s="159" t="s">
        <v>1418</v>
      </c>
      <c r="Q481" s="159" t="s">
        <v>458</v>
      </c>
      <c r="R481" s="159" t="s">
        <v>1419</v>
      </c>
      <c r="S481" s="165">
        <v>1.8522641977904201E-2</v>
      </c>
      <c r="T481" s="166" t="s">
        <v>382</v>
      </c>
      <c r="U481" s="166"/>
      <c r="V481" s="166"/>
      <c r="W481" s="167">
        <f>IF(BetTable[Sport]="","",BetTable[Stake]+BetTable[S2]+BetTable[S3])</f>
        <v>24</v>
      </c>
      <c r="X481" s="164">
        <f>IF(BetTable[Odds]="","",(BetTable[WBA1-Commission])-BetTable[TS])</f>
        <v>22.08</v>
      </c>
      <c r="Y481" s="168">
        <f>IF(BetTable[Outcome]="","",BetTable[WBA1]+BetTable[WBA2]+BetTable[WBA3]-BetTable[TS])</f>
        <v>-24</v>
      </c>
      <c r="Z481" s="164">
        <f>(((BetTable[Odds]-1)*BetTable[Stake])*(1-(BetTable[Comm %]))+BetTable[Stake])</f>
        <v>46.08</v>
      </c>
      <c r="AA481" s="164">
        <f>(((BetTable[O2]-1)*BetTable[S2])*(1-(BetTable[C% 2]))+BetTable[S2])</f>
        <v>0</v>
      </c>
      <c r="AB481" s="164">
        <f>(((BetTable[O3]-1)*BetTable[S3])*(1-(BetTable[C% 3]))+BetTable[S3])</f>
        <v>0</v>
      </c>
      <c r="AC481" s="165">
        <f>IFERROR(IF(BetTable[Sport]="","",BetTable[R1]/BetTable[TS]),"")</f>
        <v>0.91999999999999993</v>
      </c>
      <c r="AD481" s="165" t="str">
        <f>IF(BetTable[O2]="","",#REF!/BetTable[TS])</f>
        <v/>
      </c>
      <c r="AE481" s="165" t="str">
        <f>IFERROR(IF(BetTable[Sport]="","",#REF!/BetTable[TS]),"")</f>
        <v/>
      </c>
      <c r="AF481" s="164">
        <f>IF(BetTable[Outcome]="Win",BetTable[WBA1-Commission],IF(BetTable[Outcome]="Win Half Stake",(BetTable[Stake]/2)+BetTable[WBA1-Commission]/2,IF(BetTable[Outcome]="Lose Half Stake",BetTable[Stake]/2,IF(BetTable[Outcome]="Lose",0,IF(BetTable[Outcome]="Void",BetTable[Stake],)))))</f>
        <v>0</v>
      </c>
      <c r="AG481" s="164">
        <f>IF(BetTable[Outcome2]="Win",BetTable[WBA2-Commission],IF(BetTable[Outcome2]="Win Half Stake",(BetTable[S2]/2)+BetTable[WBA2-Commission]/2,IF(BetTable[Outcome2]="Lose Half Stake",BetTable[S2]/2,IF(BetTable[Outcome2]="Lose",0,IF(BetTable[Outcome2]="Void",BetTable[S2],)))))</f>
        <v>0</v>
      </c>
      <c r="AH481" s="164">
        <f>IF(BetTable[Outcome3]="Win",BetTable[WBA3-Commission],IF(BetTable[Outcome3]="Win Half Stake",(BetTable[S3]/2)+BetTable[WBA3-Commission]/2,IF(BetTable[Outcome3]="Lose Half Stake",BetTable[S3]/2,IF(BetTable[Outcome3]="Lose",0,IF(BetTable[Outcome3]="Void",BetTable[S3],)))))</f>
        <v>0</v>
      </c>
      <c r="AI481" s="168">
        <f>IF(BetTable[Outcome]="",AI480,BetTable[Result]+AI480)</f>
        <v>697.60225000000037</v>
      </c>
      <c r="AJ481" s="160"/>
    </row>
    <row r="482" spans="1:36" x14ac:dyDescent="0.2">
      <c r="A482" s="159" t="s">
        <v>1416</v>
      </c>
      <c r="B482" s="160" t="s">
        <v>200</v>
      </c>
      <c r="C482" s="161" t="s">
        <v>91</v>
      </c>
      <c r="D482" s="161"/>
      <c r="E482" s="161"/>
      <c r="F482" s="162"/>
      <c r="G482" s="162"/>
      <c r="H482" s="162"/>
      <c r="I482" s="160" t="s">
        <v>1420</v>
      </c>
      <c r="J482" s="163">
        <v>1.8</v>
      </c>
      <c r="K482" s="163"/>
      <c r="L482" s="163"/>
      <c r="M482" s="164">
        <v>31</v>
      </c>
      <c r="N482" s="164"/>
      <c r="O482" s="164"/>
      <c r="P482" s="159" t="s">
        <v>508</v>
      </c>
      <c r="Q482" s="159" t="s">
        <v>945</v>
      </c>
      <c r="R482" s="159" t="s">
        <v>1421</v>
      </c>
      <c r="S482" s="165">
        <v>2.0857914282648701E-2</v>
      </c>
      <c r="T482" s="166" t="s">
        <v>372</v>
      </c>
      <c r="U482" s="166"/>
      <c r="V482" s="166"/>
      <c r="W482" s="167">
        <f>IF(BetTable[Sport]="","",BetTable[Stake]+BetTable[S2]+BetTable[S3])</f>
        <v>31</v>
      </c>
      <c r="X482" s="164">
        <f>IF(BetTable[Odds]="","",(BetTable[WBA1-Commission])-BetTable[TS])</f>
        <v>24.799999999999997</v>
      </c>
      <c r="Y482" s="168">
        <f>IF(BetTable[Outcome]="","",BetTable[WBA1]+BetTable[WBA2]+BetTable[WBA3]-BetTable[TS])</f>
        <v>24.799999999999997</v>
      </c>
      <c r="Z482" s="164">
        <f>(((BetTable[Odds]-1)*BetTable[Stake])*(1-(BetTable[Comm %]))+BetTable[Stake])</f>
        <v>55.8</v>
      </c>
      <c r="AA482" s="164">
        <f>(((BetTable[O2]-1)*BetTable[S2])*(1-(BetTable[C% 2]))+BetTable[S2])</f>
        <v>0</v>
      </c>
      <c r="AB482" s="164">
        <f>(((BetTable[O3]-1)*BetTable[S3])*(1-(BetTable[C% 3]))+BetTable[S3])</f>
        <v>0</v>
      </c>
      <c r="AC482" s="165">
        <f>IFERROR(IF(BetTable[Sport]="","",BetTable[R1]/BetTable[TS]),"")</f>
        <v>0.79999999999999993</v>
      </c>
      <c r="AD482" s="165" t="str">
        <f>IF(BetTable[O2]="","",#REF!/BetTable[TS])</f>
        <v/>
      </c>
      <c r="AE482" s="165" t="str">
        <f>IFERROR(IF(BetTable[Sport]="","",#REF!/BetTable[TS]),"")</f>
        <v/>
      </c>
      <c r="AF482" s="164">
        <f>IF(BetTable[Outcome]="Win",BetTable[WBA1-Commission],IF(BetTable[Outcome]="Win Half Stake",(BetTable[Stake]/2)+BetTable[WBA1-Commission]/2,IF(BetTable[Outcome]="Lose Half Stake",BetTable[Stake]/2,IF(BetTable[Outcome]="Lose",0,IF(BetTable[Outcome]="Void",BetTable[Stake],)))))</f>
        <v>55.8</v>
      </c>
      <c r="AG482" s="164">
        <f>IF(BetTable[Outcome2]="Win",BetTable[WBA2-Commission],IF(BetTable[Outcome2]="Win Half Stake",(BetTable[S2]/2)+BetTable[WBA2-Commission]/2,IF(BetTable[Outcome2]="Lose Half Stake",BetTable[S2]/2,IF(BetTable[Outcome2]="Lose",0,IF(BetTable[Outcome2]="Void",BetTable[S2],)))))</f>
        <v>0</v>
      </c>
      <c r="AH482" s="164">
        <f>IF(BetTable[Outcome3]="Win",BetTable[WBA3-Commission],IF(BetTable[Outcome3]="Win Half Stake",(BetTable[S3]/2)+BetTable[WBA3-Commission]/2,IF(BetTable[Outcome3]="Lose Half Stake",BetTable[S3]/2,IF(BetTable[Outcome3]="Lose",0,IF(BetTable[Outcome3]="Void",BetTable[S3],)))))</f>
        <v>0</v>
      </c>
      <c r="AI482" s="168">
        <f>IF(BetTable[Outcome]="",AI481,BetTable[Result]+AI481)</f>
        <v>722.40225000000032</v>
      </c>
      <c r="AJ482" s="160"/>
    </row>
    <row r="483" spans="1:36" x14ac:dyDescent="0.2">
      <c r="A483" s="159" t="s">
        <v>1416</v>
      </c>
      <c r="B483" s="160" t="s">
        <v>200</v>
      </c>
      <c r="C483" s="161" t="s">
        <v>91</v>
      </c>
      <c r="D483" s="161"/>
      <c r="E483" s="161"/>
      <c r="F483" s="162"/>
      <c r="G483" s="162"/>
      <c r="H483" s="162"/>
      <c r="I483" s="160" t="s">
        <v>1422</v>
      </c>
      <c r="J483" s="163">
        <v>1.74</v>
      </c>
      <c r="K483" s="163"/>
      <c r="L483" s="163"/>
      <c r="M483" s="164">
        <v>24</v>
      </c>
      <c r="N483" s="164"/>
      <c r="O483" s="164"/>
      <c r="P483" s="159" t="s">
        <v>354</v>
      </c>
      <c r="Q483" s="159" t="s">
        <v>547</v>
      </c>
      <c r="R483" s="159" t="s">
        <v>1423</v>
      </c>
      <c r="S483" s="165">
        <v>1.48507403304579E-2</v>
      </c>
      <c r="T483" s="166" t="s">
        <v>372</v>
      </c>
      <c r="U483" s="166"/>
      <c r="V483" s="166"/>
      <c r="W483" s="167">
        <f>IF(BetTable[Sport]="","",BetTable[Stake]+BetTable[S2]+BetTable[S3])</f>
        <v>24</v>
      </c>
      <c r="X483" s="164">
        <f>IF(BetTable[Odds]="","",(BetTable[WBA1-Commission])-BetTable[TS])</f>
        <v>17.759999999999998</v>
      </c>
      <c r="Y483" s="168">
        <f>IF(BetTable[Outcome]="","",BetTable[WBA1]+BetTable[WBA2]+BetTable[WBA3]-BetTable[TS])</f>
        <v>17.759999999999998</v>
      </c>
      <c r="Z483" s="164">
        <f>(((BetTable[Odds]-1)*BetTable[Stake])*(1-(BetTable[Comm %]))+BetTable[Stake])</f>
        <v>41.76</v>
      </c>
      <c r="AA483" s="164">
        <f>(((BetTable[O2]-1)*BetTable[S2])*(1-(BetTable[C% 2]))+BetTable[S2])</f>
        <v>0</v>
      </c>
      <c r="AB483" s="164">
        <f>(((BetTable[O3]-1)*BetTable[S3])*(1-(BetTable[C% 3]))+BetTable[S3])</f>
        <v>0</v>
      </c>
      <c r="AC483" s="165">
        <f>IFERROR(IF(BetTable[Sport]="","",BetTable[R1]/BetTable[TS]),"")</f>
        <v>0.73999999999999988</v>
      </c>
      <c r="AD483" s="165" t="str">
        <f>IF(BetTable[O2]="","",#REF!/BetTable[TS])</f>
        <v/>
      </c>
      <c r="AE483" s="165" t="str">
        <f>IFERROR(IF(BetTable[Sport]="","",#REF!/BetTable[TS]),"")</f>
        <v/>
      </c>
      <c r="AF483" s="164">
        <f>IF(BetTable[Outcome]="Win",BetTable[WBA1-Commission],IF(BetTable[Outcome]="Win Half Stake",(BetTable[Stake]/2)+BetTable[WBA1-Commission]/2,IF(BetTable[Outcome]="Lose Half Stake",BetTable[Stake]/2,IF(BetTable[Outcome]="Lose",0,IF(BetTable[Outcome]="Void",BetTable[Stake],)))))</f>
        <v>41.76</v>
      </c>
      <c r="AG483" s="164">
        <f>IF(BetTable[Outcome2]="Win",BetTable[WBA2-Commission],IF(BetTable[Outcome2]="Win Half Stake",(BetTable[S2]/2)+BetTable[WBA2-Commission]/2,IF(BetTable[Outcome2]="Lose Half Stake",BetTable[S2]/2,IF(BetTable[Outcome2]="Lose",0,IF(BetTable[Outcome2]="Void",BetTable[S2],)))))</f>
        <v>0</v>
      </c>
      <c r="AH483" s="164">
        <f>IF(BetTable[Outcome3]="Win",BetTable[WBA3-Commission],IF(BetTable[Outcome3]="Win Half Stake",(BetTable[S3]/2)+BetTable[WBA3-Commission]/2,IF(BetTable[Outcome3]="Lose Half Stake",BetTable[S3]/2,IF(BetTable[Outcome3]="Lose",0,IF(BetTable[Outcome3]="Void",BetTable[S3],)))))</f>
        <v>0</v>
      </c>
      <c r="AI483" s="168">
        <f>IF(BetTable[Outcome]="",AI482,BetTable[Result]+AI482)</f>
        <v>740.16225000000031</v>
      </c>
      <c r="AJ483" s="160"/>
    </row>
    <row r="484" spans="1:36" x14ac:dyDescent="0.2">
      <c r="A484" s="159" t="s">
        <v>1416</v>
      </c>
      <c r="B484" s="160" t="s">
        <v>200</v>
      </c>
      <c r="C484" s="161" t="s">
        <v>91</v>
      </c>
      <c r="D484" s="161"/>
      <c r="E484" s="161"/>
      <c r="F484" s="162"/>
      <c r="G484" s="162"/>
      <c r="H484" s="162"/>
      <c r="I484" s="160" t="s">
        <v>1424</v>
      </c>
      <c r="J484" s="163">
        <v>1.94</v>
      </c>
      <c r="K484" s="163"/>
      <c r="L484" s="163"/>
      <c r="M484" s="164">
        <v>22</v>
      </c>
      <c r="N484" s="164"/>
      <c r="O484" s="164"/>
      <c r="P484" s="159" t="s">
        <v>351</v>
      </c>
      <c r="Q484" s="159" t="s">
        <v>474</v>
      </c>
      <c r="R484" s="159" t="s">
        <v>1425</v>
      </c>
      <c r="S484" s="165">
        <v>1.7212684874384002E-2</v>
      </c>
      <c r="T484" s="166" t="s">
        <v>382</v>
      </c>
      <c r="U484" s="166"/>
      <c r="V484" s="166"/>
      <c r="W484" s="167">
        <f>IF(BetTable[Sport]="","",BetTable[Stake]+BetTable[S2]+BetTable[S3])</f>
        <v>22</v>
      </c>
      <c r="X484" s="164">
        <f>IF(BetTable[Odds]="","",(BetTable[WBA1-Commission])-BetTable[TS])</f>
        <v>20.68</v>
      </c>
      <c r="Y484" s="168">
        <f>IF(BetTable[Outcome]="","",BetTable[WBA1]+BetTable[WBA2]+BetTable[WBA3]-BetTable[TS])</f>
        <v>-22</v>
      </c>
      <c r="Z484" s="164">
        <f>(((BetTable[Odds]-1)*BetTable[Stake])*(1-(BetTable[Comm %]))+BetTable[Stake])</f>
        <v>42.68</v>
      </c>
      <c r="AA484" s="164">
        <f>(((BetTable[O2]-1)*BetTable[S2])*(1-(BetTable[C% 2]))+BetTable[S2])</f>
        <v>0</v>
      </c>
      <c r="AB484" s="164">
        <f>(((BetTable[O3]-1)*BetTable[S3])*(1-(BetTable[C% 3]))+BetTable[S3])</f>
        <v>0</v>
      </c>
      <c r="AC484" s="165">
        <f>IFERROR(IF(BetTable[Sport]="","",BetTable[R1]/BetTable[TS]),"")</f>
        <v>0.94</v>
      </c>
      <c r="AD484" s="165" t="str">
        <f>IF(BetTable[O2]="","",#REF!/BetTable[TS])</f>
        <v/>
      </c>
      <c r="AE484" s="165" t="str">
        <f>IFERROR(IF(BetTable[Sport]="","",#REF!/BetTable[TS]),"")</f>
        <v/>
      </c>
      <c r="AF484" s="164">
        <f>IF(BetTable[Outcome]="Win",BetTable[WBA1-Commission],IF(BetTable[Outcome]="Win Half Stake",(BetTable[Stake]/2)+BetTable[WBA1-Commission]/2,IF(BetTable[Outcome]="Lose Half Stake",BetTable[Stake]/2,IF(BetTable[Outcome]="Lose",0,IF(BetTable[Outcome]="Void",BetTable[Stake],)))))</f>
        <v>0</v>
      </c>
      <c r="AG484" s="164">
        <f>IF(BetTable[Outcome2]="Win",BetTable[WBA2-Commission],IF(BetTable[Outcome2]="Win Half Stake",(BetTable[S2]/2)+BetTable[WBA2-Commission]/2,IF(BetTable[Outcome2]="Lose Half Stake",BetTable[S2]/2,IF(BetTable[Outcome2]="Lose",0,IF(BetTable[Outcome2]="Void",BetTable[S2],)))))</f>
        <v>0</v>
      </c>
      <c r="AH484" s="164">
        <f>IF(BetTable[Outcome3]="Win",BetTable[WBA3-Commission],IF(BetTable[Outcome3]="Win Half Stake",(BetTable[S3]/2)+BetTable[WBA3-Commission]/2,IF(BetTable[Outcome3]="Lose Half Stake",BetTable[S3]/2,IF(BetTable[Outcome3]="Lose",0,IF(BetTable[Outcome3]="Void",BetTable[S3],)))))</f>
        <v>0</v>
      </c>
      <c r="AI484" s="168">
        <f>IF(BetTable[Outcome]="",AI483,BetTable[Result]+AI483)</f>
        <v>718.16225000000031</v>
      </c>
      <c r="AJ484" s="160"/>
    </row>
    <row r="485" spans="1:36" x14ac:dyDescent="0.2">
      <c r="A485" s="159" t="s">
        <v>1416</v>
      </c>
      <c r="B485" s="160" t="s">
        <v>8</v>
      </c>
      <c r="C485" s="161" t="s">
        <v>216</v>
      </c>
      <c r="D485" s="161"/>
      <c r="E485" s="161"/>
      <c r="F485" s="162"/>
      <c r="G485" s="162"/>
      <c r="H485" s="162"/>
      <c r="I485" s="160" t="s">
        <v>1426</v>
      </c>
      <c r="J485" s="163">
        <v>2.1</v>
      </c>
      <c r="K485" s="163"/>
      <c r="L485" s="163"/>
      <c r="M485" s="164">
        <v>39</v>
      </c>
      <c r="N485" s="164"/>
      <c r="O485" s="164"/>
      <c r="P485" s="159" t="s">
        <v>428</v>
      </c>
      <c r="Q485" s="159" t="s">
        <v>919</v>
      </c>
      <c r="R485" s="159" t="s">
        <v>1427</v>
      </c>
      <c r="S485" s="165">
        <v>3.5712467651091803E-2</v>
      </c>
      <c r="T485" s="166" t="s">
        <v>382</v>
      </c>
      <c r="U485" s="166"/>
      <c r="V485" s="166"/>
      <c r="W485" s="167">
        <f>IF(BetTable[Sport]="","",BetTable[Stake]+BetTable[S2]+BetTable[S3])</f>
        <v>39</v>
      </c>
      <c r="X485" s="164">
        <f>IF(BetTable[Odds]="","",(BetTable[WBA1-Commission])-BetTable[TS])</f>
        <v>42.900000000000006</v>
      </c>
      <c r="Y485" s="168">
        <f>IF(BetTable[Outcome]="","",BetTable[WBA1]+BetTable[WBA2]+BetTable[WBA3]-BetTable[TS])</f>
        <v>-39</v>
      </c>
      <c r="Z485" s="164">
        <f>(((BetTable[Odds]-1)*BetTable[Stake])*(1-(BetTable[Comm %]))+BetTable[Stake])</f>
        <v>81.900000000000006</v>
      </c>
      <c r="AA485" s="164">
        <f>(((BetTable[O2]-1)*BetTable[S2])*(1-(BetTable[C% 2]))+BetTable[S2])</f>
        <v>0</v>
      </c>
      <c r="AB485" s="164">
        <f>(((BetTable[O3]-1)*BetTable[S3])*(1-(BetTable[C% 3]))+BetTable[S3])</f>
        <v>0</v>
      </c>
      <c r="AC485" s="165">
        <f>IFERROR(IF(BetTable[Sport]="","",BetTable[R1]/BetTable[TS]),"")</f>
        <v>1.1000000000000001</v>
      </c>
      <c r="AD485" s="165" t="str">
        <f>IF(BetTable[O2]="","",#REF!/BetTable[TS])</f>
        <v/>
      </c>
      <c r="AE485" s="165" t="str">
        <f>IFERROR(IF(BetTable[Sport]="","",#REF!/BetTable[TS]),"")</f>
        <v/>
      </c>
      <c r="AF485" s="164">
        <f>IF(BetTable[Outcome]="Win",BetTable[WBA1-Commission],IF(BetTable[Outcome]="Win Half Stake",(BetTable[Stake]/2)+BetTable[WBA1-Commission]/2,IF(BetTable[Outcome]="Lose Half Stake",BetTable[Stake]/2,IF(BetTable[Outcome]="Lose",0,IF(BetTable[Outcome]="Void",BetTable[Stake],)))))</f>
        <v>0</v>
      </c>
      <c r="AG485" s="164">
        <f>IF(BetTable[Outcome2]="Win",BetTable[WBA2-Commission],IF(BetTable[Outcome2]="Win Half Stake",(BetTable[S2]/2)+BetTable[WBA2-Commission]/2,IF(BetTable[Outcome2]="Lose Half Stake",BetTable[S2]/2,IF(BetTable[Outcome2]="Lose",0,IF(BetTable[Outcome2]="Void",BetTable[S2],)))))</f>
        <v>0</v>
      </c>
      <c r="AH485" s="164">
        <f>IF(BetTable[Outcome3]="Win",BetTable[WBA3-Commission],IF(BetTable[Outcome3]="Win Half Stake",(BetTable[S3]/2)+BetTable[WBA3-Commission]/2,IF(BetTable[Outcome3]="Lose Half Stake",BetTable[S3]/2,IF(BetTable[Outcome3]="Lose",0,IF(BetTable[Outcome3]="Void",BetTable[S3],)))))</f>
        <v>0</v>
      </c>
      <c r="AI485" s="168">
        <f>IF(BetTable[Outcome]="",AI484,BetTable[Result]+AI484)</f>
        <v>679.16225000000031</v>
      </c>
      <c r="AJ485" s="160"/>
    </row>
    <row r="486" spans="1:36" x14ac:dyDescent="0.2">
      <c r="A486" s="159" t="s">
        <v>1416</v>
      </c>
      <c r="B486" s="160" t="s">
        <v>9</v>
      </c>
      <c r="C486" s="161" t="s">
        <v>216</v>
      </c>
      <c r="D486" s="161"/>
      <c r="E486" s="161"/>
      <c r="F486" s="162"/>
      <c r="G486" s="162"/>
      <c r="H486" s="162"/>
      <c r="I486" s="160" t="s">
        <v>1428</v>
      </c>
      <c r="J486" s="163">
        <v>3.2</v>
      </c>
      <c r="K486" s="163"/>
      <c r="L486" s="163"/>
      <c r="M486" s="164">
        <v>37</v>
      </c>
      <c r="N486" s="164"/>
      <c r="O486" s="164"/>
      <c r="P486" s="159" t="s">
        <v>1044</v>
      </c>
      <c r="Q486" s="159" t="s">
        <v>1429</v>
      </c>
      <c r="R486" s="159" t="s">
        <v>1430</v>
      </c>
      <c r="S486" s="165">
        <v>6.7838380570618501E-2</v>
      </c>
      <c r="T486" s="166" t="s">
        <v>382</v>
      </c>
      <c r="U486" s="166"/>
      <c r="V486" s="166"/>
      <c r="W486" s="167">
        <f>IF(BetTable[Sport]="","",BetTable[Stake]+BetTable[S2]+BetTable[S3])</f>
        <v>37</v>
      </c>
      <c r="X486" s="164">
        <f>IF(BetTable[Odds]="","",(BetTable[WBA1-Commission])-BetTable[TS])</f>
        <v>81.400000000000006</v>
      </c>
      <c r="Y486" s="168">
        <f>IF(BetTable[Outcome]="","",BetTable[WBA1]+BetTable[WBA2]+BetTable[WBA3]-BetTable[TS])</f>
        <v>-37</v>
      </c>
      <c r="Z486" s="164">
        <f>(((BetTable[Odds]-1)*BetTable[Stake])*(1-(BetTable[Comm %]))+BetTable[Stake])</f>
        <v>118.4</v>
      </c>
      <c r="AA486" s="164">
        <f>(((BetTable[O2]-1)*BetTable[S2])*(1-(BetTable[C% 2]))+BetTable[S2])</f>
        <v>0</v>
      </c>
      <c r="AB486" s="164">
        <f>(((BetTable[O3]-1)*BetTable[S3])*(1-(BetTable[C% 3]))+BetTable[S3])</f>
        <v>0</v>
      </c>
      <c r="AC486" s="165">
        <f>IFERROR(IF(BetTable[Sport]="","",BetTable[R1]/BetTable[TS]),"")</f>
        <v>2.2000000000000002</v>
      </c>
      <c r="AD486" s="165" t="str">
        <f>IF(BetTable[O2]="","",#REF!/BetTable[TS])</f>
        <v/>
      </c>
      <c r="AE486" s="165" t="str">
        <f>IFERROR(IF(BetTable[Sport]="","",#REF!/BetTable[TS]),"")</f>
        <v/>
      </c>
      <c r="AF486" s="164">
        <f>IF(BetTable[Outcome]="Win",BetTable[WBA1-Commission],IF(BetTable[Outcome]="Win Half Stake",(BetTable[Stake]/2)+BetTable[WBA1-Commission]/2,IF(BetTable[Outcome]="Lose Half Stake",BetTable[Stake]/2,IF(BetTable[Outcome]="Lose",0,IF(BetTable[Outcome]="Void",BetTable[Stake],)))))</f>
        <v>0</v>
      </c>
      <c r="AG486" s="164">
        <f>IF(BetTable[Outcome2]="Win",BetTable[WBA2-Commission],IF(BetTable[Outcome2]="Win Half Stake",(BetTable[S2]/2)+BetTable[WBA2-Commission]/2,IF(BetTable[Outcome2]="Lose Half Stake",BetTable[S2]/2,IF(BetTable[Outcome2]="Lose",0,IF(BetTable[Outcome2]="Void",BetTable[S2],)))))</f>
        <v>0</v>
      </c>
      <c r="AH486" s="164">
        <f>IF(BetTable[Outcome3]="Win",BetTable[WBA3-Commission],IF(BetTable[Outcome3]="Win Half Stake",(BetTable[S3]/2)+BetTable[WBA3-Commission]/2,IF(BetTable[Outcome3]="Lose Half Stake",BetTable[S3]/2,IF(BetTable[Outcome3]="Lose",0,IF(BetTable[Outcome3]="Void",BetTable[S3],)))))</f>
        <v>0</v>
      </c>
      <c r="AI486" s="168">
        <f>IF(BetTable[Outcome]="",AI485,BetTable[Result]+AI485)</f>
        <v>642.16225000000031</v>
      </c>
      <c r="AJ486" s="160"/>
    </row>
    <row r="487" spans="1:36" x14ac:dyDescent="0.2">
      <c r="A487" s="159" t="s">
        <v>1416</v>
      </c>
      <c r="B487" s="160" t="s">
        <v>9</v>
      </c>
      <c r="C487" s="161" t="s">
        <v>216</v>
      </c>
      <c r="D487" s="161"/>
      <c r="E487" s="161"/>
      <c r="F487" s="162"/>
      <c r="G487" s="162"/>
      <c r="H487" s="162"/>
      <c r="I487" s="160" t="s">
        <v>1431</v>
      </c>
      <c r="J487" s="163">
        <v>1.909</v>
      </c>
      <c r="K487" s="163"/>
      <c r="L487" s="163"/>
      <c r="M487" s="164">
        <v>36</v>
      </c>
      <c r="N487" s="164"/>
      <c r="O487" s="164"/>
      <c r="P487" s="159" t="s">
        <v>1044</v>
      </c>
      <c r="Q487" s="159" t="s">
        <v>461</v>
      </c>
      <c r="R487" s="159" t="s">
        <v>1432</v>
      </c>
      <c r="S487" s="165">
        <v>2.7010134559700201E-2</v>
      </c>
      <c r="T487" s="166" t="s">
        <v>372</v>
      </c>
      <c r="U487" s="166"/>
      <c r="V487" s="166"/>
      <c r="W487" s="167">
        <f>IF(BetTable[Sport]="","",BetTable[Stake]+BetTable[S2]+BetTable[S3])</f>
        <v>36</v>
      </c>
      <c r="X487" s="164">
        <f>IF(BetTable[Odds]="","",(BetTable[WBA1-Commission])-BetTable[TS])</f>
        <v>32.724000000000004</v>
      </c>
      <c r="Y487" s="168">
        <f>IF(BetTable[Outcome]="","",BetTable[WBA1]+BetTable[WBA2]+BetTable[WBA3]-BetTable[TS])</f>
        <v>32.724000000000004</v>
      </c>
      <c r="Z487" s="164">
        <f>(((BetTable[Odds]-1)*BetTable[Stake])*(1-(BetTable[Comm %]))+BetTable[Stake])</f>
        <v>68.724000000000004</v>
      </c>
      <c r="AA487" s="164">
        <f>(((BetTable[O2]-1)*BetTable[S2])*(1-(BetTable[C% 2]))+BetTable[S2])</f>
        <v>0</v>
      </c>
      <c r="AB487" s="164">
        <f>(((BetTable[O3]-1)*BetTable[S3])*(1-(BetTable[C% 3]))+BetTable[S3])</f>
        <v>0</v>
      </c>
      <c r="AC487" s="165">
        <f>IFERROR(IF(BetTable[Sport]="","",BetTable[R1]/BetTable[TS]),"")</f>
        <v>0.90900000000000014</v>
      </c>
      <c r="AD487" s="165" t="str">
        <f>IF(BetTable[O2]="","",#REF!/BetTable[TS])</f>
        <v/>
      </c>
      <c r="AE487" s="165" t="str">
        <f>IFERROR(IF(BetTable[Sport]="","",#REF!/BetTable[TS]),"")</f>
        <v/>
      </c>
      <c r="AF487" s="164">
        <f>IF(BetTable[Outcome]="Win",BetTable[WBA1-Commission],IF(BetTable[Outcome]="Win Half Stake",(BetTable[Stake]/2)+BetTable[WBA1-Commission]/2,IF(BetTable[Outcome]="Lose Half Stake",BetTable[Stake]/2,IF(BetTable[Outcome]="Lose",0,IF(BetTable[Outcome]="Void",BetTable[Stake],)))))</f>
        <v>68.724000000000004</v>
      </c>
      <c r="AG487" s="164">
        <f>IF(BetTable[Outcome2]="Win",BetTable[WBA2-Commission],IF(BetTable[Outcome2]="Win Half Stake",(BetTable[S2]/2)+BetTable[WBA2-Commission]/2,IF(BetTable[Outcome2]="Lose Half Stake",BetTable[S2]/2,IF(BetTable[Outcome2]="Lose",0,IF(BetTable[Outcome2]="Void",BetTable[S2],)))))</f>
        <v>0</v>
      </c>
      <c r="AH487" s="164">
        <f>IF(BetTable[Outcome3]="Win",BetTable[WBA3-Commission],IF(BetTable[Outcome3]="Win Half Stake",(BetTable[S3]/2)+BetTable[WBA3-Commission]/2,IF(BetTable[Outcome3]="Lose Half Stake",BetTable[S3]/2,IF(BetTable[Outcome3]="Lose",0,IF(BetTable[Outcome3]="Void",BetTable[S3],)))))</f>
        <v>0</v>
      </c>
      <c r="AI487" s="168">
        <f>IF(BetTable[Outcome]="",AI486,BetTable[Result]+AI486)</f>
        <v>674.88625000000036</v>
      </c>
      <c r="AJ487" s="160"/>
    </row>
    <row r="488" spans="1:36" x14ac:dyDescent="0.2">
      <c r="A488" s="159" t="s">
        <v>1416</v>
      </c>
      <c r="B488" s="160" t="s">
        <v>7</v>
      </c>
      <c r="C488" s="161" t="s">
        <v>216</v>
      </c>
      <c r="D488" s="161"/>
      <c r="E488" s="161"/>
      <c r="F488" s="162"/>
      <c r="G488" s="162"/>
      <c r="H488" s="162"/>
      <c r="I488" s="160" t="s">
        <v>1433</v>
      </c>
      <c r="J488" s="163">
        <v>1.4</v>
      </c>
      <c r="K488" s="163"/>
      <c r="L488" s="163"/>
      <c r="M488" s="164">
        <v>80</v>
      </c>
      <c r="N488" s="164"/>
      <c r="O488" s="164"/>
      <c r="P488" s="159" t="s">
        <v>435</v>
      </c>
      <c r="Q488" s="159" t="s">
        <v>968</v>
      </c>
      <c r="R488" s="159" t="s">
        <v>1434</v>
      </c>
      <c r="S488" s="165">
        <v>3.2362342325943899E-2</v>
      </c>
      <c r="T488" s="166" t="s">
        <v>372</v>
      </c>
      <c r="U488" s="166"/>
      <c r="V488" s="166"/>
      <c r="W488" s="167">
        <f>IF(BetTable[Sport]="","",BetTable[Stake]+BetTable[S2]+BetTable[S3])</f>
        <v>80</v>
      </c>
      <c r="X488" s="164">
        <f>IF(BetTable[Odds]="","",(BetTable[WBA1-Commission])-BetTable[TS])</f>
        <v>32</v>
      </c>
      <c r="Y488" s="168">
        <f>IF(BetTable[Outcome]="","",BetTable[WBA1]+BetTable[WBA2]+BetTable[WBA3]-BetTable[TS])</f>
        <v>32</v>
      </c>
      <c r="Z488" s="164">
        <f>(((BetTable[Odds]-1)*BetTable[Stake])*(1-(BetTable[Comm %]))+BetTable[Stake])</f>
        <v>112</v>
      </c>
      <c r="AA488" s="164">
        <f>(((BetTable[O2]-1)*BetTable[S2])*(1-(BetTable[C% 2]))+BetTable[S2])</f>
        <v>0</v>
      </c>
      <c r="AB488" s="164">
        <f>(((BetTable[O3]-1)*BetTable[S3])*(1-(BetTable[C% 3]))+BetTable[S3])</f>
        <v>0</v>
      </c>
      <c r="AC488" s="165">
        <f>IFERROR(IF(BetTable[Sport]="","",BetTable[R1]/BetTable[TS]),"")</f>
        <v>0.4</v>
      </c>
      <c r="AD488" s="165" t="str">
        <f>IF(BetTable[O2]="","",#REF!/BetTable[TS])</f>
        <v/>
      </c>
      <c r="AE488" s="165" t="str">
        <f>IFERROR(IF(BetTable[Sport]="","",#REF!/BetTable[TS]),"")</f>
        <v/>
      </c>
      <c r="AF488" s="164">
        <f>IF(BetTable[Outcome]="Win",BetTable[WBA1-Commission],IF(BetTable[Outcome]="Win Half Stake",(BetTable[Stake]/2)+BetTable[WBA1-Commission]/2,IF(BetTable[Outcome]="Lose Half Stake",BetTable[Stake]/2,IF(BetTable[Outcome]="Lose",0,IF(BetTable[Outcome]="Void",BetTable[Stake],)))))</f>
        <v>112</v>
      </c>
      <c r="AG488" s="164">
        <f>IF(BetTable[Outcome2]="Win",BetTable[WBA2-Commission],IF(BetTable[Outcome2]="Win Half Stake",(BetTable[S2]/2)+BetTable[WBA2-Commission]/2,IF(BetTable[Outcome2]="Lose Half Stake",BetTable[S2]/2,IF(BetTable[Outcome2]="Lose",0,IF(BetTable[Outcome2]="Void",BetTable[S2],)))))</f>
        <v>0</v>
      </c>
      <c r="AH488" s="164">
        <f>IF(BetTable[Outcome3]="Win",BetTable[WBA3-Commission],IF(BetTable[Outcome3]="Win Half Stake",(BetTable[S3]/2)+BetTable[WBA3-Commission]/2,IF(BetTable[Outcome3]="Lose Half Stake",BetTable[S3]/2,IF(BetTable[Outcome3]="Lose",0,IF(BetTable[Outcome3]="Void",BetTable[S3],)))))</f>
        <v>0</v>
      </c>
      <c r="AI488" s="168">
        <f>IF(BetTable[Outcome]="",AI487,BetTable[Result]+AI487)</f>
        <v>706.88625000000036</v>
      </c>
      <c r="AJ488" s="160"/>
    </row>
    <row r="489" spans="1:36" x14ac:dyDescent="0.2">
      <c r="A489" s="159" t="s">
        <v>1416</v>
      </c>
      <c r="B489" s="160" t="s">
        <v>7</v>
      </c>
      <c r="C489" s="161" t="s">
        <v>216</v>
      </c>
      <c r="D489" s="161"/>
      <c r="E489" s="161"/>
      <c r="F489" s="162"/>
      <c r="G489" s="162"/>
      <c r="H489" s="162"/>
      <c r="I489" s="160" t="s">
        <v>1435</v>
      </c>
      <c r="J489" s="163">
        <v>4.5</v>
      </c>
      <c r="K489" s="163"/>
      <c r="L489" s="163"/>
      <c r="M489" s="164">
        <v>24</v>
      </c>
      <c r="N489" s="164"/>
      <c r="O489" s="164"/>
      <c r="P489" s="159" t="s">
        <v>428</v>
      </c>
      <c r="Q489" s="159" t="s">
        <v>503</v>
      </c>
      <c r="R489" s="159" t="s">
        <v>1436</v>
      </c>
      <c r="S489" s="165">
        <v>6.9213128183945594E-2</v>
      </c>
      <c r="T489" s="166" t="s">
        <v>382</v>
      </c>
      <c r="U489" s="166"/>
      <c r="V489" s="166"/>
      <c r="W489" s="167">
        <f>IF(BetTable[Sport]="","",BetTable[Stake]+BetTable[S2]+BetTable[S3])</f>
        <v>24</v>
      </c>
      <c r="X489" s="164">
        <f>IF(BetTable[Odds]="","",(BetTable[WBA1-Commission])-BetTable[TS])</f>
        <v>84</v>
      </c>
      <c r="Y489" s="168">
        <f>IF(BetTable[Outcome]="","",BetTable[WBA1]+BetTable[WBA2]+BetTable[WBA3]-BetTable[TS])</f>
        <v>-24</v>
      </c>
      <c r="Z489" s="164">
        <f>(((BetTable[Odds]-1)*BetTable[Stake])*(1-(BetTable[Comm %]))+BetTable[Stake])</f>
        <v>108</v>
      </c>
      <c r="AA489" s="164">
        <f>(((BetTable[O2]-1)*BetTable[S2])*(1-(BetTable[C% 2]))+BetTable[S2])</f>
        <v>0</v>
      </c>
      <c r="AB489" s="164">
        <f>(((BetTable[O3]-1)*BetTable[S3])*(1-(BetTable[C% 3]))+BetTable[S3])</f>
        <v>0</v>
      </c>
      <c r="AC489" s="165">
        <f>IFERROR(IF(BetTable[Sport]="","",BetTable[R1]/BetTable[TS]),"")</f>
        <v>3.5</v>
      </c>
      <c r="AD489" s="165" t="str">
        <f>IF(BetTable[O2]="","",#REF!/BetTable[TS])</f>
        <v/>
      </c>
      <c r="AE489" s="165" t="str">
        <f>IFERROR(IF(BetTable[Sport]="","",#REF!/BetTable[TS]),"")</f>
        <v/>
      </c>
      <c r="AF489" s="164">
        <f>IF(BetTable[Outcome]="Win",BetTable[WBA1-Commission],IF(BetTable[Outcome]="Win Half Stake",(BetTable[Stake]/2)+BetTable[WBA1-Commission]/2,IF(BetTable[Outcome]="Lose Half Stake",BetTable[Stake]/2,IF(BetTable[Outcome]="Lose",0,IF(BetTable[Outcome]="Void",BetTable[Stake],)))))</f>
        <v>0</v>
      </c>
      <c r="AG489" s="164">
        <f>IF(BetTable[Outcome2]="Win",BetTable[WBA2-Commission],IF(BetTable[Outcome2]="Win Half Stake",(BetTable[S2]/2)+BetTable[WBA2-Commission]/2,IF(BetTable[Outcome2]="Lose Half Stake",BetTable[S2]/2,IF(BetTable[Outcome2]="Lose",0,IF(BetTable[Outcome2]="Void",BetTable[S2],)))))</f>
        <v>0</v>
      </c>
      <c r="AH489" s="164">
        <f>IF(BetTable[Outcome3]="Win",BetTable[WBA3-Commission],IF(BetTable[Outcome3]="Win Half Stake",(BetTable[S3]/2)+BetTable[WBA3-Commission]/2,IF(BetTable[Outcome3]="Lose Half Stake",BetTable[S3]/2,IF(BetTable[Outcome3]="Lose",0,IF(BetTable[Outcome3]="Void",BetTable[S3],)))))</f>
        <v>0</v>
      </c>
      <c r="AI489" s="168">
        <f>IF(BetTable[Outcome]="",AI488,BetTable[Result]+AI488)</f>
        <v>682.88625000000036</v>
      </c>
      <c r="AJ489" s="160"/>
    </row>
    <row r="490" spans="1:36" x14ac:dyDescent="0.2">
      <c r="A490" s="159" t="s">
        <v>1416</v>
      </c>
      <c r="B490" s="160" t="s">
        <v>200</v>
      </c>
      <c r="C490" s="161" t="s">
        <v>91</v>
      </c>
      <c r="D490" s="161"/>
      <c r="E490" s="161"/>
      <c r="F490" s="162"/>
      <c r="G490" s="162"/>
      <c r="H490" s="162"/>
      <c r="I490" s="160" t="s">
        <v>1437</v>
      </c>
      <c r="J490" s="163">
        <v>1.7</v>
      </c>
      <c r="K490" s="163"/>
      <c r="L490" s="163"/>
      <c r="M490" s="164">
        <v>23</v>
      </c>
      <c r="N490" s="164"/>
      <c r="O490" s="164"/>
      <c r="P490" s="159" t="s">
        <v>498</v>
      </c>
      <c r="Q490" s="159" t="s">
        <v>1171</v>
      </c>
      <c r="R490" s="159" t="s">
        <v>1438</v>
      </c>
      <c r="S490" s="165">
        <v>1.3165144699967501E-2</v>
      </c>
      <c r="T490" s="166" t="s">
        <v>382</v>
      </c>
      <c r="U490" s="166"/>
      <c r="V490" s="166"/>
      <c r="W490" s="167">
        <f>IF(BetTable[Sport]="","",BetTable[Stake]+BetTable[S2]+BetTable[S3])</f>
        <v>23</v>
      </c>
      <c r="X490" s="164">
        <f>IF(BetTable[Odds]="","",(BetTable[WBA1-Commission])-BetTable[TS])</f>
        <v>16.099999999999994</v>
      </c>
      <c r="Y490" s="168">
        <f>IF(BetTable[Outcome]="","",BetTable[WBA1]+BetTable[WBA2]+BetTable[WBA3]-BetTable[TS])</f>
        <v>-23</v>
      </c>
      <c r="Z490" s="164">
        <f>(((BetTable[Odds]-1)*BetTable[Stake])*(1-(BetTable[Comm %]))+BetTable[Stake])</f>
        <v>39.099999999999994</v>
      </c>
      <c r="AA490" s="164">
        <f>(((BetTable[O2]-1)*BetTable[S2])*(1-(BetTable[C% 2]))+BetTable[S2])</f>
        <v>0</v>
      </c>
      <c r="AB490" s="164">
        <f>(((BetTable[O3]-1)*BetTable[S3])*(1-(BetTable[C% 3]))+BetTable[S3])</f>
        <v>0</v>
      </c>
      <c r="AC490" s="165">
        <f>IFERROR(IF(BetTable[Sport]="","",BetTable[R1]/BetTable[TS]),"")</f>
        <v>0.69999999999999973</v>
      </c>
      <c r="AD490" s="165" t="str">
        <f>IF(BetTable[O2]="","",#REF!/BetTable[TS])</f>
        <v/>
      </c>
      <c r="AE490" s="165" t="str">
        <f>IFERROR(IF(BetTable[Sport]="","",#REF!/BetTable[TS]),"")</f>
        <v/>
      </c>
      <c r="AF490" s="164">
        <f>IF(BetTable[Outcome]="Win",BetTable[WBA1-Commission],IF(BetTable[Outcome]="Win Half Stake",(BetTable[Stake]/2)+BetTable[WBA1-Commission]/2,IF(BetTable[Outcome]="Lose Half Stake",BetTable[Stake]/2,IF(BetTable[Outcome]="Lose",0,IF(BetTable[Outcome]="Void",BetTable[Stake],)))))</f>
        <v>0</v>
      </c>
      <c r="AG490" s="164">
        <f>IF(BetTable[Outcome2]="Win",BetTable[WBA2-Commission],IF(BetTable[Outcome2]="Win Half Stake",(BetTable[S2]/2)+BetTable[WBA2-Commission]/2,IF(BetTable[Outcome2]="Lose Half Stake",BetTable[S2]/2,IF(BetTable[Outcome2]="Lose",0,IF(BetTable[Outcome2]="Void",BetTable[S2],)))))</f>
        <v>0</v>
      </c>
      <c r="AH490" s="164">
        <f>IF(BetTable[Outcome3]="Win",BetTable[WBA3-Commission],IF(BetTable[Outcome3]="Win Half Stake",(BetTable[S3]/2)+BetTable[WBA3-Commission]/2,IF(BetTable[Outcome3]="Lose Half Stake",BetTable[S3]/2,IF(BetTable[Outcome3]="Lose",0,IF(BetTable[Outcome3]="Void",BetTable[S3],)))))</f>
        <v>0</v>
      </c>
      <c r="AI490" s="168">
        <f>IF(BetTable[Outcome]="",AI489,BetTable[Result]+AI489)</f>
        <v>659.88625000000036</v>
      </c>
      <c r="AJ490" s="160"/>
    </row>
    <row r="491" spans="1:36" x14ac:dyDescent="0.2">
      <c r="A491" s="159" t="s">
        <v>1416</v>
      </c>
      <c r="B491" s="160" t="s">
        <v>7</v>
      </c>
      <c r="C491" s="161" t="s">
        <v>216</v>
      </c>
      <c r="D491" s="161"/>
      <c r="E491" s="161"/>
      <c r="F491" s="162"/>
      <c r="G491" s="162"/>
      <c r="H491" s="162"/>
      <c r="I491" s="160" t="s">
        <v>1439</v>
      </c>
      <c r="J491" s="163">
        <v>1.9710000000000001</v>
      </c>
      <c r="K491" s="163"/>
      <c r="L491" s="163"/>
      <c r="M491" s="164">
        <v>22</v>
      </c>
      <c r="N491" s="164"/>
      <c r="O491" s="164"/>
      <c r="P491" s="159" t="s">
        <v>1440</v>
      </c>
      <c r="Q491" s="159" t="s">
        <v>773</v>
      </c>
      <c r="R491" s="159" t="s">
        <v>1441</v>
      </c>
      <c r="S491" s="165">
        <v>1.82694364324591E-2</v>
      </c>
      <c r="T491" s="166" t="s">
        <v>382</v>
      </c>
      <c r="U491" s="166"/>
      <c r="V491" s="166"/>
      <c r="W491" s="167">
        <f>IF(BetTable[Sport]="","",BetTable[Stake]+BetTable[S2]+BetTable[S3])</f>
        <v>22</v>
      </c>
      <c r="X491" s="164">
        <f>IF(BetTable[Odds]="","",(BetTable[WBA1-Commission])-BetTable[TS])</f>
        <v>21.362000000000002</v>
      </c>
      <c r="Y491" s="168">
        <f>IF(BetTable[Outcome]="","",BetTable[WBA1]+BetTable[WBA2]+BetTable[WBA3]-BetTable[TS])</f>
        <v>-22</v>
      </c>
      <c r="Z491" s="164">
        <f>(((BetTable[Odds]-1)*BetTable[Stake])*(1-(BetTable[Comm %]))+BetTable[Stake])</f>
        <v>43.362000000000002</v>
      </c>
      <c r="AA491" s="164">
        <f>(((BetTable[O2]-1)*BetTable[S2])*(1-(BetTable[C% 2]))+BetTable[S2])</f>
        <v>0</v>
      </c>
      <c r="AB491" s="164">
        <f>(((BetTable[O3]-1)*BetTable[S3])*(1-(BetTable[C% 3]))+BetTable[S3])</f>
        <v>0</v>
      </c>
      <c r="AC491" s="165">
        <f>IFERROR(IF(BetTable[Sport]="","",BetTable[R1]/BetTable[TS]),"")</f>
        <v>0.97100000000000009</v>
      </c>
      <c r="AD491" s="165" t="str">
        <f>IF(BetTable[O2]="","",#REF!/BetTable[TS])</f>
        <v/>
      </c>
      <c r="AE491" s="165" t="str">
        <f>IFERROR(IF(BetTable[Sport]="","",#REF!/BetTable[TS]),"")</f>
        <v/>
      </c>
      <c r="AF491" s="164">
        <f>IF(BetTable[Outcome]="Win",BetTable[WBA1-Commission],IF(BetTable[Outcome]="Win Half Stake",(BetTable[Stake]/2)+BetTable[WBA1-Commission]/2,IF(BetTable[Outcome]="Lose Half Stake",BetTable[Stake]/2,IF(BetTable[Outcome]="Lose",0,IF(BetTable[Outcome]="Void",BetTable[Stake],)))))</f>
        <v>0</v>
      </c>
      <c r="AG491" s="164">
        <f>IF(BetTable[Outcome2]="Win",BetTable[WBA2-Commission],IF(BetTable[Outcome2]="Win Half Stake",(BetTable[S2]/2)+BetTable[WBA2-Commission]/2,IF(BetTable[Outcome2]="Lose Half Stake",BetTable[S2]/2,IF(BetTable[Outcome2]="Lose",0,IF(BetTable[Outcome2]="Void",BetTable[S2],)))))</f>
        <v>0</v>
      </c>
      <c r="AH491" s="164">
        <f>IF(BetTable[Outcome3]="Win",BetTable[WBA3-Commission],IF(BetTable[Outcome3]="Win Half Stake",(BetTable[S3]/2)+BetTable[WBA3-Commission]/2,IF(BetTable[Outcome3]="Lose Half Stake",BetTable[S3]/2,IF(BetTable[Outcome3]="Lose",0,IF(BetTable[Outcome3]="Void",BetTable[S3],)))))</f>
        <v>0</v>
      </c>
      <c r="AI491" s="168">
        <f>IF(BetTable[Outcome]="",AI490,BetTable[Result]+AI490)</f>
        <v>637.88625000000036</v>
      </c>
      <c r="AJ491" s="160"/>
    </row>
    <row r="492" spans="1:36" x14ac:dyDescent="0.2">
      <c r="A492" s="159" t="s">
        <v>1416</v>
      </c>
      <c r="B492" s="160" t="s">
        <v>201</v>
      </c>
      <c r="C492" s="161" t="s">
        <v>91</v>
      </c>
      <c r="D492" s="161"/>
      <c r="E492" s="161"/>
      <c r="F492" s="162"/>
      <c r="G492" s="162"/>
      <c r="H492" s="162"/>
      <c r="I492" s="160" t="s">
        <v>1442</v>
      </c>
      <c r="J492" s="163">
        <v>2.02</v>
      </c>
      <c r="K492" s="163"/>
      <c r="L492" s="163"/>
      <c r="M492" s="164">
        <v>20</v>
      </c>
      <c r="N492" s="164"/>
      <c r="O492" s="164"/>
      <c r="P492" s="159" t="s">
        <v>1443</v>
      </c>
      <c r="Q492" s="159" t="s">
        <v>530</v>
      </c>
      <c r="R492" s="159" t="s">
        <v>1444</v>
      </c>
      <c r="S492" s="165">
        <v>1.7104642048268101E-2</v>
      </c>
      <c r="T492" s="166" t="s">
        <v>372</v>
      </c>
      <c r="U492" s="166"/>
      <c r="V492" s="166"/>
      <c r="W492" s="167">
        <f>IF(BetTable[Sport]="","",BetTable[Stake]+BetTable[S2]+BetTable[S3])</f>
        <v>20</v>
      </c>
      <c r="X492" s="164">
        <f>IF(BetTable[Odds]="","",(BetTable[WBA1-Commission])-BetTable[TS])</f>
        <v>20.399999999999999</v>
      </c>
      <c r="Y492" s="168">
        <f>IF(BetTable[Outcome]="","",BetTable[WBA1]+BetTable[WBA2]+BetTable[WBA3]-BetTable[TS])</f>
        <v>20.399999999999999</v>
      </c>
      <c r="Z492" s="164">
        <f>(((BetTable[Odds]-1)*BetTable[Stake])*(1-(BetTable[Comm %]))+BetTable[Stake])</f>
        <v>40.4</v>
      </c>
      <c r="AA492" s="164">
        <f>(((BetTable[O2]-1)*BetTable[S2])*(1-(BetTable[C% 2]))+BetTable[S2])</f>
        <v>0</v>
      </c>
      <c r="AB492" s="164">
        <f>(((BetTable[O3]-1)*BetTable[S3])*(1-(BetTable[C% 3]))+BetTable[S3])</f>
        <v>0</v>
      </c>
      <c r="AC492" s="165">
        <f>IFERROR(IF(BetTable[Sport]="","",BetTable[R1]/BetTable[TS]),"")</f>
        <v>1.02</v>
      </c>
      <c r="AD492" s="165" t="str">
        <f>IF(BetTable[O2]="","",#REF!/BetTable[TS])</f>
        <v/>
      </c>
      <c r="AE492" s="165" t="str">
        <f>IFERROR(IF(BetTable[Sport]="","",#REF!/BetTable[TS]),"")</f>
        <v/>
      </c>
      <c r="AF492" s="164">
        <f>IF(BetTable[Outcome]="Win",BetTable[WBA1-Commission],IF(BetTable[Outcome]="Win Half Stake",(BetTable[Stake]/2)+BetTable[WBA1-Commission]/2,IF(BetTable[Outcome]="Lose Half Stake",BetTable[Stake]/2,IF(BetTable[Outcome]="Lose",0,IF(BetTable[Outcome]="Void",BetTable[Stake],)))))</f>
        <v>40.4</v>
      </c>
      <c r="AG492" s="164">
        <f>IF(BetTable[Outcome2]="Win",BetTable[WBA2-Commission],IF(BetTable[Outcome2]="Win Half Stake",(BetTable[S2]/2)+BetTable[WBA2-Commission]/2,IF(BetTable[Outcome2]="Lose Half Stake",BetTable[S2]/2,IF(BetTable[Outcome2]="Lose",0,IF(BetTable[Outcome2]="Void",BetTable[S2],)))))</f>
        <v>0</v>
      </c>
      <c r="AH492" s="164">
        <f>IF(BetTable[Outcome3]="Win",BetTable[WBA3-Commission],IF(BetTable[Outcome3]="Win Half Stake",(BetTable[S3]/2)+BetTable[WBA3-Commission]/2,IF(BetTable[Outcome3]="Lose Half Stake",BetTable[S3]/2,IF(BetTable[Outcome3]="Lose",0,IF(BetTable[Outcome3]="Void",BetTable[S3],)))))</f>
        <v>0</v>
      </c>
      <c r="AI492" s="168">
        <f>IF(BetTable[Outcome]="",AI491,BetTable[Result]+AI491)</f>
        <v>658.28625000000034</v>
      </c>
      <c r="AJ492" s="160"/>
    </row>
    <row r="493" spans="1:36" x14ac:dyDescent="0.2">
      <c r="A493" s="159" t="s">
        <v>1416</v>
      </c>
      <c r="B493" s="160" t="s">
        <v>8</v>
      </c>
      <c r="C493" s="161" t="s">
        <v>216</v>
      </c>
      <c r="D493" s="161"/>
      <c r="E493" s="161"/>
      <c r="F493" s="162"/>
      <c r="G493" s="162"/>
      <c r="H493" s="162"/>
      <c r="I493" s="160" t="s">
        <v>1445</v>
      </c>
      <c r="J493" s="163">
        <v>1.952</v>
      </c>
      <c r="K493" s="163"/>
      <c r="L493" s="163"/>
      <c r="M493" s="164">
        <v>53</v>
      </c>
      <c r="N493" s="164"/>
      <c r="O493" s="164"/>
      <c r="P493" s="159" t="s">
        <v>428</v>
      </c>
      <c r="Q493" s="159" t="s">
        <v>1117</v>
      </c>
      <c r="R493" s="159" t="s">
        <v>1446</v>
      </c>
      <c r="S493" s="165">
        <v>4.1710461142057197E-2</v>
      </c>
      <c r="T493" s="166" t="s">
        <v>372</v>
      </c>
      <c r="U493" s="166"/>
      <c r="V493" s="166"/>
      <c r="W493" s="167">
        <f>IF(BetTable[Sport]="","",BetTable[Stake]+BetTable[S2]+BetTable[S3])</f>
        <v>53</v>
      </c>
      <c r="X493" s="164">
        <f>IF(BetTable[Odds]="","",(BetTable[WBA1-Commission])-BetTable[TS])</f>
        <v>50.455999999999989</v>
      </c>
      <c r="Y493" s="168">
        <f>IF(BetTable[Outcome]="","",BetTable[WBA1]+BetTable[WBA2]+BetTable[WBA3]-BetTable[TS])</f>
        <v>50.455999999999989</v>
      </c>
      <c r="Z493" s="164">
        <f>(((BetTable[Odds]-1)*BetTable[Stake])*(1-(BetTable[Comm %]))+BetTable[Stake])</f>
        <v>103.45599999999999</v>
      </c>
      <c r="AA493" s="164">
        <f>(((BetTable[O2]-1)*BetTable[S2])*(1-(BetTable[C% 2]))+BetTable[S2])</f>
        <v>0</v>
      </c>
      <c r="AB493" s="164">
        <f>(((BetTable[O3]-1)*BetTable[S3])*(1-(BetTable[C% 3]))+BetTable[S3])</f>
        <v>0</v>
      </c>
      <c r="AC493" s="165">
        <f>IFERROR(IF(BetTable[Sport]="","",BetTable[R1]/BetTable[TS]),"")</f>
        <v>0.95199999999999974</v>
      </c>
      <c r="AD493" s="165" t="str">
        <f>IF(BetTable[O2]="","",#REF!/BetTable[TS])</f>
        <v/>
      </c>
      <c r="AE493" s="165" t="str">
        <f>IFERROR(IF(BetTable[Sport]="","",#REF!/BetTable[TS]),"")</f>
        <v/>
      </c>
      <c r="AF493" s="164">
        <f>IF(BetTable[Outcome]="Win",BetTable[WBA1-Commission],IF(BetTable[Outcome]="Win Half Stake",(BetTable[Stake]/2)+BetTable[WBA1-Commission]/2,IF(BetTable[Outcome]="Lose Half Stake",BetTable[Stake]/2,IF(BetTable[Outcome]="Lose",0,IF(BetTable[Outcome]="Void",BetTable[Stake],)))))</f>
        <v>103.45599999999999</v>
      </c>
      <c r="AG493" s="164">
        <f>IF(BetTable[Outcome2]="Win",BetTable[WBA2-Commission],IF(BetTable[Outcome2]="Win Half Stake",(BetTable[S2]/2)+BetTable[WBA2-Commission]/2,IF(BetTable[Outcome2]="Lose Half Stake",BetTable[S2]/2,IF(BetTable[Outcome2]="Lose",0,IF(BetTable[Outcome2]="Void",BetTable[S2],)))))</f>
        <v>0</v>
      </c>
      <c r="AH493" s="164">
        <f>IF(BetTable[Outcome3]="Win",BetTable[WBA3-Commission],IF(BetTable[Outcome3]="Win Half Stake",(BetTable[S3]/2)+BetTable[WBA3-Commission]/2,IF(BetTable[Outcome3]="Lose Half Stake",BetTable[S3]/2,IF(BetTable[Outcome3]="Lose",0,IF(BetTable[Outcome3]="Void",BetTable[S3],)))))</f>
        <v>0</v>
      </c>
      <c r="AI493" s="168">
        <f>IF(BetTable[Outcome]="",AI492,BetTable[Result]+AI492)</f>
        <v>708.74225000000035</v>
      </c>
      <c r="AJ493" s="160"/>
    </row>
    <row r="494" spans="1:36" x14ac:dyDescent="0.2">
      <c r="A494" s="159" t="s">
        <v>1416</v>
      </c>
      <c r="B494" s="160" t="s">
        <v>7</v>
      </c>
      <c r="C494" s="161" t="s">
        <v>216</v>
      </c>
      <c r="D494" s="161"/>
      <c r="E494" s="161"/>
      <c r="F494" s="162"/>
      <c r="G494" s="162"/>
      <c r="H494" s="162"/>
      <c r="I494" s="160" t="s">
        <v>1447</v>
      </c>
      <c r="J494" s="163">
        <v>1.952</v>
      </c>
      <c r="K494" s="163"/>
      <c r="L494" s="163"/>
      <c r="M494" s="164">
        <v>19</v>
      </c>
      <c r="N494" s="164"/>
      <c r="O494" s="164"/>
      <c r="P494" s="159" t="s">
        <v>1448</v>
      </c>
      <c r="Q494" s="159" t="s">
        <v>773</v>
      </c>
      <c r="R494" s="159" t="s">
        <v>1449</v>
      </c>
      <c r="S494" s="165">
        <v>1.51378823557073E-2</v>
      </c>
      <c r="T494" s="166" t="s">
        <v>382</v>
      </c>
      <c r="U494" s="166"/>
      <c r="V494" s="166"/>
      <c r="W494" s="167">
        <f>IF(BetTable[Sport]="","",BetTable[Stake]+BetTable[S2]+BetTable[S3])</f>
        <v>19</v>
      </c>
      <c r="X494" s="164">
        <f>IF(BetTable[Odds]="","",(BetTable[WBA1-Commission])-BetTable[TS])</f>
        <v>18.088000000000001</v>
      </c>
      <c r="Y494" s="168">
        <f>IF(BetTable[Outcome]="","",BetTable[WBA1]+BetTable[WBA2]+BetTable[WBA3]-BetTable[TS])</f>
        <v>-19</v>
      </c>
      <c r="Z494" s="164">
        <f>(((BetTable[Odds]-1)*BetTable[Stake])*(1-(BetTable[Comm %]))+BetTable[Stake])</f>
        <v>37.088000000000001</v>
      </c>
      <c r="AA494" s="164">
        <f>(((BetTable[O2]-1)*BetTable[S2])*(1-(BetTable[C% 2]))+BetTable[S2])</f>
        <v>0</v>
      </c>
      <c r="AB494" s="164">
        <f>(((BetTable[O3]-1)*BetTable[S3])*(1-(BetTable[C% 3]))+BetTable[S3])</f>
        <v>0</v>
      </c>
      <c r="AC494" s="165">
        <f>IFERROR(IF(BetTable[Sport]="","",BetTable[R1]/BetTable[TS]),"")</f>
        <v>0.95200000000000007</v>
      </c>
      <c r="AD494" s="165" t="str">
        <f>IF(BetTable[O2]="","",#REF!/BetTable[TS])</f>
        <v/>
      </c>
      <c r="AE494" s="165" t="str">
        <f>IFERROR(IF(BetTable[Sport]="","",#REF!/BetTable[TS]),"")</f>
        <v/>
      </c>
      <c r="AF494" s="164">
        <f>IF(BetTable[Outcome]="Win",BetTable[WBA1-Commission],IF(BetTable[Outcome]="Win Half Stake",(BetTable[Stake]/2)+BetTable[WBA1-Commission]/2,IF(BetTable[Outcome]="Lose Half Stake",BetTable[Stake]/2,IF(BetTable[Outcome]="Lose",0,IF(BetTable[Outcome]="Void",BetTable[Stake],)))))</f>
        <v>0</v>
      </c>
      <c r="AG494" s="164">
        <f>IF(BetTable[Outcome2]="Win",BetTable[WBA2-Commission],IF(BetTable[Outcome2]="Win Half Stake",(BetTable[S2]/2)+BetTable[WBA2-Commission]/2,IF(BetTable[Outcome2]="Lose Half Stake",BetTable[S2]/2,IF(BetTable[Outcome2]="Lose",0,IF(BetTable[Outcome2]="Void",BetTable[S2],)))))</f>
        <v>0</v>
      </c>
      <c r="AH494" s="164">
        <f>IF(BetTable[Outcome3]="Win",BetTable[WBA3-Commission],IF(BetTable[Outcome3]="Win Half Stake",(BetTable[S3]/2)+BetTable[WBA3-Commission]/2,IF(BetTable[Outcome3]="Lose Half Stake",BetTable[S3]/2,IF(BetTable[Outcome3]="Lose",0,IF(BetTable[Outcome3]="Void",BetTable[S3],)))))</f>
        <v>0</v>
      </c>
      <c r="AI494" s="168">
        <f>IF(BetTable[Outcome]="",AI493,BetTable[Result]+AI493)</f>
        <v>689.74225000000035</v>
      </c>
      <c r="AJ494" s="160"/>
    </row>
    <row r="495" spans="1:36" x14ac:dyDescent="0.2">
      <c r="A495" s="159" t="s">
        <v>1416</v>
      </c>
      <c r="B495" s="160" t="s">
        <v>200</v>
      </c>
      <c r="C495" s="161" t="s">
        <v>216</v>
      </c>
      <c r="D495" s="161"/>
      <c r="E495" s="161"/>
      <c r="F495" s="162"/>
      <c r="G495" s="162"/>
      <c r="H495" s="162"/>
      <c r="I495" s="160" t="s">
        <v>1450</v>
      </c>
      <c r="J495" s="163">
        <v>1.7410000000000001</v>
      </c>
      <c r="K495" s="163"/>
      <c r="L495" s="163"/>
      <c r="M495" s="164">
        <v>80</v>
      </c>
      <c r="N495" s="164"/>
      <c r="O495" s="164"/>
      <c r="P495" s="159" t="s">
        <v>368</v>
      </c>
      <c r="Q495" s="159" t="s">
        <v>674</v>
      </c>
      <c r="R495" s="159" t="s">
        <v>1451</v>
      </c>
      <c r="S495" s="165">
        <v>5.3763356161965502E-2</v>
      </c>
      <c r="T495" s="166" t="s">
        <v>372</v>
      </c>
      <c r="U495" s="166"/>
      <c r="V495" s="166"/>
      <c r="W495" s="167">
        <f>IF(BetTable[Sport]="","",BetTable[Stake]+BetTable[S2]+BetTable[S3])</f>
        <v>80</v>
      </c>
      <c r="X495" s="164">
        <f>IF(BetTable[Odds]="","",(BetTable[WBA1-Commission])-BetTable[TS])</f>
        <v>59.28</v>
      </c>
      <c r="Y495" s="168">
        <f>IF(BetTable[Outcome]="","",BetTable[WBA1]+BetTable[WBA2]+BetTable[WBA3]-BetTable[TS])</f>
        <v>59.28</v>
      </c>
      <c r="Z495" s="164">
        <f>(((BetTable[Odds]-1)*BetTable[Stake])*(1-(BetTable[Comm %]))+BetTable[Stake])</f>
        <v>139.28</v>
      </c>
      <c r="AA495" s="164">
        <f>(((BetTable[O2]-1)*BetTable[S2])*(1-(BetTable[C% 2]))+BetTable[S2])</f>
        <v>0</v>
      </c>
      <c r="AB495" s="164">
        <f>(((BetTable[O3]-1)*BetTable[S3])*(1-(BetTable[C% 3]))+BetTable[S3])</f>
        <v>0</v>
      </c>
      <c r="AC495" s="165">
        <f>IFERROR(IF(BetTable[Sport]="","",BetTable[R1]/BetTable[TS]),"")</f>
        <v>0.74099999999999999</v>
      </c>
      <c r="AD495" s="165" t="str">
        <f>IF(BetTable[O2]="","",#REF!/BetTable[TS])</f>
        <v/>
      </c>
      <c r="AE495" s="165" t="str">
        <f>IFERROR(IF(BetTable[Sport]="","",#REF!/BetTable[TS]),"")</f>
        <v/>
      </c>
      <c r="AF495" s="164">
        <f>IF(BetTable[Outcome]="Win",BetTable[WBA1-Commission],IF(BetTable[Outcome]="Win Half Stake",(BetTable[Stake]/2)+BetTable[WBA1-Commission]/2,IF(BetTable[Outcome]="Lose Half Stake",BetTable[Stake]/2,IF(BetTable[Outcome]="Lose",0,IF(BetTable[Outcome]="Void",BetTable[Stake],)))))</f>
        <v>139.28</v>
      </c>
      <c r="AG495" s="164">
        <f>IF(BetTable[Outcome2]="Win",BetTable[WBA2-Commission],IF(BetTable[Outcome2]="Win Half Stake",(BetTable[S2]/2)+BetTable[WBA2-Commission]/2,IF(BetTable[Outcome2]="Lose Half Stake",BetTable[S2]/2,IF(BetTable[Outcome2]="Lose",0,IF(BetTable[Outcome2]="Void",BetTable[S2],)))))</f>
        <v>0</v>
      </c>
      <c r="AH495" s="164">
        <f>IF(BetTable[Outcome3]="Win",BetTable[WBA3-Commission],IF(BetTable[Outcome3]="Win Half Stake",(BetTable[S3]/2)+BetTable[WBA3-Commission]/2,IF(BetTable[Outcome3]="Lose Half Stake",BetTable[S3]/2,IF(BetTable[Outcome3]="Lose",0,IF(BetTable[Outcome3]="Void",BetTable[S3],)))))</f>
        <v>0</v>
      </c>
      <c r="AI495" s="168">
        <f>IF(BetTable[Outcome]="",AI494,BetTable[Result]+AI494)</f>
        <v>749.02225000000033</v>
      </c>
      <c r="AJ495" s="160"/>
    </row>
    <row r="496" spans="1:36" x14ac:dyDescent="0.2">
      <c r="A496" s="159" t="s">
        <v>1416</v>
      </c>
      <c r="B496" s="160" t="s">
        <v>7</v>
      </c>
      <c r="C496" s="161" t="s">
        <v>216</v>
      </c>
      <c r="D496" s="161"/>
      <c r="E496" s="161"/>
      <c r="F496" s="162"/>
      <c r="G496" s="162"/>
      <c r="H496" s="162"/>
      <c r="I496" s="160" t="s">
        <v>1433</v>
      </c>
      <c r="J496" s="163">
        <v>4.25</v>
      </c>
      <c r="K496" s="163"/>
      <c r="L496" s="163"/>
      <c r="M496" s="164">
        <v>32</v>
      </c>
      <c r="N496" s="164"/>
      <c r="O496" s="164"/>
      <c r="P496" s="159" t="s">
        <v>428</v>
      </c>
      <c r="Q496" s="159" t="s">
        <v>659</v>
      </c>
      <c r="R496" s="159" t="s">
        <v>1452</v>
      </c>
      <c r="S496" s="165">
        <v>8.5467518594782202E-2</v>
      </c>
      <c r="T496" s="166" t="s">
        <v>382</v>
      </c>
      <c r="U496" s="166"/>
      <c r="V496" s="166"/>
      <c r="W496" s="167">
        <f>IF(BetTable[Sport]="","",BetTable[Stake]+BetTable[S2]+BetTable[S3])</f>
        <v>32</v>
      </c>
      <c r="X496" s="164">
        <f>IF(BetTable[Odds]="","",(BetTable[WBA1-Commission])-BetTable[TS])</f>
        <v>104</v>
      </c>
      <c r="Y496" s="168">
        <f>IF(BetTable[Outcome]="","",BetTable[WBA1]+BetTable[WBA2]+BetTable[WBA3]-BetTable[TS])</f>
        <v>-32</v>
      </c>
      <c r="Z496" s="164">
        <f>(((BetTable[Odds]-1)*BetTable[Stake])*(1-(BetTable[Comm %]))+BetTable[Stake])</f>
        <v>136</v>
      </c>
      <c r="AA496" s="164">
        <f>(((BetTable[O2]-1)*BetTable[S2])*(1-(BetTable[C% 2]))+BetTable[S2])</f>
        <v>0</v>
      </c>
      <c r="AB496" s="164">
        <f>(((BetTable[O3]-1)*BetTable[S3])*(1-(BetTable[C% 3]))+BetTable[S3])</f>
        <v>0</v>
      </c>
      <c r="AC496" s="165">
        <f>IFERROR(IF(BetTable[Sport]="","",BetTable[R1]/BetTable[TS]),"")</f>
        <v>3.25</v>
      </c>
      <c r="AD496" s="165" t="str">
        <f>IF(BetTable[O2]="","",#REF!/BetTable[TS])</f>
        <v/>
      </c>
      <c r="AE496" s="165" t="str">
        <f>IFERROR(IF(BetTable[Sport]="","",#REF!/BetTable[TS]),"")</f>
        <v/>
      </c>
      <c r="AF496" s="164">
        <f>IF(BetTable[Outcome]="Win",BetTable[WBA1-Commission],IF(BetTable[Outcome]="Win Half Stake",(BetTable[Stake]/2)+BetTable[WBA1-Commission]/2,IF(BetTable[Outcome]="Lose Half Stake",BetTable[Stake]/2,IF(BetTable[Outcome]="Lose",0,IF(BetTable[Outcome]="Void",BetTable[Stake],)))))</f>
        <v>0</v>
      </c>
      <c r="AG496" s="164">
        <f>IF(BetTable[Outcome2]="Win",BetTable[WBA2-Commission],IF(BetTable[Outcome2]="Win Half Stake",(BetTable[S2]/2)+BetTable[WBA2-Commission]/2,IF(BetTable[Outcome2]="Lose Half Stake",BetTable[S2]/2,IF(BetTable[Outcome2]="Lose",0,IF(BetTable[Outcome2]="Void",BetTable[S2],)))))</f>
        <v>0</v>
      </c>
      <c r="AH496" s="164">
        <f>IF(BetTable[Outcome3]="Win",BetTable[WBA3-Commission],IF(BetTable[Outcome3]="Win Half Stake",(BetTable[S3]/2)+BetTable[WBA3-Commission]/2,IF(BetTable[Outcome3]="Lose Half Stake",BetTable[S3]/2,IF(BetTable[Outcome3]="Lose",0,IF(BetTable[Outcome3]="Void",BetTable[S3],)))))</f>
        <v>0</v>
      </c>
      <c r="AI496" s="168">
        <f>IF(BetTable[Outcome]="",AI495,BetTable[Result]+AI495)</f>
        <v>717.02225000000033</v>
      </c>
      <c r="AJ496" s="160"/>
    </row>
    <row r="497" spans="1:36" x14ac:dyDescent="0.2">
      <c r="A497" s="159" t="s">
        <v>1416</v>
      </c>
      <c r="B497" s="160" t="s">
        <v>7</v>
      </c>
      <c r="C497" s="161" t="s">
        <v>216</v>
      </c>
      <c r="D497" s="161"/>
      <c r="E497" s="161"/>
      <c r="F497" s="162"/>
      <c r="G497" s="162"/>
      <c r="H497" s="162"/>
      <c r="I497" s="160" t="s">
        <v>1453</v>
      </c>
      <c r="J497" s="163">
        <v>2.8</v>
      </c>
      <c r="K497" s="163"/>
      <c r="L497" s="163"/>
      <c r="M497" s="164">
        <v>35</v>
      </c>
      <c r="N497" s="164"/>
      <c r="O497" s="164"/>
      <c r="P497" s="159" t="s">
        <v>435</v>
      </c>
      <c r="Q497" s="159" t="s">
        <v>659</v>
      </c>
      <c r="R497" s="159" t="s">
        <v>1454</v>
      </c>
      <c r="S497" s="165">
        <v>5.2958768497162197E-2</v>
      </c>
      <c r="T497" s="166" t="s">
        <v>372</v>
      </c>
      <c r="U497" s="166"/>
      <c r="V497" s="166"/>
      <c r="W497" s="167">
        <f>IF(BetTable[Sport]="","",BetTable[Stake]+BetTable[S2]+BetTable[S3])</f>
        <v>35</v>
      </c>
      <c r="X497" s="164">
        <f>IF(BetTable[Odds]="","",(BetTable[WBA1-Commission])-BetTable[TS])</f>
        <v>63</v>
      </c>
      <c r="Y497" s="168">
        <f>IF(BetTable[Outcome]="","",BetTable[WBA1]+BetTable[WBA2]+BetTable[WBA3]-BetTable[TS])</f>
        <v>63</v>
      </c>
      <c r="Z497" s="164">
        <f>(((BetTable[Odds]-1)*BetTable[Stake])*(1-(BetTable[Comm %]))+BetTable[Stake])</f>
        <v>98</v>
      </c>
      <c r="AA497" s="164">
        <f>(((BetTable[O2]-1)*BetTable[S2])*(1-(BetTable[C% 2]))+BetTable[S2])</f>
        <v>0</v>
      </c>
      <c r="AB497" s="164">
        <f>(((BetTable[O3]-1)*BetTable[S3])*(1-(BetTable[C% 3]))+BetTable[S3])</f>
        <v>0</v>
      </c>
      <c r="AC497" s="165">
        <f>IFERROR(IF(BetTable[Sport]="","",BetTable[R1]/BetTable[TS]),"")</f>
        <v>1.8</v>
      </c>
      <c r="AD497" s="165" t="str">
        <f>IF(BetTable[O2]="","",#REF!/BetTable[TS])</f>
        <v/>
      </c>
      <c r="AE497" s="165" t="str">
        <f>IFERROR(IF(BetTable[Sport]="","",#REF!/BetTable[TS]),"")</f>
        <v/>
      </c>
      <c r="AF497" s="164">
        <f>IF(BetTable[Outcome]="Win",BetTable[WBA1-Commission],IF(BetTable[Outcome]="Win Half Stake",(BetTable[Stake]/2)+BetTable[WBA1-Commission]/2,IF(BetTable[Outcome]="Lose Half Stake",BetTable[Stake]/2,IF(BetTable[Outcome]="Lose",0,IF(BetTable[Outcome]="Void",BetTable[Stake],)))))</f>
        <v>98</v>
      </c>
      <c r="AG497" s="164">
        <f>IF(BetTable[Outcome2]="Win",BetTable[WBA2-Commission],IF(BetTable[Outcome2]="Win Half Stake",(BetTable[S2]/2)+BetTable[WBA2-Commission]/2,IF(BetTable[Outcome2]="Lose Half Stake",BetTable[S2]/2,IF(BetTable[Outcome2]="Lose",0,IF(BetTable[Outcome2]="Void",BetTable[S2],)))))</f>
        <v>0</v>
      </c>
      <c r="AH497" s="164">
        <f>IF(BetTable[Outcome3]="Win",BetTable[WBA3-Commission],IF(BetTable[Outcome3]="Win Half Stake",(BetTable[S3]/2)+BetTable[WBA3-Commission]/2,IF(BetTable[Outcome3]="Lose Half Stake",BetTable[S3]/2,IF(BetTable[Outcome3]="Lose",0,IF(BetTable[Outcome3]="Void",BetTable[S3],)))))</f>
        <v>0</v>
      </c>
      <c r="AI497" s="168">
        <f>IF(BetTable[Outcome]="",AI496,BetTable[Result]+AI496)</f>
        <v>780.02225000000033</v>
      </c>
      <c r="AJ497" s="160"/>
    </row>
    <row r="498" spans="1:36" x14ac:dyDescent="0.2">
      <c r="A498" s="159" t="s">
        <v>1416</v>
      </c>
      <c r="B498" s="160" t="s">
        <v>7</v>
      </c>
      <c r="C498" s="161" t="s">
        <v>216</v>
      </c>
      <c r="D498" s="161"/>
      <c r="E498" s="161"/>
      <c r="F498" s="162"/>
      <c r="G498" s="162"/>
      <c r="H498" s="162"/>
      <c r="I498" s="160" t="s">
        <v>1455</v>
      </c>
      <c r="J498" s="163">
        <v>1.909</v>
      </c>
      <c r="K498" s="163"/>
      <c r="L498" s="163"/>
      <c r="M498" s="164">
        <v>55</v>
      </c>
      <c r="N498" s="164"/>
      <c r="O498" s="164"/>
      <c r="P498" s="159" t="s">
        <v>1456</v>
      </c>
      <c r="Q498" s="159" t="s">
        <v>659</v>
      </c>
      <c r="R498" s="159" t="s">
        <v>1457</v>
      </c>
      <c r="S498" s="165">
        <v>5.2594171509362402E-2</v>
      </c>
      <c r="T498" s="166" t="s">
        <v>382</v>
      </c>
      <c r="U498" s="166"/>
      <c r="V498" s="166"/>
      <c r="W498" s="167">
        <f>IF(BetTable[Sport]="","",BetTable[Stake]+BetTable[S2]+BetTable[S3])</f>
        <v>55</v>
      </c>
      <c r="X498" s="164">
        <f>IF(BetTable[Odds]="","",(BetTable[WBA1-Commission])-BetTable[TS])</f>
        <v>49.995000000000005</v>
      </c>
      <c r="Y498" s="168">
        <f>IF(BetTable[Outcome]="","",BetTable[WBA1]+BetTable[WBA2]+BetTable[WBA3]-BetTable[TS])</f>
        <v>-55</v>
      </c>
      <c r="Z498" s="164">
        <f>(((BetTable[Odds]-1)*BetTable[Stake])*(1-(BetTable[Comm %]))+BetTable[Stake])</f>
        <v>104.995</v>
      </c>
      <c r="AA498" s="164">
        <f>(((BetTable[O2]-1)*BetTable[S2])*(1-(BetTable[C% 2]))+BetTable[S2])</f>
        <v>0</v>
      </c>
      <c r="AB498" s="164">
        <f>(((BetTable[O3]-1)*BetTable[S3])*(1-(BetTable[C% 3]))+BetTable[S3])</f>
        <v>0</v>
      </c>
      <c r="AC498" s="165">
        <f>IFERROR(IF(BetTable[Sport]="","",BetTable[R1]/BetTable[TS]),"")</f>
        <v>0.90900000000000003</v>
      </c>
      <c r="AD498" s="165" t="str">
        <f>IF(BetTable[O2]="","",#REF!/BetTable[TS])</f>
        <v/>
      </c>
      <c r="AE498" s="165" t="str">
        <f>IFERROR(IF(BetTable[Sport]="","",#REF!/BetTable[TS]),"")</f>
        <v/>
      </c>
      <c r="AF498" s="164">
        <f>IF(BetTable[Outcome]="Win",BetTable[WBA1-Commission],IF(BetTable[Outcome]="Win Half Stake",(BetTable[Stake]/2)+BetTable[WBA1-Commission]/2,IF(BetTable[Outcome]="Lose Half Stake",BetTable[Stake]/2,IF(BetTable[Outcome]="Lose",0,IF(BetTable[Outcome]="Void",BetTable[Stake],)))))</f>
        <v>0</v>
      </c>
      <c r="AG498" s="164">
        <f>IF(BetTable[Outcome2]="Win",BetTable[WBA2-Commission],IF(BetTable[Outcome2]="Win Half Stake",(BetTable[S2]/2)+BetTable[WBA2-Commission]/2,IF(BetTable[Outcome2]="Lose Half Stake",BetTable[S2]/2,IF(BetTable[Outcome2]="Lose",0,IF(BetTable[Outcome2]="Void",BetTable[S2],)))))</f>
        <v>0</v>
      </c>
      <c r="AH498" s="164">
        <f>IF(BetTable[Outcome3]="Win",BetTable[WBA3-Commission],IF(BetTable[Outcome3]="Win Half Stake",(BetTable[S3]/2)+BetTable[WBA3-Commission]/2,IF(BetTable[Outcome3]="Lose Half Stake",BetTable[S3]/2,IF(BetTable[Outcome3]="Lose",0,IF(BetTable[Outcome3]="Void",BetTable[S3],)))))</f>
        <v>0</v>
      </c>
      <c r="AI498" s="168">
        <f>IF(BetTable[Outcome]="",AI497,BetTable[Result]+AI497)</f>
        <v>725.02225000000033</v>
      </c>
      <c r="AJ498" s="160"/>
    </row>
    <row r="499" spans="1:36" x14ac:dyDescent="0.2">
      <c r="A499" s="159" t="s">
        <v>1416</v>
      </c>
      <c r="B499" s="160" t="s">
        <v>9</v>
      </c>
      <c r="C499" s="161" t="s">
        <v>216</v>
      </c>
      <c r="D499" s="161"/>
      <c r="E499" s="161"/>
      <c r="F499" s="162"/>
      <c r="G499" s="162"/>
      <c r="H499" s="162"/>
      <c r="I499" s="160" t="s">
        <v>1458</v>
      </c>
      <c r="J499" s="163">
        <v>1.87</v>
      </c>
      <c r="K499" s="163"/>
      <c r="L499" s="163"/>
      <c r="M499" s="164">
        <v>27</v>
      </c>
      <c r="N499" s="164"/>
      <c r="O499" s="164"/>
      <c r="P499" s="159" t="s">
        <v>772</v>
      </c>
      <c r="Q499" s="159" t="s">
        <v>461</v>
      </c>
      <c r="R499" s="159" t="s">
        <v>1459</v>
      </c>
      <c r="S499" s="165">
        <v>1.96130534748436E-2</v>
      </c>
      <c r="T499" s="166" t="s">
        <v>372</v>
      </c>
      <c r="U499" s="166"/>
      <c r="V499" s="166"/>
      <c r="W499" s="167">
        <f>IF(BetTable[Sport]="","",BetTable[Stake]+BetTable[S2]+BetTable[S3])</f>
        <v>27</v>
      </c>
      <c r="X499" s="164">
        <f>IF(BetTable[Odds]="","",(BetTable[WBA1-Commission])-BetTable[TS])</f>
        <v>23.490000000000002</v>
      </c>
      <c r="Y499" s="168">
        <f>IF(BetTable[Outcome]="","",BetTable[WBA1]+BetTable[WBA2]+BetTable[WBA3]-BetTable[TS])</f>
        <v>23.490000000000002</v>
      </c>
      <c r="Z499" s="164">
        <f>(((BetTable[Odds]-1)*BetTable[Stake])*(1-(BetTable[Comm %]))+BetTable[Stake])</f>
        <v>50.49</v>
      </c>
      <c r="AA499" s="164">
        <f>(((BetTable[O2]-1)*BetTable[S2])*(1-(BetTable[C% 2]))+BetTable[S2])</f>
        <v>0</v>
      </c>
      <c r="AB499" s="164">
        <f>(((BetTable[O3]-1)*BetTable[S3])*(1-(BetTable[C% 3]))+BetTable[S3])</f>
        <v>0</v>
      </c>
      <c r="AC499" s="165">
        <f>IFERROR(IF(BetTable[Sport]="","",BetTable[R1]/BetTable[TS]),"")</f>
        <v>0.87000000000000011</v>
      </c>
      <c r="AD499" s="165" t="str">
        <f>IF(BetTable[O2]="","",#REF!/BetTable[TS])</f>
        <v/>
      </c>
      <c r="AE499" s="165" t="str">
        <f>IFERROR(IF(BetTable[Sport]="","",#REF!/BetTable[TS]),"")</f>
        <v/>
      </c>
      <c r="AF499" s="164">
        <f>IF(BetTable[Outcome]="Win",BetTable[WBA1-Commission],IF(BetTable[Outcome]="Win Half Stake",(BetTable[Stake]/2)+BetTable[WBA1-Commission]/2,IF(BetTable[Outcome]="Lose Half Stake",BetTable[Stake]/2,IF(BetTable[Outcome]="Lose",0,IF(BetTable[Outcome]="Void",BetTable[Stake],)))))</f>
        <v>50.49</v>
      </c>
      <c r="AG499" s="164">
        <f>IF(BetTable[Outcome2]="Win",BetTable[WBA2-Commission],IF(BetTable[Outcome2]="Win Half Stake",(BetTable[S2]/2)+BetTable[WBA2-Commission]/2,IF(BetTable[Outcome2]="Lose Half Stake",BetTable[S2]/2,IF(BetTable[Outcome2]="Lose",0,IF(BetTable[Outcome2]="Void",BetTable[S2],)))))</f>
        <v>0</v>
      </c>
      <c r="AH499" s="164">
        <f>IF(BetTable[Outcome3]="Win",BetTable[WBA3-Commission],IF(BetTable[Outcome3]="Win Half Stake",(BetTable[S3]/2)+BetTable[WBA3-Commission]/2,IF(BetTable[Outcome3]="Lose Half Stake",BetTable[S3]/2,IF(BetTable[Outcome3]="Lose",0,IF(BetTable[Outcome3]="Void",BetTable[S3],)))))</f>
        <v>0</v>
      </c>
      <c r="AI499" s="168">
        <f>IF(BetTable[Outcome]="",AI498,BetTable[Result]+AI498)</f>
        <v>748.51225000000034</v>
      </c>
      <c r="AJ499" s="160"/>
    </row>
    <row r="500" spans="1:36" x14ac:dyDescent="0.2">
      <c r="A500" s="159" t="s">
        <v>1416</v>
      </c>
      <c r="B500" s="160" t="s">
        <v>8</v>
      </c>
      <c r="C500" s="161" t="s">
        <v>91</v>
      </c>
      <c r="D500" s="161"/>
      <c r="E500" s="161"/>
      <c r="F500" s="162"/>
      <c r="G500" s="162"/>
      <c r="H500" s="162"/>
      <c r="I500" s="160" t="s">
        <v>1460</v>
      </c>
      <c r="J500" s="163">
        <v>2.04</v>
      </c>
      <c r="K500" s="163"/>
      <c r="L500" s="163"/>
      <c r="M500" s="164">
        <v>18</v>
      </c>
      <c r="N500" s="164"/>
      <c r="O500" s="164"/>
      <c r="P500" s="159" t="s">
        <v>435</v>
      </c>
      <c r="Q500" s="159" t="s">
        <v>703</v>
      </c>
      <c r="R500" s="159" t="s">
        <v>1461</v>
      </c>
      <c r="S500" s="165">
        <v>1.5587875815090999E-2</v>
      </c>
      <c r="T500" s="166" t="s">
        <v>382</v>
      </c>
      <c r="U500" s="166"/>
      <c r="V500" s="166"/>
      <c r="W500" s="167">
        <f>IF(BetTable[Sport]="","",BetTable[Stake]+BetTable[S2]+BetTable[S3])</f>
        <v>18</v>
      </c>
      <c r="X500" s="164">
        <f>IF(BetTable[Odds]="","",(BetTable[WBA1-Commission])-BetTable[TS])</f>
        <v>18.72</v>
      </c>
      <c r="Y500" s="168">
        <f>IF(BetTable[Outcome]="","",BetTable[WBA1]+BetTable[WBA2]+BetTable[WBA3]-BetTable[TS])</f>
        <v>-18</v>
      </c>
      <c r="Z500" s="164">
        <f>(((BetTable[Odds]-1)*BetTable[Stake])*(1-(BetTable[Comm %]))+BetTable[Stake])</f>
        <v>36.72</v>
      </c>
      <c r="AA500" s="164">
        <f>(((BetTable[O2]-1)*BetTable[S2])*(1-(BetTable[C% 2]))+BetTable[S2])</f>
        <v>0</v>
      </c>
      <c r="AB500" s="164">
        <f>(((BetTable[O3]-1)*BetTable[S3])*(1-(BetTable[C% 3]))+BetTable[S3])</f>
        <v>0</v>
      </c>
      <c r="AC500" s="165">
        <f>IFERROR(IF(BetTable[Sport]="","",BetTable[R1]/BetTable[TS]),"")</f>
        <v>1.04</v>
      </c>
      <c r="AD500" s="165" t="str">
        <f>IF(BetTable[O2]="","",#REF!/BetTable[TS])</f>
        <v/>
      </c>
      <c r="AE500" s="165" t="str">
        <f>IFERROR(IF(BetTable[Sport]="","",#REF!/BetTable[TS]),"")</f>
        <v/>
      </c>
      <c r="AF500" s="164">
        <f>IF(BetTable[Outcome]="Win",BetTable[WBA1-Commission],IF(BetTable[Outcome]="Win Half Stake",(BetTable[Stake]/2)+BetTable[WBA1-Commission]/2,IF(BetTable[Outcome]="Lose Half Stake",BetTable[Stake]/2,IF(BetTable[Outcome]="Lose",0,IF(BetTable[Outcome]="Void",BetTable[Stake],)))))</f>
        <v>0</v>
      </c>
      <c r="AG500" s="164">
        <f>IF(BetTable[Outcome2]="Win",BetTable[WBA2-Commission],IF(BetTable[Outcome2]="Win Half Stake",(BetTable[S2]/2)+BetTable[WBA2-Commission]/2,IF(BetTable[Outcome2]="Lose Half Stake",BetTable[S2]/2,IF(BetTable[Outcome2]="Lose",0,IF(BetTable[Outcome2]="Void",BetTable[S2],)))))</f>
        <v>0</v>
      </c>
      <c r="AH500" s="164">
        <f>IF(BetTable[Outcome3]="Win",BetTable[WBA3-Commission],IF(BetTable[Outcome3]="Win Half Stake",(BetTable[S3]/2)+BetTable[WBA3-Commission]/2,IF(BetTable[Outcome3]="Lose Half Stake",BetTable[S3]/2,IF(BetTable[Outcome3]="Lose",0,IF(BetTable[Outcome3]="Void",BetTable[S3],)))))</f>
        <v>0</v>
      </c>
      <c r="AI500" s="168">
        <f>IF(BetTable[Outcome]="",AI499,BetTable[Result]+AI499)</f>
        <v>730.51225000000034</v>
      </c>
      <c r="AJ500" s="160"/>
    </row>
    <row r="501" spans="1:36" x14ac:dyDescent="0.2">
      <c r="A501" s="159" t="s">
        <v>1416</v>
      </c>
      <c r="B501" s="160" t="s">
        <v>7</v>
      </c>
      <c r="C501" s="161" t="s">
        <v>91</v>
      </c>
      <c r="D501" s="161"/>
      <c r="E501" s="161"/>
      <c r="F501" s="162"/>
      <c r="G501" s="162"/>
      <c r="H501" s="162"/>
      <c r="I501" s="160" t="s">
        <v>1462</v>
      </c>
      <c r="J501" s="163">
        <v>1.91</v>
      </c>
      <c r="K501" s="163"/>
      <c r="L501" s="163"/>
      <c r="M501" s="164">
        <v>49</v>
      </c>
      <c r="N501" s="164"/>
      <c r="O501" s="164"/>
      <c r="P501" s="159" t="s">
        <v>1058</v>
      </c>
      <c r="Q501" s="159" t="s">
        <v>506</v>
      </c>
      <c r="R501" s="159" t="s">
        <v>1463</v>
      </c>
      <c r="S501" s="165">
        <v>3.7445096075324702E-2</v>
      </c>
      <c r="T501" s="166" t="s">
        <v>372</v>
      </c>
      <c r="U501" s="166"/>
      <c r="V501" s="166"/>
      <c r="W501" s="167">
        <f>IF(BetTable[Sport]="","",BetTable[Stake]+BetTable[S2]+BetTable[S3])</f>
        <v>49</v>
      </c>
      <c r="X501" s="164">
        <f>IF(BetTable[Odds]="","",(BetTable[WBA1-Commission])-BetTable[TS])</f>
        <v>44.59</v>
      </c>
      <c r="Y501" s="168">
        <f>IF(BetTable[Outcome]="","",BetTable[WBA1]+BetTable[WBA2]+BetTable[WBA3]-BetTable[TS])</f>
        <v>44.59</v>
      </c>
      <c r="Z501" s="164">
        <f>(((BetTable[Odds]-1)*BetTable[Stake])*(1-(BetTable[Comm %]))+BetTable[Stake])</f>
        <v>93.59</v>
      </c>
      <c r="AA501" s="164">
        <f>(((BetTable[O2]-1)*BetTable[S2])*(1-(BetTable[C% 2]))+BetTable[S2])</f>
        <v>0</v>
      </c>
      <c r="AB501" s="164">
        <f>(((BetTable[O3]-1)*BetTable[S3])*(1-(BetTable[C% 3]))+BetTable[S3])</f>
        <v>0</v>
      </c>
      <c r="AC501" s="165">
        <f>IFERROR(IF(BetTable[Sport]="","",BetTable[R1]/BetTable[TS]),"")</f>
        <v>0.91</v>
      </c>
      <c r="AD501" s="165" t="str">
        <f>IF(BetTable[O2]="","",#REF!/BetTable[TS])</f>
        <v/>
      </c>
      <c r="AE501" s="165" t="str">
        <f>IFERROR(IF(BetTable[Sport]="","",#REF!/BetTable[TS]),"")</f>
        <v/>
      </c>
      <c r="AF501" s="164">
        <f>IF(BetTable[Outcome]="Win",BetTable[WBA1-Commission],IF(BetTable[Outcome]="Win Half Stake",(BetTable[Stake]/2)+BetTable[WBA1-Commission]/2,IF(BetTable[Outcome]="Lose Half Stake",BetTable[Stake]/2,IF(BetTable[Outcome]="Lose",0,IF(BetTable[Outcome]="Void",BetTable[Stake],)))))</f>
        <v>93.59</v>
      </c>
      <c r="AG501" s="164">
        <f>IF(BetTable[Outcome2]="Win",BetTable[WBA2-Commission],IF(BetTable[Outcome2]="Win Half Stake",(BetTable[S2]/2)+BetTable[WBA2-Commission]/2,IF(BetTable[Outcome2]="Lose Half Stake",BetTable[S2]/2,IF(BetTable[Outcome2]="Lose",0,IF(BetTable[Outcome2]="Void",BetTable[S2],)))))</f>
        <v>0</v>
      </c>
      <c r="AH501" s="164">
        <f>IF(BetTable[Outcome3]="Win",BetTable[WBA3-Commission],IF(BetTable[Outcome3]="Win Half Stake",(BetTable[S3]/2)+BetTable[WBA3-Commission]/2,IF(BetTable[Outcome3]="Lose Half Stake",BetTable[S3]/2,IF(BetTable[Outcome3]="Lose",0,IF(BetTable[Outcome3]="Void",BetTable[S3],)))))</f>
        <v>0</v>
      </c>
      <c r="AI501" s="168">
        <f>IF(BetTable[Outcome]="",AI500,BetTable[Result]+AI500)</f>
        <v>775.10225000000037</v>
      </c>
      <c r="AJ501" s="160"/>
    </row>
    <row r="502" spans="1:36" x14ac:dyDescent="0.2">
      <c r="A502" s="159" t="s">
        <v>1416</v>
      </c>
      <c r="B502" s="160" t="s">
        <v>200</v>
      </c>
      <c r="C502" s="161" t="s">
        <v>234</v>
      </c>
      <c r="D502" s="161"/>
      <c r="E502" s="161"/>
      <c r="F502" s="162"/>
      <c r="G502" s="162"/>
      <c r="H502" s="162"/>
      <c r="I502" s="160" t="s">
        <v>1437</v>
      </c>
      <c r="J502" s="163">
        <v>1.67</v>
      </c>
      <c r="K502" s="163"/>
      <c r="L502" s="163"/>
      <c r="M502" s="164">
        <v>26</v>
      </c>
      <c r="N502" s="164"/>
      <c r="O502" s="164"/>
      <c r="P502" s="159" t="s">
        <v>864</v>
      </c>
      <c r="Q502" s="159" t="s">
        <v>1171</v>
      </c>
      <c r="R502" s="159" t="s">
        <v>1464</v>
      </c>
      <c r="S502" s="165">
        <v>1.42661539493701E-2</v>
      </c>
      <c r="T502" s="166" t="s">
        <v>372</v>
      </c>
      <c r="U502" s="166"/>
      <c r="V502" s="166"/>
      <c r="W502" s="167">
        <f>IF(BetTable[Sport]="","",BetTable[Stake]+BetTable[S2]+BetTable[S3])</f>
        <v>26</v>
      </c>
      <c r="X502" s="164">
        <f>IF(BetTable[Odds]="","",(BetTable[WBA1-Commission])-BetTable[TS])</f>
        <v>17.420000000000002</v>
      </c>
      <c r="Y502" s="168">
        <f>IF(BetTable[Outcome]="","",BetTable[WBA1]+BetTable[WBA2]+BetTable[WBA3]-BetTable[TS])</f>
        <v>17.420000000000002</v>
      </c>
      <c r="Z502" s="164">
        <f>(((BetTable[Odds]-1)*BetTable[Stake])*(1-(BetTable[Comm %]))+BetTable[Stake])</f>
        <v>43.42</v>
      </c>
      <c r="AA502" s="164">
        <f>(((BetTable[O2]-1)*BetTable[S2])*(1-(BetTable[C% 2]))+BetTable[S2])</f>
        <v>0</v>
      </c>
      <c r="AB502" s="164">
        <f>(((BetTable[O3]-1)*BetTable[S3])*(1-(BetTable[C% 3]))+BetTable[S3])</f>
        <v>0</v>
      </c>
      <c r="AC502" s="165">
        <f>IFERROR(IF(BetTable[Sport]="","",BetTable[R1]/BetTable[TS]),"")</f>
        <v>0.67</v>
      </c>
      <c r="AD502" s="165" t="str">
        <f>IF(BetTable[O2]="","",#REF!/BetTable[TS])</f>
        <v/>
      </c>
      <c r="AE502" s="165" t="str">
        <f>IFERROR(IF(BetTable[Sport]="","",#REF!/BetTable[TS]),"")</f>
        <v/>
      </c>
      <c r="AF502" s="164">
        <f>IF(BetTable[Outcome]="Win",BetTable[WBA1-Commission],IF(BetTable[Outcome]="Win Half Stake",(BetTable[Stake]/2)+BetTable[WBA1-Commission]/2,IF(BetTable[Outcome]="Lose Half Stake",BetTable[Stake]/2,IF(BetTable[Outcome]="Lose",0,IF(BetTable[Outcome]="Void",BetTable[Stake],)))))</f>
        <v>43.42</v>
      </c>
      <c r="AG502" s="164">
        <f>IF(BetTable[Outcome2]="Win",BetTable[WBA2-Commission],IF(BetTable[Outcome2]="Win Half Stake",(BetTable[S2]/2)+BetTable[WBA2-Commission]/2,IF(BetTable[Outcome2]="Lose Half Stake",BetTable[S2]/2,IF(BetTable[Outcome2]="Lose",0,IF(BetTable[Outcome2]="Void",BetTable[S2],)))))</f>
        <v>0</v>
      </c>
      <c r="AH502" s="164">
        <f>IF(BetTable[Outcome3]="Win",BetTable[WBA3-Commission],IF(BetTable[Outcome3]="Win Half Stake",(BetTable[S3]/2)+BetTable[WBA3-Commission]/2,IF(BetTable[Outcome3]="Lose Half Stake",BetTable[S3]/2,IF(BetTable[Outcome3]="Lose",0,IF(BetTable[Outcome3]="Void",BetTable[S3],)))))</f>
        <v>0</v>
      </c>
      <c r="AI502" s="168">
        <f>IF(BetTable[Outcome]="",AI501,BetTable[Result]+AI501)</f>
        <v>792.52225000000033</v>
      </c>
      <c r="AJ502" s="160"/>
    </row>
    <row r="503" spans="1:36" x14ac:dyDescent="0.2">
      <c r="A503" s="159" t="s">
        <v>1416</v>
      </c>
      <c r="B503" s="160" t="s">
        <v>7</v>
      </c>
      <c r="C503" s="161" t="s">
        <v>234</v>
      </c>
      <c r="D503" s="161"/>
      <c r="E503" s="161"/>
      <c r="F503" s="162"/>
      <c r="G503" s="162"/>
      <c r="H503" s="162"/>
      <c r="I503" s="160" t="s">
        <v>1465</v>
      </c>
      <c r="J503" s="163">
        <v>2.04</v>
      </c>
      <c r="K503" s="163"/>
      <c r="L503" s="163"/>
      <c r="M503" s="164">
        <v>28</v>
      </c>
      <c r="N503" s="164"/>
      <c r="O503" s="164"/>
      <c r="P503" s="159" t="s">
        <v>1466</v>
      </c>
      <c r="Q503" s="159" t="s">
        <v>968</v>
      </c>
      <c r="R503" s="159" t="s">
        <v>1467</v>
      </c>
      <c r="S503" s="165">
        <v>2.4625878658669199E-2</v>
      </c>
      <c r="T503" s="166" t="s">
        <v>382</v>
      </c>
      <c r="U503" s="166"/>
      <c r="V503" s="166"/>
      <c r="W503" s="167">
        <f>IF(BetTable[Sport]="","",BetTable[Stake]+BetTable[S2]+BetTable[S3])</f>
        <v>28</v>
      </c>
      <c r="X503" s="164">
        <f>IF(BetTable[Odds]="","",(BetTable[WBA1-Commission])-BetTable[TS])</f>
        <v>29.120000000000005</v>
      </c>
      <c r="Y503" s="168">
        <f>IF(BetTable[Outcome]="","",BetTable[WBA1]+BetTable[WBA2]+BetTable[WBA3]-BetTable[TS])</f>
        <v>-28</v>
      </c>
      <c r="Z503" s="164">
        <f>(((BetTable[Odds]-1)*BetTable[Stake])*(1-(BetTable[Comm %]))+BetTable[Stake])</f>
        <v>57.120000000000005</v>
      </c>
      <c r="AA503" s="164">
        <f>(((BetTable[O2]-1)*BetTable[S2])*(1-(BetTable[C% 2]))+BetTable[S2])</f>
        <v>0</v>
      </c>
      <c r="AB503" s="164">
        <f>(((BetTable[O3]-1)*BetTable[S3])*(1-(BetTable[C% 3]))+BetTable[S3])</f>
        <v>0</v>
      </c>
      <c r="AC503" s="165">
        <f>IFERROR(IF(BetTable[Sport]="","",BetTable[R1]/BetTable[TS]),"")</f>
        <v>1.0400000000000003</v>
      </c>
      <c r="AD503" s="165" t="str">
        <f>IF(BetTable[O2]="","",#REF!/BetTable[TS])</f>
        <v/>
      </c>
      <c r="AE503" s="165" t="str">
        <f>IFERROR(IF(BetTable[Sport]="","",#REF!/BetTable[TS]),"")</f>
        <v/>
      </c>
      <c r="AF503" s="164">
        <f>IF(BetTable[Outcome]="Win",BetTable[WBA1-Commission],IF(BetTable[Outcome]="Win Half Stake",(BetTable[Stake]/2)+BetTable[WBA1-Commission]/2,IF(BetTable[Outcome]="Lose Half Stake",BetTable[Stake]/2,IF(BetTable[Outcome]="Lose",0,IF(BetTable[Outcome]="Void",BetTable[Stake],)))))</f>
        <v>0</v>
      </c>
      <c r="AG503" s="164">
        <f>IF(BetTable[Outcome2]="Win",BetTable[WBA2-Commission],IF(BetTable[Outcome2]="Win Half Stake",(BetTable[S2]/2)+BetTable[WBA2-Commission]/2,IF(BetTable[Outcome2]="Lose Half Stake",BetTable[S2]/2,IF(BetTable[Outcome2]="Lose",0,IF(BetTable[Outcome2]="Void",BetTable[S2],)))))</f>
        <v>0</v>
      </c>
      <c r="AH503" s="164">
        <f>IF(BetTable[Outcome3]="Win",BetTable[WBA3-Commission],IF(BetTable[Outcome3]="Win Half Stake",(BetTable[S3]/2)+BetTable[WBA3-Commission]/2,IF(BetTable[Outcome3]="Lose Half Stake",BetTable[S3]/2,IF(BetTable[Outcome3]="Lose",0,IF(BetTable[Outcome3]="Void",BetTable[S3],)))))</f>
        <v>0</v>
      </c>
      <c r="AI503" s="168">
        <f>IF(BetTable[Outcome]="",AI502,BetTable[Result]+AI502)</f>
        <v>764.52225000000033</v>
      </c>
      <c r="AJ503" s="160"/>
    </row>
    <row r="504" spans="1:36" x14ac:dyDescent="0.2">
      <c r="A504" s="159" t="s">
        <v>1416</v>
      </c>
      <c r="B504" s="160" t="s">
        <v>200</v>
      </c>
      <c r="C504" s="161" t="s">
        <v>234</v>
      </c>
      <c r="D504" s="161"/>
      <c r="E504" s="161"/>
      <c r="F504" s="162"/>
      <c r="G504" s="162"/>
      <c r="H504" s="162"/>
      <c r="I504" s="160" t="s">
        <v>1468</v>
      </c>
      <c r="J504" s="163">
        <v>2.12</v>
      </c>
      <c r="K504" s="163"/>
      <c r="L504" s="163"/>
      <c r="M504" s="164">
        <v>20</v>
      </c>
      <c r="N504" s="164"/>
      <c r="O504" s="164"/>
      <c r="P504" s="159" t="s">
        <v>409</v>
      </c>
      <c r="Q504" s="159" t="s">
        <v>461</v>
      </c>
      <c r="R504" s="159" t="s">
        <v>1469</v>
      </c>
      <c r="S504" s="165">
        <v>1.8875819977569201E-2</v>
      </c>
      <c r="T504" s="166" t="s">
        <v>382</v>
      </c>
      <c r="U504" s="166"/>
      <c r="V504" s="166"/>
      <c r="W504" s="167">
        <f>IF(BetTable[Sport]="","",BetTable[Stake]+BetTable[S2]+BetTable[S3])</f>
        <v>20</v>
      </c>
      <c r="X504" s="164">
        <f>IF(BetTable[Odds]="","",(BetTable[WBA1-Commission])-BetTable[TS])</f>
        <v>22.400000000000006</v>
      </c>
      <c r="Y504" s="168">
        <f>IF(BetTable[Outcome]="","",BetTable[WBA1]+BetTable[WBA2]+BetTable[WBA3]-BetTable[TS])</f>
        <v>-20</v>
      </c>
      <c r="Z504" s="164">
        <f>(((BetTable[Odds]-1)*BetTable[Stake])*(1-(BetTable[Comm %]))+BetTable[Stake])</f>
        <v>42.400000000000006</v>
      </c>
      <c r="AA504" s="164">
        <f>(((BetTable[O2]-1)*BetTable[S2])*(1-(BetTable[C% 2]))+BetTable[S2])</f>
        <v>0</v>
      </c>
      <c r="AB504" s="164">
        <f>(((BetTable[O3]-1)*BetTable[S3])*(1-(BetTable[C% 3]))+BetTable[S3])</f>
        <v>0</v>
      </c>
      <c r="AC504" s="165">
        <f>IFERROR(IF(BetTable[Sport]="","",BetTable[R1]/BetTable[TS]),"")</f>
        <v>1.1200000000000003</v>
      </c>
      <c r="AD504" s="165" t="str">
        <f>IF(BetTable[O2]="","",#REF!/BetTable[TS])</f>
        <v/>
      </c>
      <c r="AE504" s="165" t="str">
        <f>IFERROR(IF(BetTable[Sport]="","",#REF!/BetTable[TS]),"")</f>
        <v/>
      </c>
      <c r="AF504" s="164">
        <f>IF(BetTable[Outcome]="Win",BetTable[WBA1-Commission],IF(BetTable[Outcome]="Win Half Stake",(BetTable[Stake]/2)+BetTable[WBA1-Commission]/2,IF(BetTable[Outcome]="Lose Half Stake",BetTable[Stake]/2,IF(BetTable[Outcome]="Lose",0,IF(BetTable[Outcome]="Void",BetTable[Stake],)))))</f>
        <v>0</v>
      </c>
      <c r="AG504" s="164">
        <f>IF(BetTable[Outcome2]="Win",BetTable[WBA2-Commission],IF(BetTable[Outcome2]="Win Half Stake",(BetTable[S2]/2)+BetTable[WBA2-Commission]/2,IF(BetTable[Outcome2]="Lose Half Stake",BetTable[S2]/2,IF(BetTable[Outcome2]="Lose",0,IF(BetTable[Outcome2]="Void",BetTable[S2],)))))</f>
        <v>0</v>
      </c>
      <c r="AH504" s="164">
        <f>IF(BetTable[Outcome3]="Win",BetTable[WBA3-Commission],IF(BetTable[Outcome3]="Win Half Stake",(BetTable[S3]/2)+BetTable[WBA3-Commission]/2,IF(BetTable[Outcome3]="Lose Half Stake",BetTable[S3]/2,IF(BetTable[Outcome3]="Lose",0,IF(BetTable[Outcome3]="Void",BetTable[S3],)))))</f>
        <v>0</v>
      </c>
      <c r="AI504" s="168">
        <f>IF(BetTable[Outcome]="",AI503,BetTable[Result]+AI503)</f>
        <v>744.52225000000033</v>
      </c>
      <c r="AJ504" s="160"/>
    </row>
    <row r="505" spans="1:36" x14ac:dyDescent="0.2">
      <c r="A505" s="159" t="s">
        <v>1416</v>
      </c>
      <c r="B505" s="160" t="s">
        <v>200</v>
      </c>
      <c r="C505" s="161" t="s">
        <v>91</v>
      </c>
      <c r="D505" s="161"/>
      <c r="E505" s="161"/>
      <c r="F505" s="162"/>
      <c r="G505" s="162"/>
      <c r="H505" s="162"/>
      <c r="I505" s="160" t="s">
        <v>1470</v>
      </c>
      <c r="J505" s="163">
        <v>2.0099999999999998</v>
      </c>
      <c r="K505" s="163"/>
      <c r="L505" s="163"/>
      <c r="M505" s="164">
        <v>22</v>
      </c>
      <c r="N505" s="164"/>
      <c r="O505" s="164"/>
      <c r="P505" s="159" t="s">
        <v>368</v>
      </c>
      <c r="Q505" s="159" t="s">
        <v>506</v>
      </c>
      <c r="R505" s="159" t="s">
        <v>1471</v>
      </c>
      <c r="S505" s="165">
        <v>1.8675209533954899E-2</v>
      </c>
      <c r="T505" s="166" t="s">
        <v>382</v>
      </c>
      <c r="U505" s="166"/>
      <c r="V505" s="166"/>
      <c r="W505" s="167">
        <f>IF(BetTable[Sport]="","",BetTable[Stake]+BetTable[S2]+BetTable[S3])</f>
        <v>22</v>
      </c>
      <c r="X505" s="164">
        <f>IF(BetTable[Odds]="","",(BetTable[WBA1-Commission])-BetTable[TS])</f>
        <v>22.22</v>
      </c>
      <c r="Y505" s="168">
        <f>IF(BetTable[Outcome]="","",BetTable[WBA1]+BetTable[WBA2]+BetTable[WBA3]-BetTable[TS])</f>
        <v>-22</v>
      </c>
      <c r="Z505" s="164">
        <f>(((BetTable[Odds]-1)*BetTable[Stake])*(1-(BetTable[Comm %]))+BetTable[Stake])</f>
        <v>44.22</v>
      </c>
      <c r="AA505" s="164">
        <f>(((BetTable[O2]-1)*BetTable[S2])*(1-(BetTable[C% 2]))+BetTable[S2])</f>
        <v>0</v>
      </c>
      <c r="AB505" s="164">
        <f>(((BetTable[O3]-1)*BetTable[S3])*(1-(BetTable[C% 3]))+BetTable[S3])</f>
        <v>0</v>
      </c>
      <c r="AC505" s="165">
        <f>IFERROR(IF(BetTable[Sport]="","",BetTable[R1]/BetTable[TS]),"")</f>
        <v>1.01</v>
      </c>
      <c r="AD505" s="165" t="str">
        <f>IF(BetTable[O2]="","",#REF!/BetTable[TS])</f>
        <v/>
      </c>
      <c r="AE505" s="165" t="str">
        <f>IFERROR(IF(BetTable[Sport]="","",#REF!/BetTable[TS]),"")</f>
        <v/>
      </c>
      <c r="AF505" s="164">
        <f>IF(BetTable[Outcome]="Win",BetTable[WBA1-Commission],IF(BetTable[Outcome]="Win Half Stake",(BetTable[Stake]/2)+BetTable[WBA1-Commission]/2,IF(BetTable[Outcome]="Lose Half Stake",BetTable[Stake]/2,IF(BetTable[Outcome]="Lose",0,IF(BetTable[Outcome]="Void",BetTable[Stake],)))))</f>
        <v>0</v>
      </c>
      <c r="AG505" s="164">
        <f>IF(BetTable[Outcome2]="Win",BetTable[WBA2-Commission],IF(BetTable[Outcome2]="Win Half Stake",(BetTable[S2]/2)+BetTable[WBA2-Commission]/2,IF(BetTable[Outcome2]="Lose Half Stake",BetTable[S2]/2,IF(BetTable[Outcome2]="Lose",0,IF(BetTable[Outcome2]="Void",BetTable[S2],)))))</f>
        <v>0</v>
      </c>
      <c r="AH505" s="164">
        <f>IF(BetTable[Outcome3]="Win",BetTable[WBA3-Commission],IF(BetTable[Outcome3]="Win Half Stake",(BetTable[S3]/2)+BetTable[WBA3-Commission]/2,IF(BetTable[Outcome3]="Lose Half Stake",BetTable[S3]/2,IF(BetTable[Outcome3]="Lose",0,IF(BetTable[Outcome3]="Void",BetTable[S3],)))))</f>
        <v>0</v>
      </c>
      <c r="AI505" s="168">
        <f>IF(BetTable[Outcome]="",AI504,BetTable[Result]+AI504)</f>
        <v>722.52225000000033</v>
      </c>
      <c r="AJ505" s="160"/>
    </row>
    <row r="506" spans="1:36" x14ac:dyDescent="0.2">
      <c r="A506" s="159" t="s">
        <v>1416</v>
      </c>
      <c r="B506" s="160" t="s">
        <v>200</v>
      </c>
      <c r="C506" s="161" t="s">
        <v>234</v>
      </c>
      <c r="D506" s="161"/>
      <c r="E506" s="161"/>
      <c r="F506" s="162"/>
      <c r="G506" s="162"/>
      <c r="H506" s="162"/>
      <c r="I506" s="160" t="s">
        <v>1472</v>
      </c>
      <c r="J506" s="163">
        <v>1.67</v>
      </c>
      <c r="K506" s="163"/>
      <c r="L506" s="163"/>
      <c r="M506" s="164">
        <v>26</v>
      </c>
      <c r="N506" s="164"/>
      <c r="O506" s="164"/>
      <c r="P506" s="159" t="s">
        <v>360</v>
      </c>
      <c r="Q506" s="159" t="s">
        <v>581</v>
      </c>
      <c r="R506" s="159" t="s">
        <v>1473</v>
      </c>
      <c r="S506" s="165">
        <v>1.43203695681197E-2</v>
      </c>
      <c r="T506" s="166" t="s">
        <v>372</v>
      </c>
      <c r="U506" s="166"/>
      <c r="V506" s="166"/>
      <c r="W506" s="167">
        <f>IF(BetTable[Sport]="","",BetTable[Stake]+BetTable[S2]+BetTable[S3])</f>
        <v>26</v>
      </c>
      <c r="X506" s="164">
        <f>IF(BetTable[Odds]="","",(BetTable[WBA1-Commission])-BetTable[TS])</f>
        <v>17.420000000000002</v>
      </c>
      <c r="Y506" s="168">
        <f>IF(BetTable[Outcome]="","",BetTable[WBA1]+BetTable[WBA2]+BetTable[WBA3]-BetTable[TS])</f>
        <v>17.420000000000002</v>
      </c>
      <c r="Z506" s="164">
        <f>(((BetTable[Odds]-1)*BetTable[Stake])*(1-(BetTable[Comm %]))+BetTable[Stake])</f>
        <v>43.42</v>
      </c>
      <c r="AA506" s="164">
        <f>(((BetTable[O2]-1)*BetTable[S2])*(1-(BetTable[C% 2]))+BetTable[S2])</f>
        <v>0</v>
      </c>
      <c r="AB506" s="164">
        <f>(((BetTable[O3]-1)*BetTable[S3])*(1-(BetTable[C% 3]))+BetTable[S3])</f>
        <v>0</v>
      </c>
      <c r="AC506" s="165">
        <f>IFERROR(IF(BetTable[Sport]="","",BetTable[R1]/BetTable[TS]),"")</f>
        <v>0.67</v>
      </c>
      <c r="AD506" s="165" t="str">
        <f>IF(BetTable[O2]="","",#REF!/BetTable[TS])</f>
        <v/>
      </c>
      <c r="AE506" s="165" t="str">
        <f>IFERROR(IF(BetTable[Sport]="","",#REF!/BetTable[TS]),"")</f>
        <v/>
      </c>
      <c r="AF506" s="164">
        <f>IF(BetTable[Outcome]="Win",BetTable[WBA1-Commission],IF(BetTable[Outcome]="Win Half Stake",(BetTable[Stake]/2)+BetTable[WBA1-Commission]/2,IF(BetTable[Outcome]="Lose Half Stake",BetTable[Stake]/2,IF(BetTable[Outcome]="Lose",0,IF(BetTable[Outcome]="Void",BetTable[Stake],)))))</f>
        <v>43.42</v>
      </c>
      <c r="AG506" s="164">
        <f>IF(BetTable[Outcome2]="Win",BetTable[WBA2-Commission],IF(BetTable[Outcome2]="Win Half Stake",(BetTable[S2]/2)+BetTable[WBA2-Commission]/2,IF(BetTable[Outcome2]="Lose Half Stake",BetTable[S2]/2,IF(BetTable[Outcome2]="Lose",0,IF(BetTable[Outcome2]="Void",BetTable[S2],)))))</f>
        <v>0</v>
      </c>
      <c r="AH506" s="164">
        <f>IF(BetTable[Outcome3]="Win",BetTable[WBA3-Commission],IF(BetTable[Outcome3]="Win Half Stake",(BetTable[S3]/2)+BetTable[WBA3-Commission]/2,IF(BetTable[Outcome3]="Lose Half Stake",BetTable[S3]/2,IF(BetTable[Outcome3]="Lose",0,IF(BetTable[Outcome3]="Void",BetTable[S3],)))))</f>
        <v>0</v>
      </c>
      <c r="AI506" s="168">
        <f>IF(BetTable[Outcome]="",AI505,BetTable[Result]+AI505)</f>
        <v>739.94225000000029</v>
      </c>
      <c r="AJ506" s="160"/>
    </row>
    <row r="507" spans="1:36" x14ac:dyDescent="0.2">
      <c r="A507" s="159" t="s">
        <v>1416</v>
      </c>
      <c r="B507" s="160" t="s">
        <v>200</v>
      </c>
      <c r="C507" s="161" t="s">
        <v>91</v>
      </c>
      <c r="D507" s="161"/>
      <c r="E507" s="161"/>
      <c r="F507" s="162"/>
      <c r="G507" s="162"/>
      <c r="H507" s="162"/>
      <c r="I507" s="160" t="s">
        <v>1474</v>
      </c>
      <c r="J507" s="163">
        <v>1.88</v>
      </c>
      <c r="K507" s="163"/>
      <c r="L507" s="163"/>
      <c r="M507" s="164">
        <v>38</v>
      </c>
      <c r="N507" s="164"/>
      <c r="O507" s="164"/>
      <c r="P507" s="159" t="s">
        <v>360</v>
      </c>
      <c r="Q507" s="159" t="s">
        <v>1475</v>
      </c>
      <c r="R507" s="159" t="s">
        <v>1476</v>
      </c>
      <c r="S507" s="165">
        <v>2.75755935136325E-2</v>
      </c>
      <c r="T507" s="166" t="s">
        <v>372</v>
      </c>
      <c r="U507" s="166"/>
      <c r="V507" s="166"/>
      <c r="W507" s="167">
        <f>IF(BetTable[Sport]="","",BetTable[Stake]+BetTable[S2]+BetTable[S3])</f>
        <v>38</v>
      </c>
      <c r="X507" s="164">
        <f>IF(BetTable[Odds]="","",(BetTable[WBA1-Commission])-BetTable[TS])</f>
        <v>33.44</v>
      </c>
      <c r="Y507" s="168">
        <f>IF(BetTable[Outcome]="","",BetTable[WBA1]+BetTable[WBA2]+BetTable[WBA3]-BetTable[TS])</f>
        <v>33.44</v>
      </c>
      <c r="Z507" s="164">
        <f>(((BetTable[Odds]-1)*BetTable[Stake])*(1-(BetTable[Comm %]))+BetTable[Stake])</f>
        <v>71.44</v>
      </c>
      <c r="AA507" s="164">
        <f>(((BetTable[O2]-1)*BetTable[S2])*(1-(BetTable[C% 2]))+BetTable[S2])</f>
        <v>0</v>
      </c>
      <c r="AB507" s="164">
        <f>(((BetTable[O3]-1)*BetTable[S3])*(1-(BetTable[C% 3]))+BetTable[S3])</f>
        <v>0</v>
      </c>
      <c r="AC507" s="165">
        <f>IFERROR(IF(BetTable[Sport]="","",BetTable[R1]/BetTable[TS]),"")</f>
        <v>0.87999999999999989</v>
      </c>
      <c r="AD507" s="165" t="str">
        <f>IF(BetTable[O2]="","",#REF!/BetTable[TS])</f>
        <v/>
      </c>
      <c r="AE507" s="165" t="str">
        <f>IFERROR(IF(BetTable[Sport]="","",#REF!/BetTable[TS]),"")</f>
        <v/>
      </c>
      <c r="AF507" s="164">
        <f>IF(BetTable[Outcome]="Win",BetTable[WBA1-Commission],IF(BetTable[Outcome]="Win Half Stake",(BetTable[Stake]/2)+BetTable[WBA1-Commission]/2,IF(BetTable[Outcome]="Lose Half Stake",BetTable[Stake]/2,IF(BetTable[Outcome]="Lose",0,IF(BetTable[Outcome]="Void",BetTable[Stake],)))))</f>
        <v>71.44</v>
      </c>
      <c r="AG507" s="164">
        <f>IF(BetTable[Outcome2]="Win",BetTable[WBA2-Commission],IF(BetTable[Outcome2]="Win Half Stake",(BetTable[S2]/2)+BetTable[WBA2-Commission]/2,IF(BetTable[Outcome2]="Lose Half Stake",BetTable[S2]/2,IF(BetTable[Outcome2]="Lose",0,IF(BetTable[Outcome2]="Void",BetTable[S2],)))))</f>
        <v>0</v>
      </c>
      <c r="AH507" s="164">
        <f>IF(BetTable[Outcome3]="Win",BetTable[WBA3-Commission],IF(BetTable[Outcome3]="Win Half Stake",(BetTable[S3]/2)+BetTable[WBA3-Commission]/2,IF(BetTable[Outcome3]="Lose Half Stake",BetTable[S3]/2,IF(BetTable[Outcome3]="Lose",0,IF(BetTable[Outcome3]="Void",BetTable[S3],)))))</f>
        <v>0</v>
      </c>
      <c r="AI507" s="168">
        <f>IF(BetTable[Outcome]="",AI506,BetTable[Result]+AI506)</f>
        <v>773.38225000000034</v>
      </c>
      <c r="AJ507" s="160"/>
    </row>
    <row r="508" spans="1:36" x14ac:dyDescent="0.2">
      <c r="A508" s="159" t="s">
        <v>1416</v>
      </c>
      <c r="B508" s="160" t="s">
        <v>200</v>
      </c>
      <c r="C508" s="161" t="s">
        <v>91</v>
      </c>
      <c r="D508" s="161"/>
      <c r="E508" s="161"/>
      <c r="F508" s="162"/>
      <c r="G508" s="162"/>
      <c r="H508" s="162"/>
      <c r="I508" s="160" t="s">
        <v>1477</v>
      </c>
      <c r="J508" s="163">
        <v>1.91</v>
      </c>
      <c r="K508" s="163"/>
      <c r="L508" s="163"/>
      <c r="M508" s="164">
        <v>20</v>
      </c>
      <c r="N508" s="164"/>
      <c r="O508" s="164"/>
      <c r="P508" s="159" t="s">
        <v>360</v>
      </c>
      <c r="Q508" s="159" t="s">
        <v>796</v>
      </c>
      <c r="R508" s="159" t="s">
        <v>1478</v>
      </c>
      <c r="S508" s="165">
        <v>3.7008100400237401E-2</v>
      </c>
      <c r="T508" s="166" t="s">
        <v>383</v>
      </c>
      <c r="U508" s="166"/>
      <c r="V508" s="166"/>
      <c r="W508" s="167">
        <f>IF(BetTable[Sport]="","",BetTable[Stake]+BetTable[S2]+BetTable[S3])</f>
        <v>20</v>
      </c>
      <c r="X508" s="164">
        <f>IF(BetTable[Odds]="","",(BetTable[WBA1-Commission])-BetTable[TS])</f>
        <v>18.200000000000003</v>
      </c>
      <c r="Y508" s="168">
        <f>IF(BetTable[Outcome]="","",BetTable[WBA1]+BetTable[WBA2]+BetTable[WBA3]-BetTable[TS])</f>
        <v>0</v>
      </c>
      <c r="Z508" s="164">
        <f>(((BetTable[Odds]-1)*BetTable[Stake])*(1-(BetTable[Comm %]))+BetTable[Stake])</f>
        <v>38.200000000000003</v>
      </c>
      <c r="AA508" s="164">
        <f>(((BetTable[O2]-1)*BetTable[S2])*(1-(BetTable[C% 2]))+BetTable[S2])</f>
        <v>0</v>
      </c>
      <c r="AB508" s="164">
        <f>(((BetTable[O3]-1)*BetTable[S3])*(1-(BetTable[C% 3]))+BetTable[S3])</f>
        <v>0</v>
      </c>
      <c r="AC508" s="165">
        <f>IFERROR(IF(BetTable[Sport]="","",BetTable[R1]/BetTable[TS]),"")</f>
        <v>0.91000000000000014</v>
      </c>
      <c r="AD508" s="165" t="str">
        <f>IF(BetTable[O2]="","",#REF!/BetTable[TS])</f>
        <v/>
      </c>
      <c r="AE508" s="165" t="str">
        <f>IFERROR(IF(BetTable[Sport]="","",#REF!/BetTable[TS]),"")</f>
        <v/>
      </c>
      <c r="AF508" s="164">
        <f>IF(BetTable[Outcome]="Win",BetTable[WBA1-Commission],IF(BetTable[Outcome]="Win Half Stake",(BetTable[Stake]/2)+BetTable[WBA1-Commission]/2,IF(BetTable[Outcome]="Lose Half Stake",BetTable[Stake]/2,IF(BetTable[Outcome]="Lose",0,IF(BetTable[Outcome]="Void",BetTable[Stake],)))))</f>
        <v>20</v>
      </c>
      <c r="AG508" s="164">
        <f>IF(BetTable[Outcome2]="Win",BetTable[WBA2-Commission],IF(BetTable[Outcome2]="Win Half Stake",(BetTable[S2]/2)+BetTable[WBA2-Commission]/2,IF(BetTable[Outcome2]="Lose Half Stake",BetTable[S2]/2,IF(BetTable[Outcome2]="Lose",0,IF(BetTable[Outcome2]="Void",BetTable[S2],)))))</f>
        <v>0</v>
      </c>
      <c r="AH508" s="164">
        <f>IF(BetTable[Outcome3]="Win",BetTable[WBA3-Commission],IF(BetTable[Outcome3]="Win Half Stake",(BetTable[S3]/2)+BetTable[WBA3-Commission]/2,IF(BetTable[Outcome3]="Lose Half Stake",BetTable[S3]/2,IF(BetTable[Outcome3]="Lose",0,IF(BetTable[Outcome3]="Void",BetTable[S3],)))))</f>
        <v>0</v>
      </c>
      <c r="AI508" s="168">
        <f>IF(BetTable[Outcome]="",AI507,BetTable[Result]+AI507)</f>
        <v>773.38225000000034</v>
      </c>
      <c r="AJ508" s="160"/>
    </row>
    <row r="509" spans="1:36" x14ac:dyDescent="0.2">
      <c r="A509" s="159" t="s">
        <v>1416</v>
      </c>
      <c r="B509" s="160" t="s">
        <v>175</v>
      </c>
      <c r="C509" s="161" t="s">
        <v>216</v>
      </c>
      <c r="D509" s="161"/>
      <c r="E509" s="161"/>
      <c r="F509" s="162"/>
      <c r="G509" s="162"/>
      <c r="H509" s="162"/>
      <c r="I509" s="160" t="s">
        <v>1479</v>
      </c>
      <c r="J509" s="163">
        <v>1.952</v>
      </c>
      <c r="K509" s="163"/>
      <c r="L509" s="163"/>
      <c r="M509" s="164">
        <v>80</v>
      </c>
      <c r="N509" s="164"/>
      <c r="O509" s="164"/>
      <c r="P509" s="159" t="s">
        <v>1480</v>
      </c>
      <c r="Q509" s="159" t="s">
        <v>585</v>
      </c>
      <c r="R509" s="159" t="s">
        <v>1481</v>
      </c>
      <c r="S509" s="165">
        <v>7.2077972709551602E-2</v>
      </c>
      <c r="T509" s="166" t="s">
        <v>382</v>
      </c>
      <c r="U509" s="166"/>
      <c r="V509" s="166"/>
      <c r="W509" s="167">
        <f>IF(BetTable[Sport]="","",BetTable[Stake]+BetTable[S2]+BetTable[S3])</f>
        <v>80</v>
      </c>
      <c r="X509" s="164">
        <f>IF(BetTable[Odds]="","",(BetTable[WBA1-Commission])-BetTable[TS])</f>
        <v>76.16</v>
      </c>
      <c r="Y509" s="168">
        <f>IF(BetTable[Outcome]="","",BetTable[WBA1]+BetTable[WBA2]+BetTable[WBA3]-BetTable[TS])</f>
        <v>-80</v>
      </c>
      <c r="Z509" s="164">
        <f>(((BetTable[Odds]-1)*BetTable[Stake])*(1-(BetTable[Comm %]))+BetTable[Stake])</f>
        <v>156.16</v>
      </c>
      <c r="AA509" s="164">
        <f>(((BetTable[O2]-1)*BetTable[S2])*(1-(BetTable[C% 2]))+BetTable[S2])</f>
        <v>0</v>
      </c>
      <c r="AB509" s="164">
        <f>(((BetTable[O3]-1)*BetTable[S3])*(1-(BetTable[C% 3]))+BetTable[S3])</f>
        <v>0</v>
      </c>
      <c r="AC509" s="165">
        <f>IFERROR(IF(BetTable[Sport]="","",BetTable[R1]/BetTable[TS]),"")</f>
        <v>0.95199999999999996</v>
      </c>
      <c r="AD509" s="165" t="str">
        <f>IF(BetTable[O2]="","",#REF!/BetTable[TS])</f>
        <v/>
      </c>
      <c r="AE509" s="165" t="str">
        <f>IFERROR(IF(BetTable[Sport]="","",#REF!/BetTable[TS]),"")</f>
        <v/>
      </c>
      <c r="AF509" s="164">
        <f>IF(BetTable[Outcome]="Win",BetTable[WBA1-Commission],IF(BetTable[Outcome]="Win Half Stake",(BetTable[Stake]/2)+BetTable[WBA1-Commission]/2,IF(BetTable[Outcome]="Lose Half Stake",BetTable[Stake]/2,IF(BetTable[Outcome]="Lose",0,IF(BetTable[Outcome]="Void",BetTable[Stake],)))))</f>
        <v>0</v>
      </c>
      <c r="AG509" s="164">
        <f>IF(BetTable[Outcome2]="Win",BetTable[WBA2-Commission],IF(BetTable[Outcome2]="Win Half Stake",(BetTable[S2]/2)+BetTable[WBA2-Commission]/2,IF(BetTable[Outcome2]="Lose Half Stake",BetTable[S2]/2,IF(BetTable[Outcome2]="Lose",0,IF(BetTable[Outcome2]="Void",BetTable[S2],)))))</f>
        <v>0</v>
      </c>
      <c r="AH509" s="164">
        <f>IF(BetTable[Outcome3]="Win",BetTable[WBA3-Commission],IF(BetTable[Outcome3]="Win Half Stake",(BetTable[S3]/2)+BetTable[WBA3-Commission]/2,IF(BetTable[Outcome3]="Lose Half Stake",BetTable[S3]/2,IF(BetTable[Outcome3]="Lose",0,IF(BetTable[Outcome3]="Void",BetTable[S3],)))))</f>
        <v>0</v>
      </c>
      <c r="AI509" s="168">
        <f>IF(BetTable[Outcome]="",AI508,BetTable[Result]+AI508)</f>
        <v>693.38225000000034</v>
      </c>
      <c r="AJ509" s="160"/>
    </row>
    <row r="510" spans="1:36" x14ac:dyDescent="0.2">
      <c r="A510" s="159" t="s">
        <v>1416</v>
      </c>
      <c r="B510" s="160" t="s">
        <v>200</v>
      </c>
      <c r="C510" s="161" t="s">
        <v>91</v>
      </c>
      <c r="D510" s="161"/>
      <c r="E510" s="161"/>
      <c r="F510" s="162"/>
      <c r="G510" s="162"/>
      <c r="H510" s="162"/>
      <c r="I510" s="160" t="s">
        <v>1482</v>
      </c>
      <c r="J510" s="163">
        <v>2.08</v>
      </c>
      <c r="K510" s="163"/>
      <c r="L510" s="163"/>
      <c r="M510" s="164">
        <v>31</v>
      </c>
      <c r="N510" s="164"/>
      <c r="O510" s="164"/>
      <c r="P510" s="159" t="s">
        <v>448</v>
      </c>
      <c r="Q510" s="159" t="s">
        <v>581</v>
      </c>
      <c r="R510" s="159" t="s">
        <v>1483</v>
      </c>
      <c r="S510" s="165">
        <v>2.7921022502266E-2</v>
      </c>
      <c r="T510" s="166" t="s">
        <v>382</v>
      </c>
      <c r="U510" s="166"/>
      <c r="V510" s="166"/>
      <c r="W510" s="167">
        <f>IF(BetTable[Sport]="","",BetTable[Stake]+BetTable[S2]+BetTable[S3])</f>
        <v>31</v>
      </c>
      <c r="X510" s="164">
        <f>IF(BetTable[Odds]="","",(BetTable[WBA1-Commission])-BetTable[TS])</f>
        <v>33.480000000000004</v>
      </c>
      <c r="Y510" s="168">
        <f>IF(BetTable[Outcome]="","",BetTable[WBA1]+BetTable[WBA2]+BetTable[WBA3]-BetTable[TS])</f>
        <v>-31</v>
      </c>
      <c r="Z510" s="164">
        <f>(((BetTable[Odds]-1)*BetTable[Stake])*(1-(BetTable[Comm %]))+BetTable[Stake])</f>
        <v>64.48</v>
      </c>
      <c r="AA510" s="164">
        <f>(((BetTable[O2]-1)*BetTable[S2])*(1-(BetTable[C% 2]))+BetTable[S2])</f>
        <v>0</v>
      </c>
      <c r="AB510" s="164">
        <f>(((BetTable[O3]-1)*BetTable[S3])*(1-(BetTable[C% 3]))+BetTable[S3])</f>
        <v>0</v>
      </c>
      <c r="AC510" s="165">
        <f>IFERROR(IF(BetTable[Sport]="","",BetTable[R1]/BetTable[TS]),"")</f>
        <v>1.08</v>
      </c>
      <c r="AD510" s="165" t="str">
        <f>IF(BetTable[O2]="","",#REF!/BetTable[TS])</f>
        <v/>
      </c>
      <c r="AE510" s="165" t="str">
        <f>IFERROR(IF(BetTable[Sport]="","",#REF!/BetTable[TS]),"")</f>
        <v/>
      </c>
      <c r="AF510" s="164">
        <f>IF(BetTable[Outcome]="Win",BetTable[WBA1-Commission],IF(BetTable[Outcome]="Win Half Stake",(BetTable[Stake]/2)+BetTable[WBA1-Commission]/2,IF(BetTable[Outcome]="Lose Half Stake",BetTable[Stake]/2,IF(BetTable[Outcome]="Lose",0,IF(BetTable[Outcome]="Void",BetTable[Stake],)))))</f>
        <v>0</v>
      </c>
      <c r="AG510" s="164">
        <f>IF(BetTable[Outcome2]="Win",BetTable[WBA2-Commission],IF(BetTable[Outcome2]="Win Half Stake",(BetTable[S2]/2)+BetTable[WBA2-Commission]/2,IF(BetTable[Outcome2]="Lose Half Stake",BetTable[S2]/2,IF(BetTable[Outcome2]="Lose",0,IF(BetTable[Outcome2]="Void",BetTable[S2],)))))</f>
        <v>0</v>
      </c>
      <c r="AH510" s="164">
        <f>IF(BetTable[Outcome3]="Win",BetTable[WBA3-Commission],IF(BetTable[Outcome3]="Win Half Stake",(BetTable[S3]/2)+BetTable[WBA3-Commission]/2,IF(BetTable[Outcome3]="Lose Half Stake",BetTable[S3]/2,IF(BetTable[Outcome3]="Lose",0,IF(BetTable[Outcome3]="Void",BetTable[S3],)))))</f>
        <v>0</v>
      </c>
      <c r="AI510" s="168">
        <f>IF(BetTable[Outcome]="",AI509,BetTable[Result]+AI509)</f>
        <v>662.38225000000034</v>
      </c>
      <c r="AJ510" s="160"/>
    </row>
    <row r="511" spans="1:36" x14ac:dyDescent="0.2">
      <c r="A511" s="159" t="s">
        <v>1416</v>
      </c>
      <c r="B511" s="160" t="s">
        <v>200</v>
      </c>
      <c r="C511" s="161" t="s">
        <v>91</v>
      </c>
      <c r="D511" s="161"/>
      <c r="E511" s="161"/>
      <c r="F511" s="162"/>
      <c r="G511" s="162"/>
      <c r="H511" s="162"/>
      <c r="I511" s="160" t="s">
        <v>1484</v>
      </c>
      <c r="J511" s="163">
        <v>1.83</v>
      </c>
      <c r="K511" s="163"/>
      <c r="L511" s="163"/>
      <c r="M511" s="164">
        <v>21</v>
      </c>
      <c r="N511" s="164"/>
      <c r="O511" s="164"/>
      <c r="P511" s="159" t="s">
        <v>385</v>
      </c>
      <c r="Q511" s="159" t="s">
        <v>485</v>
      </c>
      <c r="R511" s="159" t="s">
        <v>1485</v>
      </c>
      <c r="S511" s="165">
        <v>1.43456708294718E-2</v>
      </c>
      <c r="T511" s="166" t="s">
        <v>382</v>
      </c>
      <c r="U511" s="166"/>
      <c r="V511" s="166"/>
      <c r="W511" s="167">
        <f>IF(BetTable[Sport]="","",BetTable[Stake]+BetTable[S2]+BetTable[S3])</f>
        <v>21</v>
      </c>
      <c r="X511" s="164">
        <f>IF(BetTable[Odds]="","",(BetTable[WBA1-Commission])-BetTable[TS])</f>
        <v>17.43</v>
      </c>
      <c r="Y511" s="168">
        <f>IF(BetTable[Outcome]="","",BetTable[WBA1]+BetTable[WBA2]+BetTable[WBA3]-BetTable[TS])</f>
        <v>-21</v>
      </c>
      <c r="Z511" s="164">
        <f>(((BetTable[Odds]-1)*BetTable[Stake])*(1-(BetTable[Comm %]))+BetTable[Stake])</f>
        <v>38.43</v>
      </c>
      <c r="AA511" s="164">
        <f>(((BetTable[O2]-1)*BetTable[S2])*(1-(BetTable[C% 2]))+BetTable[S2])</f>
        <v>0</v>
      </c>
      <c r="AB511" s="164">
        <f>(((BetTable[O3]-1)*BetTable[S3])*(1-(BetTable[C% 3]))+BetTable[S3])</f>
        <v>0</v>
      </c>
      <c r="AC511" s="165">
        <f>IFERROR(IF(BetTable[Sport]="","",BetTable[R1]/BetTable[TS]),"")</f>
        <v>0.83</v>
      </c>
      <c r="AD511" s="165" t="str">
        <f>IF(BetTable[O2]="","",#REF!/BetTable[TS])</f>
        <v/>
      </c>
      <c r="AE511" s="165" t="str">
        <f>IFERROR(IF(BetTable[Sport]="","",#REF!/BetTable[TS]),"")</f>
        <v/>
      </c>
      <c r="AF511" s="164">
        <f>IF(BetTable[Outcome]="Win",BetTable[WBA1-Commission],IF(BetTable[Outcome]="Win Half Stake",(BetTable[Stake]/2)+BetTable[WBA1-Commission]/2,IF(BetTable[Outcome]="Lose Half Stake",BetTable[Stake]/2,IF(BetTable[Outcome]="Lose",0,IF(BetTable[Outcome]="Void",BetTable[Stake],)))))</f>
        <v>0</v>
      </c>
      <c r="AG511" s="164">
        <f>IF(BetTable[Outcome2]="Win",BetTable[WBA2-Commission],IF(BetTable[Outcome2]="Win Half Stake",(BetTable[S2]/2)+BetTable[WBA2-Commission]/2,IF(BetTable[Outcome2]="Lose Half Stake",BetTable[S2]/2,IF(BetTable[Outcome2]="Lose",0,IF(BetTable[Outcome2]="Void",BetTable[S2],)))))</f>
        <v>0</v>
      </c>
      <c r="AH511" s="164">
        <f>IF(BetTable[Outcome3]="Win",BetTable[WBA3-Commission],IF(BetTable[Outcome3]="Win Half Stake",(BetTable[S3]/2)+BetTable[WBA3-Commission]/2,IF(BetTable[Outcome3]="Lose Half Stake",BetTable[S3]/2,IF(BetTable[Outcome3]="Lose",0,IF(BetTable[Outcome3]="Void",BetTable[S3],)))))</f>
        <v>0</v>
      </c>
      <c r="AI511" s="168">
        <f>IF(BetTable[Outcome]="",AI510,BetTable[Result]+AI510)</f>
        <v>641.38225000000034</v>
      </c>
      <c r="AJ511" s="160"/>
    </row>
    <row r="512" spans="1:36" x14ac:dyDescent="0.2">
      <c r="A512" s="159" t="s">
        <v>1416</v>
      </c>
      <c r="B512" s="160" t="s">
        <v>175</v>
      </c>
      <c r="C512" s="161" t="s">
        <v>234</v>
      </c>
      <c r="D512" s="161"/>
      <c r="E512" s="161"/>
      <c r="F512" s="162"/>
      <c r="G512" s="162"/>
      <c r="H512" s="162"/>
      <c r="I512" s="160" t="s">
        <v>1486</v>
      </c>
      <c r="J512" s="163">
        <v>1.93</v>
      </c>
      <c r="K512" s="163"/>
      <c r="L512" s="163"/>
      <c r="M512" s="164">
        <v>15</v>
      </c>
      <c r="N512" s="164"/>
      <c r="O512" s="164"/>
      <c r="P512" s="159" t="s">
        <v>1086</v>
      </c>
      <c r="Q512" s="159" t="s">
        <v>585</v>
      </c>
      <c r="R512" s="159" t="s">
        <v>1487</v>
      </c>
      <c r="S512" s="165">
        <v>1.16368569217246E-2</v>
      </c>
      <c r="T512" s="166" t="s">
        <v>372</v>
      </c>
      <c r="U512" s="166"/>
      <c r="V512" s="166"/>
      <c r="W512" s="167">
        <f>IF(BetTable[Sport]="","",BetTable[Stake]+BetTable[S2]+BetTable[S3])</f>
        <v>15</v>
      </c>
      <c r="X512" s="164">
        <f>IF(BetTable[Odds]="","",(BetTable[WBA1-Commission])-BetTable[TS])</f>
        <v>13.95</v>
      </c>
      <c r="Y512" s="168">
        <f>IF(BetTable[Outcome]="","",BetTable[WBA1]+BetTable[WBA2]+BetTable[WBA3]-BetTable[TS])</f>
        <v>13.95</v>
      </c>
      <c r="Z512" s="164">
        <f>(((BetTable[Odds]-1)*BetTable[Stake])*(1-(BetTable[Comm %]))+BetTable[Stake])</f>
        <v>28.95</v>
      </c>
      <c r="AA512" s="164">
        <f>(((BetTable[O2]-1)*BetTable[S2])*(1-(BetTable[C% 2]))+BetTable[S2])</f>
        <v>0</v>
      </c>
      <c r="AB512" s="164">
        <f>(((BetTable[O3]-1)*BetTable[S3])*(1-(BetTable[C% 3]))+BetTable[S3])</f>
        <v>0</v>
      </c>
      <c r="AC512" s="165">
        <f>IFERROR(IF(BetTable[Sport]="","",BetTable[R1]/BetTable[TS]),"")</f>
        <v>0.92999999999999994</v>
      </c>
      <c r="AD512" s="165" t="str">
        <f>IF(BetTable[O2]="","",#REF!/BetTable[TS])</f>
        <v/>
      </c>
      <c r="AE512" s="165" t="str">
        <f>IFERROR(IF(BetTable[Sport]="","",#REF!/BetTable[TS]),"")</f>
        <v/>
      </c>
      <c r="AF512" s="164">
        <f>IF(BetTable[Outcome]="Win",BetTable[WBA1-Commission],IF(BetTable[Outcome]="Win Half Stake",(BetTable[Stake]/2)+BetTable[WBA1-Commission]/2,IF(BetTable[Outcome]="Lose Half Stake",BetTable[Stake]/2,IF(BetTable[Outcome]="Lose",0,IF(BetTable[Outcome]="Void",BetTable[Stake],)))))</f>
        <v>28.95</v>
      </c>
      <c r="AG512" s="164">
        <f>IF(BetTable[Outcome2]="Win",BetTable[WBA2-Commission],IF(BetTable[Outcome2]="Win Half Stake",(BetTable[S2]/2)+BetTable[WBA2-Commission]/2,IF(BetTable[Outcome2]="Lose Half Stake",BetTable[S2]/2,IF(BetTable[Outcome2]="Lose",0,IF(BetTable[Outcome2]="Void",BetTable[S2],)))))</f>
        <v>0</v>
      </c>
      <c r="AH512" s="164">
        <f>IF(BetTable[Outcome3]="Win",BetTable[WBA3-Commission],IF(BetTable[Outcome3]="Win Half Stake",(BetTable[S3]/2)+BetTable[WBA3-Commission]/2,IF(BetTable[Outcome3]="Lose Half Stake",BetTable[S3]/2,IF(BetTable[Outcome3]="Lose",0,IF(BetTable[Outcome3]="Void",BetTable[S3],)))))</f>
        <v>0</v>
      </c>
      <c r="AI512" s="168">
        <f>IF(BetTable[Outcome]="",AI511,BetTable[Result]+AI511)</f>
        <v>655.33225000000039</v>
      </c>
      <c r="AJ512" s="160"/>
    </row>
    <row r="513" spans="1:36" x14ac:dyDescent="0.2">
      <c r="A513" s="159" t="s">
        <v>1416</v>
      </c>
      <c r="B513" s="160" t="s">
        <v>200</v>
      </c>
      <c r="C513" s="161" t="s">
        <v>91</v>
      </c>
      <c r="D513" s="161"/>
      <c r="E513" s="161"/>
      <c r="F513" s="162"/>
      <c r="G513" s="162"/>
      <c r="H513" s="162"/>
      <c r="I513" s="160" t="s">
        <v>1488</v>
      </c>
      <c r="J513" s="163">
        <v>1.97</v>
      </c>
      <c r="K513" s="163"/>
      <c r="L513" s="163"/>
      <c r="M513" s="164">
        <v>24</v>
      </c>
      <c r="N513" s="164"/>
      <c r="O513" s="164"/>
      <c r="P513" s="159" t="s">
        <v>1489</v>
      </c>
      <c r="Q513" s="159" t="s">
        <v>677</v>
      </c>
      <c r="R513" s="159" t="s">
        <v>1490</v>
      </c>
      <c r="S513" s="165">
        <v>1.9785103191183599E-2</v>
      </c>
      <c r="T513" s="166" t="s">
        <v>372</v>
      </c>
      <c r="U513" s="166"/>
      <c r="V513" s="166"/>
      <c r="W513" s="167">
        <f>IF(BetTable[Sport]="","",BetTable[Stake]+BetTable[S2]+BetTable[S3])</f>
        <v>24</v>
      </c>
      <c r="X513" s="164">
        <f>IF(BetTable[Odds]="","",(BetTable[WBA1-Commission])-BetTable[TS])</f>
        <v>23.28</v>
      </c>
      <c r="Y513" s="168">
        <f>IF(BetTable[Outcome]="","",BetTable[WBA1]+BetTable[WBA2]+BetTable[WBA3]-BetTable[TS])</f>
        <v>23.28</v>
      </c>
      <c r="Z513" s="164">
        <f>(((BetTable[Odds]-1)*BetTable[Stake])*(1-(BetTable[Comm %]))+BetTable[Stake])</f>
        <v>47.28</v>
      </c>
      <c r="AA513" s="164">
        <f>(((BetTable[O2]-1)*BetTable[S2])*(1-(BetTable[C% 2]))+BetTable[S2])</f>
        <v>0</v>
      </c>
      <c r="AB513" s="164">
        <f>(((BetTable[O3]-1)*BetTable[S3])*(1-(BetTable[C% 3]))+BetTable[S3])</f>
        <v>0</v>
      </c>
      <c r="AC513" s="165">
        <f>IFERROR(IF(BetTable[Sport]="","",BetTable[R1]/BetTable[TS]),"")</f>
        <v>0.97000000000000008</v>
      </c>
      <c r="AD513" s="165" t="str">
        <f>IF(BetTable[O2]="","",#REF!/BetTable[TS])</f>
        <v/>
      </c>
      <c r="AE513" s="165" t="str">
        <f>IFERROR(IF(BetTable[Sport]="","",#REF!/BetTable[TS]),"")</f>
        <v/>
      </c>
      <c r="AF513" s="164">
        <f>IF(BetTable[Outcome]="Win",BetTable[WBA1-Commission],IF(BetTable[Outcome]="Win Half Stake",(BetTable[Stake]/2)+BetTable[WBA1-Commission]/2,IF(BetTable[Outcome]="Lose Half Stake",BetTable[Stake]/2,IF(BetTable[Outcome]="Lose",0,IF(BetTable[Outcome]="Void",BetTable[Stake],)))))</f>
        <v>47.28</v>
      </c>
      <c r="AG513" s="164">
        <f>IF(BetTable[Outcome2]="Win",BetTable[WBA2-Commission],IF(BetTable[Outcome2]="Win Half Stake",(BetTable[S2]/2)+BetTable[WBA2-Commission]/2,IF(BetTable[Outcome2]="Lose Half Stake",BetTable[S2]/2,IF(BetTable[Outcome2]="Lose",0,IF(BetTable[Outcome2]="Void",BetTable[S2],)))))</f>
        <v>0</v>
      </c>
      <c r="AH513" s="164">
        <f>IF(BetTable[Outcome3]="Win",BetTable[WBA3-Commission],IF(BetTable[Outcome3]="Win Half Stake",(BetTable[S3]/2)+BetTable[WBA3-Commission]/2,IF(BetTable[Outcome3]="Lose Half Stake",BetTable[S3]/2,IF(BetTable[Outcome3]="Lose",0,IF(BetTable[Outcome3]="Void",BetTable[S3],)))))</f>
        <v>0</v>
      </c>
      <c r="AI513" s="168">
        <f>IF(BetTable[Outcome]="",AI512,BetTable[Result]+AI512)</f>
        <v>678.61225000000036</v>
      </c>
      <c r="AJ513" s="160"/>
    </row>
    <row r="514" spans="1:36" x14ac:dyDescent="0.2">
      <c r="A514" s="159" t="s">
        <v>1416</v>
      </c>
      <c r="B514" s="160" t="s">
        <v>200</v>
      </c>
      <c r="C514" s="161" t="s">
        <v>185</v>
      </c>
      <c r="D514" s="161"/>
      <c r="E514" s="161"/>
      <c r="F514" s="162"/>
      <c r="G514" s="162"/>
      <c r="H514" s="162"/>
      <c r="I514" s="160" t="s">
        <v>1491</v>
      </c>
      <c r="J514" s="163">
        <v>3.5</v>
      </c>
      <c r="K514" s="163"/>
      <c r="L514" s="163"/>
      <c r="M514" s="164">
        <v>12.5</v>
      </c>
      <c r="N514" s="164"/>
      <c r="O514" s="164"/>
      <c r="P514" s="159" t="s">
        <v>494</v>
      </c>
      <c r="Q514" s="159" t="s">
        <v>491</v>
      </c>
      <c r="R514" s="159" t="s">
        <v>1492</v>
      </c>
      <c r="S514" s="165">
        <v>3.16656606979187E-2</v>
      </c>
      <c r="T514" s="166" t="s">
        <v>372</v>
      </c>
      <c r="U514" s="166"/>
      <c r="V514" s="166"/>
      <c r="W514" s="167">
        <f>IF(BetTable[Sport]="","",BetTable[Stake]+BetTable[S2]+BetTable[S3])</f>
        <v>12.5</v>
      </c>
      <c r="X514" s="164">
        <f>IF(BetTable[Odds]="","",(BetTable[WBA1-Commission])-BetTable[TS])</f>
        <v>31.25</v>
      </c>
      <c r="Y514" s="168">
        <f>IF(BetTable[Outcome]="","",BetTable[WBA1]+BetTable[WBA2]+BetTable[WBA3]-BetTable[TS])</f>
        <v>31.25</v>
      </c>
      <c r="Z514" s="164">
        <f>(((BetTable[Odds]-1)*BetTable[Stake])*(1-(BetTable[Comm %]))+BetTable[Stake])</f>
        <v>43.75</v>
      </c>
      <c r="AA514" s="164">
        <f>(((BetTable[O2]-1)*BetTable[S2])*(1-(BetTable[C% 2]))+BetTable[S2])</f>
        <v>0</v>
      </c>
      <c r="AB514" s="164">
        <f>(((BetTable[O3]-1)*BetTable[S3])*(1-(BetTable[C% 3]))+BetTable[S3])</f>
        <v>0</v>
      </c>
      <c r="AC514" s="165">
        <f>IFERROR(IF(BetTable[Sport]="","",BetTable[R1]/BetTable[TS]),"")</f>
        <v>2.5</v>
      </c>
      <c r="AD514" s="165" t="str">
        <f>IF(BetTable[O2]="","",#REF!/BetTable[TS])</f>
        <v/>
      </c>
      <c r="AE514" s="165" t="str">
        <f>IFERROR(IF(BetTable[Sport]="","",#REF!/BetTable[TS]),"")</f>
        <v/>
      </c>
      <c r="AF514" s="164">
        <f>IF(BetTable[Outcome]="Win",BetTable[WBA1-Commission],IF(BetTable[Outcome]="Win Half Stake",(BetTable[Stake]/2)+BetTable[WBA1-Commission]/2,IF(BetTable[Outcome]="Lose Half Stake",BetTable[Stake]/2,IF(BetTable[Outcome]="Lose",0,IF(BetTable[Outcome]="Void",BetTable[Stake],)))))</f>
        <v>43.75</v>
      </c>
      <c r="AG514" s="164">
        <f>IF(BetTable[Outcome2]="Win",BetTable[WBA2-Commission],IF(BetTable[Outcome2]="Win Half Stake",(BetTable[S2]/2)+BetTable[WBA2-Commission]/2,IF(BetTable[Outcome2]="Lose Half Stake",BetTable[S2]/2,IF(BetTable[Outcome2]="Lose",0,IF(BetTable[Outcome2]="Void",BetTable[S2],)))))</f>
        <v>0</v>
      </c>
      <c r="AH514" s="164">
        <f>IF(BetTable[Outcome3]="Win",BetTable[WBA3-Commission],IF(BetTable[Outcome3]="Win Half Stake",(BetTable[S3]/2)+BetTable[WBA3-Commission]/2,IF(BetTable[Outcome3]="Lose Half Stake",BetTable[S3]/2,IF(BetTable[Outcome3]="Lose",0,IF(BetTable[Outcome3]="Void",BetTable[S3],)))))</f>
        <v>0</v>
      </c>
      <c r="AI514" s="168">
        <f>IF(BetTable[Outcome]="",AI513,BetTable[Result]+AI513)</f>
        <v>709.86225000000036</v>
      </c>
      <c r="AJ514" s="160"/>
    </row>
    <row r="515" spans="1:36" x14ac:dyDescent="0.2">
      <c r="A515" s="159" t="s">
        <v>1416</v>
      </c>
      <c r="B515" s="160" t="s">
        <v>200</v>
      </c>
      <c r="C515" s="161" t="s">
        <v>185</v>
      </c>
      <c r="D515" s="161"/>
      <c r="E515" s="161"/>
      <c r="F515" s="162"/>
      <c r="G515" s="162"/>
      <c r="H515" s="162"/>
      <c r="I515" s="160" t="s">
        <v>1493</v>
      </c>
      <c r="J515" s="163">
        <v>3</v>
      </c>
      <c r="K515" s="163"/>
      <c r="L515" s="163"/>
      <c r="M515" s="164">
        <v>10</v>
      </c>
      <c r="N515" s="164"/>
      <c r="O515" s="164"/>
      <c r="P515" s="159" t="s">
        <v>428</v>
      </c>
      <c r="Q515" s="159" t="s">
        <v>581</v>
      </c>
      <c r="R515" s="159" t="s">
        <v>1494</v>
      </c>
      <c r="S515" s="165">
        <v>1.5929237899988902E-2</v>
      </c>
      <c r="T515" s="166" t="s">
        <v>372</v>
      </c>
      <c r="U515" s="166"/>
      <c r="V515" s="166"/>
      <c r="W515" s="167">
        <f>IF(BetTable[Sport]="","",BetTable[Stake]+BetTable[S2]+BetTable[S3])</f>
        <v>10</v>
      </c>
      <c r="X515" s="164">
        <f>IF(BetTable[Odds]="","",(BetTable[WBA1-Commission])-BetTable[TS])</f>
        <v>20</v>
      </c>
      <c r="Y515" s="168">
        <f>IF(BetTable[Outcome]="","",BetTable[WBA1]+BetTable[WBA2]+BetTable[WBA3]-BetTable[TS])</f>
        <v>20</v>
      </c>
      <c r="Z515" s="164">
        <f>(((BetTable[Odds]-1)*BetTable[Stake])*(1-(BetTable[Comm %]))+BetTable[Stake])</f>
        <v>30</v>
      </c>
      <c r="AA515" s="164">
        <f>(((BetTable[O2]-1)*BetTable[S2])*(1-(BetTable[C% 2]))+BetTable[S2])</f>
        <v>0</v>
      </c>
      <c r="AB515" s="164">
        <f>(((BetTable[O3]-1)*BetTable[S3])*(1-(BetTable[C% 3]))+BetTable[S3])</f>
        <v>0</v>
      </c>
      <c r="AC515" s="165">
        <f>IFERROR(IF(BetTable[Sport]="","",BetTable[R1]/BetTable[TS]),"")</f>
        <v>2</v>
      </c>
      <c r="AD515" s="165" t="str">
        <f>IF(BetTable[O2]="","",#REF!/BetTable[TS])</f>
        <v/>
      </c>
      <c r="AE515" s="165" t="str">
        <f>IFERROR(IF(BetTable[Sport]="","",#REF!/BetTable[TS]),"")</f>
        <v/>
      </c>
      <c r="AF515" s="164">
        <f>IF(BetTable[Outcome]="Win",BetTable[WBA1-Commission],IF(BetTable[Outcome]="Win Half Stake",(BetTable[Stake]/2)+BetTable[WBA1-Commission]/2,IF(BetTable[Outcome]="Lose Half Stake",BetTable[Stake]/2,IF(BetTable[Outcome]="Lose",0,IF(BetTable[Outcome]="Void",BetTable[Stake],)))))</f>
        <v>30</v>
      </c>
      <c r="AG515" s="164">
        <f>IF(BetTable[Outcome2]="Win",BetTable[WBA2-Commission],IF(BetTable[Outcome2]="Win Half Stake",(BetTable[S2]/2)+BetTable[WBA2-Commission]/2,IF(BetTable[Outcome2]="Lose Half Stake",BetTable[S2]/2,IF(BetTable[Outcome2]="Lose",0,IF(BetTable[Outcome2]="Void",BetTable[S2],)))))</f>
        <v>0</v>
      </c>
      <c r="AH515" s="164">
        <f>IF(BetTable[Outcome3]="Win",BetTable[WBA3-Commission],IF(BetTable[Outcome3]="Win Half Stake",(BetTable[S3]/2)+BetTable[WBA3-Commission]/2,IF(BetTable[Outcome3]="Lose Half Stake",BetTable[S3]/2,IF(BetTable[Outcome3]="Lose",0,IF(BetTable[Outcome3]="Void",BetTable[S3],)))))</f>
        <v>0</v>
      </c>
      <c r="AI515" s="168">
        <f>IF(BetTable[Outcome]="",AI514,BetTable[Result]+AI514)</f>
        <v>729.86225000000036</v>
      </c>
      <c r="AJ515" s="160"/>
    </row>
    <row r="516" spans="1:36" x14ac:dyDescent="0.2">
      <c r="A516" s="159" t="s">
        <v>1416</v>
      </c>
      <c r="B516" s="160" t="s">
        <v>200</v>
      </c>
      <c r="C516" s="161" t="s">
        <v>185</v>
      </c>
      <c r="D516" s="161"/>
      <c r="E516" s="161"/>
      <c r="F516" s="162"/>
      <c r="G516" s="162"/>
      <c r="H516" s="162"/>
      <c r="I516" s="160" t="s">
        <v>1495</v>
      </c>
      <c r="J516" s="163">
        <v>3.8</v>
      </c>
      <c r="K516" s="163"/>
      <c r="L516" s="163"/>
      <c r="M516" s="164">
        <v>17</v>
      </c>
      <c r="N516" s="164"/>
      <c r="O516" s="164"/>
      <c r="P516" s="159" t="s">
        <v>428</v>
      </c>
      <c r="Q516" s="159" t="s">
        <v>547</v>
      </c>
      <c r="R516" s="159" t="s">
        <v>1496</v>
      </c>
      <c r="S516" s="165">
        <v>4.06376093751366E-2</v>
      </c>
      <c r="T516" s="166" t="s">
        <v>372</v>
      </c>
      <c r="U516" s="166"/>
      <c r="V516" s="166"/>
      <c r="W516" s="167">
        <f>IF(BetTable[Sport]="","",BetTable[Stake]+BetTable[S2]+BetTable[S3])</f>
        <v>17</v>
      </c>
      <c r="X516" s="164">
        <f>IF(BetTable[Odds]="","",(BetTable[WBA1-Commission])-BetTable[TS])</f>
        <v>47.599999999999994</v>
      </c>
      <c r="Y516" s="168">
        <f>IF(BetTable[Outcome]="","",BetTable[WBA1]+BetTable[WBA2]+BetTable[WBA3]-BetTable[TS])</f>
        <v>47.599999999999994</v>
      </c>
      <c r="Z516" s="164">
        <f>(((BetTable[Odds]-1)*BetTable[Stake])*(1-(BetTable[Comm %]))+BetTable[Stake])</f>
        <v>64.599999999999994</v>
      </c>
      <c r="AA516" s="164">
        <f>(((BetTable[O2]-1)*BetTable[S2])*(1-(BetTable[C% 2]))+BetTable[S2])</f>
        <v>0</v>
      </c>
      <c r="AB516" s="164">
        <f>(((BetTable[O3]-1)*BetTable[S3])*(1-(BetTable[C% 3]))+BetTable[S3])</f>
        <v>0</v>
      </c>
      <c r="AC516" s="165">
        <f>IFERROR(IF(BetTable[Sport]="","",BetTable[R1]/BetTable[TS]),"")</f>
        <v>2.8</v>
      </c>
      <c r="AD516" s="165" t="str">
        <f>IF(BetTable[O2]="","",#REF!/BetTable[TS])</f>
        <v/>
      </c>
      <c r="AE516" s="165" t="str">
        <f>IFERROR(IF(BetTable[Sport]="","",#REF!/BetTable[TS]),"")</f>
        <v/>
      </c>
      <c r="AF516" s="164">
        <f>IF(BetTable[Outcome]="Win",BetTable[WBA1-Commission],IF(BetTable[Outcome]="Win Half Stake",(BetTable[Stake]/2)+BetTable[WBA1-Commission]/2,IF(BetTable[Outcome]="Lose Half Stake",BetTable[Stake]/2,IF(BetTable[Outcome]="Lose",0,IF(BetTable[Outcome]="Void",BetTable[Stake],)))))</f>
        <v>64.599999999999994</v>
      </c>
      <c r="AG516" s="164">
        <f>IF(BetTable[Outcome2]="Win",BetTable[WBA2-Commission],IF(BetTable[Outcome2]="Win Half Stake",(BetTable[S2]/2)+BetTable[WBA2-Commission]/2,IF(BetTable[Outcome2]="Lose Half Stake",BetTable[S2]/2,IF(BetTable[Outcome2]="Lose",0,IF(BetTable[Outcome2]="Void",BetTable[S2],)))))</f>
        <v>0</v>
      </c>
      <c r="AH516" s="164">
        <f>IF(BetTable[Outcome3]="Win",BetTable[WBA3-Commission],IF(BetTable[Outcome3]="Win Half Stake",(BetTable[S3]/2)+BetTable[WBA3-Commission]/2,IF(BetTable[Outcome3]="Lose Half Stake",BetTable[S3]/2,IF(BetTable[Outcome3]="Lose",0,IF(BetTable[Outcome3]="Void",BetTable[S3],)))))</f>
        <v>0</v>
      </c>
      <c r="AI516" s="168">
        <f>IF(BetTable[Outcome]="",AI515,BetTable[Result]+AI515)</f>
        <v>777.46225000000038</v>
      </c>
      <c r="AJ516" s="160"/>
    </row>
    <row r="517" spans="1:36" x14ac:dyDescent="0.2">
      <c r="A517" s="159" t="s">
        <v>1416</v>
      </c>
      <c r="B517" s="160" t="s">
        <v>200</v>
      </c>
      <c r="C517" s="161" t="s">
        <v>91</v>
      </c>
      <c r="D517" s="161"/>
      <c r="E517" s="161"/>
      <c r="F517" s="162"/>
      <c r="G517" s="162"/>
      <c r="H517" s="162"/>
      <c r="I517" s="160" t="s">
        <v>1497</v>
      </c>
      <c r="J517" s="163">
        <v>1.9</v>
      </c>
      <c r="K517" s="163"/>
      <c r="L517" s="163"/>
      <c r="M517" s="164">
        <v>25</v>
      </c>
      <c r="N517" s="164"/>
      <c r="O517" s="164"/>
      <c r="P517" s="159" t="s">
        <v>351</v>
      </c>
      <c r="Q517" s="159" t="s">
        <v>656</v>
      </c>
      <c r="R517" s="159" t="s">
        <v>1498</v>
      </c>
      <c r="S517" s="165">
        <v>1.84471858854518E-2</v>
      </c>
      <c r="T517" s="166" t="s">
        <v>372</v>
      </c>
      <c r="U517" s="166"/>
      <c r="V517" s="166"/>
      <c r="W517" s="167">
        <f>IF(BetTable[Sport]="","",BetTable[Stake]+BetTable[S2]+BetTable[S3])</f>
        <v>25</v>
      </c>
      <c r="X517" s="164">
        <f>IF(BetTable[Odds]="","",(BetTable[WBA1-Commission])-BetTable[TS])</f>
        <v>22.5</v>
      </c>
      <c r="Y517" s="168">
        <f>IF(BetTable[Outcome]="","",BetTable[WBA1]+BetTable[WBA2]+BetTable[WBA3]-BetTable[TS])</f>
        <v>22.5</v>
      </c>
      <c r="Z517" s="164">
        <f>(((BetTable[Odds]-1)*BetTable[Stake])*(1-(BetTable[Comm %]))+BetTable[Stake])</f>
        <v>47.5</v>
      </c>
      <c r="AA517" s="164">
        <f>(((BetTable[O2]-1)*BetTable[S2])*(1-(BetTable[C% 2]))+BetTable[S2])</f>
        <v>0</v>
      </c>
      <c r="AB517" s="164">
        <f>(((BetTable[O3]-1)*BetTable[S3])*(1-(BetTable[C% 3]))+BetTable[S3])</f>
        <v>0</v>
      </c>
      <c r="AC517" s="165">
        <f>IFERROR(IF(BetTable[Sport]="","",BetTable[R1]/BetTable[TS]),"")</f>
        <v>0.9</v>
      </c>
      <c r="AD517" s="165" t="str">
        <f>IF(BetTable[O2]="","",#REF!/BetTable[TS])</f>
        <v/>
      </c>
      <c r="AE517" s="165" t="str">
        <f>IFERROR(IF(BetTable[Sport]="","",#REF!/BetTable[TS]),"")</f>
        <v/>
      </c>
      <c r="AF517" s="164">
        <f>IF(BetTable[Outcome]="Win",BetTable[WBA1-Commission],IF(BetTable[Outcome]="Win Half Stake",(BetTable[Stake]/2)+BetTable[WBA1-Commission]/2,IF(BetTable[Outcome]="Lose Half Stake",BetTable[Stake]/2,IF(BetTable[Outcome]="Lose",0,IF(BetTable[Outcome]="Void",BetTable[Stake],)))))</f>
        <v>47.5</v>
      </c>
      <c r="AG517" s="164">
        <f>IF(BetTable[Outcome2]="Win",BetTable[WBA2-Commission],IF(BetTable[Outcome2]="Win Half Stake",(BetTable[S2]/2)+BetTable[WBA2-Commission]/2,IF(BetTable[Outcome2]="Lose Half Stake",BetTable[S2]/2,IF(BetTable[Outcome2]="Lose",0,IF(BetTable[Outcome2]="Void",BetTable[S2],)))))</f>
        <v>0</v>
      </c>
      <c r="AH517" s="164">
        <f>IF(BetTable[Outcome3]="Win",BetTable[WBA3-Commission],IF(BetTable[Outcome3]="Win Half Stake",(BetTable[S3]/2)+BetTable[WBA3-Commission]/2,IF(BetTable[Outcome3]="Lose Half Stake",BetTable[S3]/2,IF(BetTable[Outcome3]="Lose",0,IF(BetTable[Outcome3]="Void",BetTable[S3],)))))</f>
        <v>0</v>
      </c>
      <c r="AI517" s="168">
        <f>IF(BetTable[Outcome]="",AI516,BetTable[Result]+AI516)</f>
        <v>799.96225000000038</v>
      </c>
      <c r="AJ517" s="160"/>
    </row>
    <row r="518" spans="1:36" x14ac:dyDescent="0.2">
      <c r="A518" s="159" t="s">
        <v>1416</v>
      </c>
      <c r="B518" s="160" t="s">
        <v>200</v>
      </c>
      <c r="C518" s="161" t="s">
        <v>234</v>
      </c>
      <c r="D518" s="161"/>
      <c r="E518" s="161"/>
      <c r="F518" s="162"/>
      <c r="G518" s="162"/>
      <c r="H518" s="162"/>
      <c r="I518" s="160" t="s">
        <v>1370</v>
      </c>
      <c r="J518" s="163">
        <v>1.91</v>
      </c>
      <c r="K518" s="163"/>
      <c r="L518" s="163"/>
      <c r="M518" s="164">
        <v>17</v>
      </c>
      <c r="N518" s="164"/>
      <c r="O518" s="164"/>
      <c r="P518" s="159" t="s">
        <v>498</v>
      </c>
      <c r="Q518" s="159" t="s">
        <v>796</v>
      </c>
      <c r="R518" s="159" t="s">
        <v>1499</v>
      </c>
      <c r="S518" s="165">
        <v>1.3217836550936E-2</v>
      </c>
      <c r="T518" s="166" t="s">
        <v>372</v>
      </c>
      <c r="U518" s="166"/>
      <c r="V518" s="166"/>
      <c r="W518" s="167">
        <f>IF(BetTable[Sport]="","",BetTable[Stake]+BetTable[S2]+BetTable[S3])</f>
        <v>17</v>
      </c>
      <c r="X518" s="164">
        <f>IF(BetTable[Odds]="","",(BetTable[WBA1-Commission])-BetTable[TS])</f>
        <v>15.469999999999999</v>
      </c>
      <c r="Y518" s="168">
        <f>IF(BetTable[Outcome]="","",BetTable[WBA1]+BetTable[WBA2]+BetTable[WBA3]-BetTable[TS])</f>
        <v>15.469999999999999</v>
      </c>
      <c r="Z518" s="164">
        <f>(((BetTable[Odds]-1)*BetTable[Stake])*(1-(BetTable[Comm %]))+BetTable[Stake])</f>
        <v>32.47</v>
      </c>
      <c r="AA518" s="164">
        <f>(((BetTable[O2]-1)*BetTable[S2])*(1-(BetTable[C% 2]))+BetTable[S2])</f>
        <v>0</v>
      </c>
      <c r="AB518" s="164">
        <f>(((BetTable[O3]-1)*BetTable[S3])*(1-(BetTable[C% 3]))+BetTable[S3])</f>
        <v>0</v>
      </c>
      <c r="AC518" s="165">
        <f>IFERROR(IF(BetTable[Sport]="","",BetTable[R1]/BetTable[TS]),"")</f>
        <v>0.90999999999999992</v>
      </c>
      <c r="AD518" s="165" t="str">
        <f>IF(BetTable[O2]="","",#REF!/BetTable[TS])</f>
        <v/>
      </c>
      <c r="AE518" s="165" t="str">
        <f>IFERROR(IF(BetTable[Sport]="","",#REF!/BetTable[TS]),"")</f>
        <v/>
      </c>
      <c r="AF518" s="164">
        <f>IF(BetTable[Outcome]="Win",BetTable[WBA1-Commission],IF(BetTable[Outcome]="Win Half Stake",(BetTable[Stake]/2)+BetTable[WBA1-Commission]/2,IF(BetTable[Outcome]="Lose Half Stake",BetTable[Stake]/2,IF(BetTable[Outcome]="Lose",0,IF(BetTable[Outcome]="Void",BetTable[Stake],)))))</f>
        <v>32.47</v>
      </c>
      <c r="AG518" s="164">
        <f>IF(BetTable[Outcome2]="Win",BetTable[WBA2-Commission],IF(BetTable[Outcome2]="Win Half Stake",(BetTable[S2]/2)+BetTable[WBA2-Commission]/2,IF(BetTable[Outcome2]="Lose Half Stake",BetTable[S2]/2,IF(BetTable[Outcome2]="Lose",0,IF(BetTable[Outcome2]="Void",BetTable[S2],)))))</f>
        <v>0</v>
      </c>
      <c r="AH518" s="164">
        <f>IF(BetTable[Outcome3]="Win",BetTable[WBA3-Commission],IF(BetTable[Outcome3]="Win Half Stake",(BetTable[S3]/2)+BetTable[WBA3-Commission]/2,IF(BetTable[Outcome3]="Lose Half Stake",BetTable[S3]/2,IF(BetTable[Outcome3]="Lose",0,IF(BetTable[Outcome3]="Void",BetTable[S3],)))))</f>
        <v>0</v>
      </c>
      <c r="AI518" s="168">
        <f>IF(BetTable[Outcome]="",AI517,BetTable[Result]+AI517)</f>
        <v>815.43225000000041</v>
      </c>
      <c r="AJ518" s="160"/>
    </row>
    <row r="519" spans="1:36" x14ac:dyDescent="0.2">
      <c r="A519" s="159" t="s">
        <v>1416</v>
      </c>
      <c r="B519" s="160" t="s">
        <v>200</v>
      </c>
      <c r="C519" s="161" t="s">
        <v>234</v>
      </c>
      <c r="D519" s="161"/>
      <c r="E519" s="161"/>
      <c r="F519" s="162"/>
      <c r="G519" s="162"/>
      <c r="H519" s="162"/>
      <c r="I519" s="160" t="s">
        <v>1500</v>
      </c>
      <c r="J519" s="163">
        <v>2.0299999999999998</v>
      </c>
      <c r="K519" s="163"/>
      <c r="L519" s="163"/>
      <c r="M519" s="164">
        <v>15</v>
      </c>
      <c r="N519" s="164"/>
      <c r="O519" s="164"/>
      <c r="P519" s="159" t="s">
        <v>1501</v>
      </c>
      <c r="Q519" s="159" t="s">
        <v>458</v>
      </c>
      <c r="R519" s="159" t="s">
        <v>1502</v>
      </c>
      <c r="S519" s="165">
        <v>1.2687476407755501E-2</v>
      </c>
      <c r="T519" s="166" t="s">
        <v>372</v>
      </c>
      <c r="U519" s="166"/>
      <c r="V519" s="166"/>
      <c r="W519" s="167">
        <f>IF(BetTable[Sport]="","",BetTable[Stake]+BetTable[S2]+BetTable[S3])</f>
        <v>15</v>
      </c>
      <c r="X519" s="164">
        <f>IF(BetTable[Odds]="","",(BetTable[WBA1-Commission])-BetTable[TS])</f>
        <v>15.449999999999996</v>
      </c>
      <c r="Y519" s="168">
        <f>IF(BetTable[Outcome]="","",BetTable[WBA1]+BetTable[WBA2]+BetTable[WBA3]-BetTable[TS])</f>
        <v>15.449999999999996</v>
      </c>
      <c r="Z519" s="164">
        <f>(((BetTable[Odds]-1)*BetTable[Stake])*(1-(BetTable[Comm %]))+BetTable[Stake])</f>
        <v>30.449999999999996</v>
      </c>
      <c r="AA519" s="164">
        <f>(((BetTable[O2]-1)*BetTable[S2])*(1-(BetTable[C% 2]))+BetTable[S2])</f>
        <v>0</v>
      </c>
      <c r="AB519" s="164">
        <f>(((BetTable[O3]-1)*BetTable[S3])*(1-(BetTable[C% 3]))+BetTable[S3])</f>
        <v>0</v>
      </c>
      <c r="AC519" s="165">
        <f>IFERROR(IF(BetTable[Sport]="","",BetTable[R1]/BetTable[TS]),"")</f>
        <v>1.0299999999999998</v>
      </c>
      <c r="AD519" s="165" t="str">
        <f>IF(BetTable[O2]="","",#REF!/BetTable[TS])</f>
        <v/>
      </c>
      <c r="AE519" s="165" t="str">
        <f>IFERROR(IF(BetTable[Sport]="","",#REF!/BetTable[TS]),"")</f>
        <v/>
      </c>
      <c r="AF519" s="164">
        <f>IF(BetTable[Outcome]="Win",BetTable[WBA1-Commission],IF(BetTable[Outcome]="Win Half Stake",(BetTable[Stake]/2)+BetTable[WBA1-Commission]/2,IF(BetTable[Outcome]="Lose Half Stake",BetTable[Stake]/2,IF(BetTable[Outcome]="Lose",0,IF(BetTable[Outcome]="Void",BetTable[Stake],)))))</f>
        <v>30.449999999999996</v>
      </c>
      <c r="AG519" s="164">
        <f>IF(BetTable[Outcome2]="Win",BetTable[WBA2-Commission],IF(BetTable[Outcome2]="Win Half Stake",(BetTable[S2]/2)+BetTable[WBA2-Commission]/2,IF(BetTable[Outcome2]="Lose Half Stake",BetTable[S2]/2,IF(BetTable[Outcome2]="Lose",0,IF(BetTable[Outcome2]="Void",BetTable[S2],)))))</f>
        <v>0</v>
      </c>
      <c r="AH519" s="164">
        <f>IF(BetTable[Outcome3]="Win",BetTable[WBA3-Commission],IF(BetTable[Outcome3]="Win Half Stake",(BetTable[S3]/2)+BetTable[WBA3-Commission]/2,IF(BetTable[Outcome3]="Lose Half Stake",BetTable[S3]/2,IF(BetTable[Outcome3]="Lose",0,IF(BetTable[Outcome3]="Void",BetTable[S3],)))))</f>
        <v>0</v>
      </c>
      <c r="AI519" s="168">
        <f>IF(BetTable[Outcome]="",AI518,BetTable[Result]+AI518)</f>
        <v>830.88225000000045</v>
      </c>
      <c r="AJ519" s="160"/>
    </row>
    <row r="520" spans="1:36" x14ac:dyDescent="0.2">
      <c r="A520" s="159" t="s">
        <v>1416</v>
      </c>
      <c r="B520" s="160" t="s">
        <v>200</v>
      </c>
      <c r="C520" s="161" t="s">
        <v>91</v>
      </c>
      <c r="D520" s="161"/>
      <c r="E520" s="161"/>
      <c r="F520" s="162"/>
      <c r="G520" s="162"/>
      <c r="H520" s="162"/>
      <c r="I520" s="160" t="s">
        <v>1503</v>
      </c>
      <c r="J520" s="163">
        <v>1.8</v>
      </c>
      <c r="K520" s="163"/>
      <c r="L520" s="163"/>
      <c r="M520" s="164">
        <v>23</v>
      </c>
      <c r="N520" s="164"/>
      <c r="O520" s="164"/>
      <c r="P520" s="159" t="s">
        <v>852</v>
      </c>
      <c r="Q520" s="159" t="s">
        <v>488</v>
      </c>
      <c r="R520" s="159" t="s">
        <v>1504</v>
      </c>
      <c r="S520" s="165">
        <v>1.5067454946743299E-2</v>
      </c>
      <c r="T520" s="166" t="s">
        <v>549</v>
      </c>
      <c r="U520" s="166"/>
      <c r="V520" s="166"/>
      <c r="W520" s="167">
        <f>IF(BetTable[Sport]="","",BetTable[Stake]+BetTable[S2]+BetTable[S3])</f>
        <v>23</v>
      </c>
      <c r="X520" s="164">
        <f>IF(BetTable[Odds]="","",(BetTable[WBA1-Commission])-BetTable[TS])</f>
        <v>18.400000000000006</v>
      </c>
      <c r="Y520" s="168">
        <f>IF(BetTable[Outcome]="","",BetTable[WBA1]+BetTable[WBA2]+BetTable[WBA3]-BetTable[TS])</f>
        <v>-11.5</v>
      </c>
      <c r="Z520" s="164">
        <f>(((BetTable[Odds]-1)*BetTable[Stake])*(1-(BetTable[Comm %]))+BetTable[Stake])</f>
        <v>41.400000000000006</v>
      </c>
      <c r="AA520" s="164">
        <f>(((BetTable[O2]-1)*BetTable[S2])*(1-(BetTable[C% 2]))+BetTable[S2])</f>
        <v>0</v>
      </c>
      <c r="AB520" s="164">
        <f>(((BetTable[O3]-1)*BetTable[S3])*(1-(BetTable[C% 3]))+BetTable[S3])</f>
        <v>0</v>
      </c>
      <c r="AC520" s="165">
        <f>IFERROR(IF(BetTable[Sport]="","",BetTable[R1]/BetTable[TS]),"")</f>
        <v>0.80000000000000027</v>
      </c>
      <c r="AD520" s="165" t="str">
        <f>IF(BetTable[O2]="","",#REF!/BetTable[TS])</f>
        <v/>
      </c>
      <c r="AE520" s="165" t="str">
        <f>IFERROR(IF(BetTable[Sport]="","",#REF!/BetTable[TS]),"")</f>
        <v/>
      </c>
      <c r="AF520" s="164">
        <f>IF(BetTable[Outcome]="Win",BetTable[WBA1-Commission],IF(BetTable[Outcome]="Win Half Stake",(BetTable[Stake]/2)+BetTable[WBA1-Commission]/2,IF(BetTable[Outcome]="Lose Half Stake",BetTable[Stake]/2,IF(BetTable[Outcome]="Lose",0,IF(BetTable[Outcome]="Void",BetTable[Stake],)))))</f>
        <v>11.5</v>
      </c>
      <c r="AG520" s="164">
        <f>IF(BetTable[Outcome2]="Win",BetTable[WBA2-Commission],IF(BetTable[Outcome2]="Win Half Stake",(BetTable[S2]/2)+BetTable[WBA2-Commission]/2,IF(BetTable[Outcome2]="Lose Half Stake",BetTable[S2]/2,IF(BetTable[Outcome2]="Lose",0,IF(BetTable[Outcome2]="Void",BetTable[S2],)))))</f>
        <v>0</v>
      </c>
      <c r="AH520" s="164">
        <f>IF(BetTable[Outcome3]="Win",BetTable[WBA3-Commission],IF(BetTable[Outcome3]="Win Half Stake",(BetTable[S3]/2)+BetTable[WBA3-Commission]/2,IF(BetTable[Outcome3]="Lose Half Stake",BetTable[S3]/2,IF(BetTable[Outcome3]="Lose",0,IF(BetTable[Outcome3]="Void",BetTable[S3],)))))</f>
        <v>0</v>
      </c>
      <c r="AI520" s="168">
        <f>IF(BetTable[Outcome]="",AI519,BetTable[Result]+AI519)</f>
        <v>819.38225000000045</v>
      </c>
      <c r="AJ520" s="160"/>
    </row>
    <row r="521" spans="1:36" x14ac:dyDescent="0.2">
      <c r="A521" s="159" t="s">
        <v>1416</v>
      </c>
      <c r="B521" s="160" t="s">
        <v>7</v>
      </c>
      <c r="C521" s="161" t="s">
        <v>91</v>
      </c>
      <c r="D521" s="161"/>
      <c r="E521" s="161"/>
      <c r="F521" s="162"/>
      <c r="G521" s="162"/>
      <c r="H521" s="162"/>
      <c r="I521" s="160" t="s">
        <v>1505</v>
      </c>
      <c r="J521" s="163">
        <v>1.92</v>
      </c>
      <c r="K521" s="163"/>
      <c r="L521" s="163"/>
      <c r="M521" s="164">
        <v>43</v>
      </c>
      <c r="N521" s="164"/>
      <c r="O521" s="164"/>
      <c r="P521" s="159" t="s">
        <v>1506</v>
      </c>
      <c r="Q521" s="159" t="s">
        <v>488</v>
      </c>
      <c r="R521" s="159" t="s">
        <v>1507</v>
      </c>
      <c r="S521" s="165">
        <v>3.29279509453244E-2</v>
      </c>
      <c r="T521" s="166" t="s">
        <v>372</v>
      </c>
      <c r="U521" s="166"/>
      <c r="V521" s="166"/>
      <c r="W521" s="167">
        <f>IF(BetTable[Sport]="","",BetTable[Stake]+BetTable[S2]+BetTable[S3])</f>
        <v>43</v>
      </c>
      <c r="X521" s="164">
        <f>IF(BetTable[Odds]="","",(BetTable[WBA1-Commission])-BetTable[TS])</f>
        <v>39.56</v>
      </c>
      <c r="Y521" s="168">
        <f>IF(BetTable[Outcome]="","",BetTable[WBA1]+BetTable[WBA2]+BetTable[WBA3]-BetTable[TS])</f>
        <v>39.56</v>
      </c>
      <c r="Z521" s="164">
        <f>(((BetTable[Odds]-1)*BetTable[Stake])*(1-(BetTable[Comm %]))+BetTable[Stake])</f>
        <v>82.56</v>
      </c>
      <c r="AA521" s="164">
        <f>(((BetTable[O2]-1)*BetTable[S2])*(1-(BetTable[C% 2]))+BetTable[S2])</f>
        <v>0</v>
      </c>
      <c r="AB521" s="164">
        <f>(((BetTable[O3]-1)*BetTable[S3])*(1-(BetTable[C% 3]))+BetTable[S3])</f>
        <v>0</v>
      </c>
      <c r="AC521" s="165">
        <f>IFERROR(IF(BetTable[Sport]="","",BetTable[R1]/BetTable[TS]),"")</f>
        <v>0.92</v>
      </c>
      <c r="AD521" s="165" t="str">
        <f>IF(BetTable[O2]="","",#REF!/BetTable[TS])</f>
        <v/>
      </c>
      <c r="AE521" s="165" t="str">
        <f>IFERROR(IF(BetTable[Sport]="","",#REF!/BetTable[TS]),"")</f>
        <v/>
      </c>
      <c r="AF521" s="164">
        <f>IF(BetTable[Outcome]="Win",BetTable[WBA1-Commission],IF(BetTable[Outcome]="Win Half Stake",(BetTable[Stake]/2)+BetTable[WBA1-Commission]/2,IF(BetTable[Outcome]="Lose Half Stake",BetTable[Stake]/2,IF(BetTable[Outcome]="Lose",0,IF(BetTable[Outcome]="Void",BetTable[Stake],)))))</f>
        <v>82.56</v>
      </c>
      <c r="AG521" s="164">
        <f>IF(BetTable[Outcome2]="Win",BetTable[WBA2-Commission],IF(BetTable[Outcome2]="Win Half Stake",(BetTable[S2]/2)+BetTable[WBA2-Commission]/2,IF(BetTable[Outcome2]="Lose Half Stake",BetTable[S2]/2,IF(BetTable[Outcome2]="Lose",0,IF(BetTable[Outcome2]="Void",BetTable[S2],)))))</f>
        <v>0</v>
      </c>
      <c r="AH521" s="164">
        <f>IF(BetTable[Outcome3]="Win",BetTable[WBA3-Commission],IF(BetTable[Outcome3]="Win Half Stake",(BetTable[S3]/2)+BetTable[WBA3-Commission]/2,IF(BetTable[Outcome3]="Lose Half Stake",BetTable[S3]/2,IF(BetTable[Outcome3]="Lose",0,IF(BetTable[Outcome3]="Void",BetTable[S3],)))))</f>
        <v>0</v>
      </c>
      <c r="AI521" s="168">
        <f>IF(BetTable[Outcome]="",AI520,BetTable[Result]+AI520)</f>
        <v>858.94225000000051</v>
      </c>
      <c r="AJ521" s="160"/>
    </row>
    <row r="522" spans="1:36" x14ac:dyDescent="0.2">
      <c r="A522" s="159" t="s">
        <v>1416</v>
      </c>
      <c r="B522" s="160" t="s">
        <v>7</v>
      </c>
      <c r="C522" s="161" t="s">
        <v>91</v>
      </c>
      <c r="D522" s="161"/>
      <c r="E522" s="161"/>
      <c r="F522" s="162"/>
      <c r="G522" s="162"/>
      <c r="H522" s="162"/>
      <c r="I522" s="160" t="s">
        <v>1508</v>
      </c>
      <c r="J522" s="163">
        <v>1.95</v>
      </c>
      <c r="K522" s="163"/>
      <c r="L522" s="163"/>
      <c r="M522" s="164">
        <v>18</v>
      </c>
      <c r="N522" s="164"/>
      <c r="O522" s="164"/>
      <c r="P522" s="159" t="s">
        <v>1509</v>
      </c>
      <c r="Q522" s="159" t="s">
        <v>1291</v>
      </c>
      <c r="R522" s="159" t="s">
        <v>1510</v>
      </c>
      <c r="S522" s="165">
        <v>1.40977820664085E-2</v>
      </c>
      <c r="T522" s="166" t="s">
        <v>372</v>
      </c>
      <c r="U522" s="166"/>
      <c r="V522" s="166"/>
      <c r="W522" s="167">
        <f>IF(BetTable[Sport]="","",BetTable[Stake]+BetTable[S2]+BetTable[S3])</f>
        <v>18</v>
      </c>
      <c r="X522" s="164">
        <f>IF(BetTable[Odds]="","",(BetTable[WBA1-Commission])-BetTable[TS])</f>
        <v>17.099999999999994</v>
      </c>
      <c r="Y522" s="168">
        <f>IF(BetTable[Outcome]="","",BetTable[WBA1]+BetTable[WBA2]+BetTable[WBA3]-BetTable[TS])</f>
        <v>17.099999999999994</v>
      </c>
      <c r="Z522" s="164">
        <f>(((BetTable[Odds]-1)*BetTable[Stake])*(1-(BetTable[Comm %]))+BetTable[Stake])</f>
        <v>35.099999999999994</v>
      </c>
      <c r="AA522" s="164">
        <f>(((BetTable[O2]-1)*BetTable[S2])*(1-(BetTable[C% 2]))+BetTable[S2])</f>
        <v>0</v>
      </c>
      <c r="AB522" s="164">
        <f>(((BetTable[O3]-1)*BetTable[S3])*(1-(BetTable[C% 3]))+BetTable[S3])</f>
        <v>0</v>
      </c>
      <c r="AC522" s="165">
        <f>IFERROR(IF(BetTable[Sport]="","",BetTable[R1]/BetTable[TS]),"")</f>
        <v>0.94999999999999973</v>
      </c>
      <c r="AD522" s="165" t="str">
        <f>IF(BetTable[O2]="","",#REF!/BetTable[TS])</f>
        <v/>
      </c>
      <c r="AE522" s="165" t="str">
        <f>IFERROR(IF(BetTable[Sport]="","",#REF!/BetTable[TS]),"")</f>
        <v/>
      </c>
      <c r="AF522" s="164">
        <f>IF(BetTable[Outcome]="Win",BetTable[WBA1-Commission],IF(BetTable[Outcome]="Win Half Stake",(BetTable[Stake]/2)+BetTable[WBA1-Commission]/2,IF(BetTable[Outcome]="Lose Half Stake",BetTable[Stake]/2,IF(BetTable[Outcome]="Lose",0,IF(BetTable[Outcome]="Void",BetTable[Stake],)))))</f>
        <v>35.099999999999994</v>
      </c>
      <c r="AG522" s="164">
        <f>IF(BetTable[Outcome2]="Win",BetTable[WBA2-Commission],IF(BetTable[Outcome2]="Win Half Stake",(BetTable[S2]/2)+BetTable[WBA2-Commission]/2,IF(BetTable[Outcome2]="Lose Half Stake",BetTable[S2]/2,IF(BetTable[Outcome2]="Lose",0,IF(BetTable[Outcome2]="Void",BetTable[S2],)))))</f>
        <v>0</v>
      </c>
      <c r="AH522" s="164">
        <f>IF(BetTable[Outcome3]="Win",BetTable[WBA3-Commission],IF(BetTable[Outcome3]="Win Half Stake",(BetTable[S3]/2)+BetTable[WBA3-Commission]/2,IF(BetTable[Outcome3]="Lose Half Stake",BetTable[S3]/2,IF(BetTable[Outcome3]="Lose",0,IF(BetTable[Outcome3]="Void",BetTable[S3],)))))</f>
        <v>0</v>
      </c>
      <c r="AI522" s="168">
        <f>IF(BetTable[Outcome]="",AI521,BetTable[Result]+AI521)</f>
        <v>876.04225000000054</v>
      </c>
      <c r="AJ522" s="160"/>
    </row>
    <row r="523" spans="1:36" x14ac:dyDescent="0.2">
      <c r="A523" s="159" t="s">
        <v>1416</v>
      </c>
      <c r="B523" s="160" t="s">
        <v>8</v>
      </c>
      <c r="C523" s="161" t="s">
        <v>91</v>
      </c>
      <c r="D523" s="161"/>
      <c r="E523" s="161"/>
      <c r="F523" s="162"/>
      <c r="G523" s="162"/>
      <c r="H523" s="162"/>
      <c r="I523" s="160" t="s">
        <v>1511</v>
      </c>
      <c r="J523" s="163">
        <v>2.23</v>
      </c>
      <c r="K523" s="163"/>
      <c r="L523" s="163"/>
      <c r="M523" s="164">
        <v>18</v>
      </c>
      <c r="N523" s="164"/>
      <c r="O523" s="164"/>
      <c r="P523" s="159" t="s">
        <v>428</v>
      </c>
      <c r="Q523" s="159" t="s">
        <v>632</v>
      </c>
      <c r="R523" s="159" t="s">
        <v>1512</v>
      </c>
      <c r="S523" s="165">
        <v>1.87421129591758E-2</v>
      </c>
      <c r="T523" s="166" t="s">
        <v>382</v>
      </c>
      <c r="U523" s="166"/>
      <c r="V523" s="166"/>
      <c r="W523" s="167">
        <f>IF(BetTable[Sport]="","",BetTable[Stake]+BetTable[S2]+BetTable[S3])</f>
        <v>18</v>
      </c>
      <c r="X523" s="164">
        <f>IF(BetTable[Odds]="","",(BetTable[WBA1-Commission])-BetTable[TS])</f>
        <v>22.14</v>
      </c>
      <c r="Y523" s="168">
        <f>IF(BetTable[Outcome]="","",BetTable[WBA1]+BetTable[WBA2]+BetTable[WBA3]-BetTable[TS])</f>
        <v>-18</v>
      </c>
      <c r="Z523" s="164">
        <f>(((BetTable[Odds]-1)*BetTable[Stake])*(1-(BetTable[Comm %]))+BetTable[Stake])</f>
        <v>40.14</v>
      </c>
      <c r="AA523" s="164">
        <f>(((BetTable[O2]-1)*BetTable[S2])*(1-(BetTable[C% 2]))+BetTable[S2])</f>
        <v>0</v>
      </c>
      <c r="AB523" s="164">
        <f>(((BetTable[O3]-1)*BetTable[S3])*(1-(BetTable[C% 3]))+BetTable[S3])</f>
        <v>0</v>
      </c>
      <c r="AC523" s="165">
        <f>IFERROR(IF(BetTable[Sport]="","",BetTable[R1]/BetTable[TS]),"")</f>
        <v>1.23</v>
      </c>
      <c r="AD523" s="165" t="str">
        <f>IF(BetTable[O2]="","",#REF!/BetTable[TS])</f>
        <v/>
      </c>
      <c r="AE523" s="165" t="str">
        <f>IFERROR(IF(BetTable[Sport]="","",#REF!/BetTable[TS]),"")</f>
        <v/>
      </c>
      <c r="AF523" s="164">
        <f>IF(BetTable[Outcome]="Win",BetTable[WBA1-Commission],IF(BetTable[Outcome]="Win Half Stake",(BetTable[Stake]/2)+BetTable[WBA1-Commission]/2,IF(BetTable[Outcome]="Lose Half Stake",BetTable[Stake]/2,IF(BetTable[Outcome]="Lose",0,IF(BetTable[Outcome]="Void",BetTable[Stake],)))))</f>
        <v>0</v>
      </c>
      <c r="AG523" s="164">
        <f>IF(BetTable[Outcome2]="Win",BetTable[WBA2-Commission],IF(BetTable[Outcome2]="Win Half Stake",(BetTable[S2]/2)+BetTable[WBA2-Commission]/2,IF(BetTable[Outcome2]="Lose Half Stake",BetTable[S2]/2,IF(BetTable[Outcome2]="Lose",0,IF(BetTable[Outcome2]="Void",BetTable[S2],)))))</f>
        <v>0</v>
      </c>
      <c r="AH523" s="164">
        <f>IF(BetTable[Outcome3]="Win",BetTable[WBA3-Commission],IF(BetTable[Outcome3]="Win Half Stake",(BetTable[S3]/2)+BetTable[WBA3-Commission]/2,IF(BetTable[Outcome3]="Lose Half Stake",BetTable[S3]/2,IF(BetTable[Outcome3]="Lose",0,IF(BetTable[Outcome3]="Void",BetTable[S3],)))))</f>
        <v>0</v>
      </c>
      <c r="AI523" s="168">
        <f>IF(BetTable[Outcome]="",AI522,BetTable[Result]+AI522)</f>
        <v>858.04225000000054</v>
      </c>
      <c r="AJ523" s="160"/>
    </row>
    <row r="524" spans="1:36" x14ac:dyDescent="0.2">
      <c r="A524" s="159" t="s">
        <v>1416</v>
      </c>
      <c r="B524" s="160" t="s">
        <v>200</v>
      </c>
      <c r="C524" s="161" t="s">
        <v>91</v>
      </c>
      <c r="D524" s="161"/>
      <c r="E524" s="161"/>
      <c r="F524" s="162"/>
      <c r="G524" s="162"/>
      <c r="H524" s="162"/>
      <c r="I524" s="160" t="s">
        <v>1513</v>
      </c>
      <c r="J524" s="163">
        <v>1.8</v>
      </c>
      <c r="K524" s="163"/>
      <c r="L524" s="163"/>
      <c r="M524" s="164">
        <v>78</v>
      </c>
      <c r="N524" s="164"/>
      <c r="O524" s="164"/>
      <c r="P524" s="159" t="s">
        <v>354</v>
      </c>
      <c r="Q524" s="159" t="s">
        <v>1379</v>
      </c>
      <c r="R524" s="159" t="s">
        <v>1514</v>
      </c>
      <c r="S524" s="165">
        <v>5.1963287534143698E-2</v>
      </c>
      <c r="T524" s="166" t="s">
        <v>382</v>
      </c>
      <c r="U524" s="166"/>
      <c r="V524" s="166"/>
      <c r="W524" s="167">
        <f>IF(BetTable[Sport]="","",BetTable[Stake]+BetTable[S2]+BetTable[S3])</f>
        <v>78</v>
      </c>
      <c r="X524" s="164">
        <f>IF(BetTable[Odds]="","",(BetTable[WBA1-Commission])-BetTable[TS])</f>
        <v>62.400000000000006</v>
      </c>
      <c r="Y524" s="168">
        <f>IF(BetTable[Outcome]="","",BetTable[WBA1]+BetTable[WBA2]+BetTable[WBA3]-BetTable[TS])</f>
        <v>-78</v>
      </c>
      <c r="Z524" s="164">
        <f>(((BetTable[Odds]-1)*BetTable[Stake])*(1-(BetTable[Comm %]))+BetTable[Stake])</f>
        <v>140.4</v>
      </c>
      <c r="AA524" s="164">
        <f>(((BetTable[O2]-1)*BetTable[S2])*(1-(BetTable[C% 2]))+BetTable[S2])</f>
        <v>0</v>
      </c>
      <c r="AB524" s="164">
        <f>(((BetTable[O3]-1)*BetTable[S3])*(1-(BetTable[C% 3]))+BetTable[S3])</f>
        <v>0</v>
      </c>
      <c r="AC524" s="165">
        <f>IFERROR(IF(BetTable[Sport]="","",BetTable[R1]/BetTable[TS]),"")</f>
        <v>0.8</v>
      </c>
      <c r="AD524" s="165" t="str">
        <f>IF(BetTable[O2]="","",#REF!/BetTable[TS])</f>
        <v/>
      </c>
      <c r="AE524" s="165" t="str">
        <f>IFERROR(IF(BetTable[Sport]="","",#REF!/BetTable[TS]),"")</f>
        <v/>
      </c>
      <c r="AF524" s="164">
        <f>IF(BetTable[Outcome]="Win",BetTable[WBA1-Commission],IF(BetTable[Outcome]="Win Half Stake",(BetTable[Stake]/2)+BetTable[WBA1-Commission]/2,IF(BetTable[Outcome]="Lose Half Stake",BetTable[Stake]/2,IF(BetTable[Outcome]="Lose",0,IF(BetTable[Outcome]="Void",BetTable[Stake],)))))</f>
        <v>0</v>
      </c>
      <c r="AG524" s="164">
        <f>IF(BetTable[Outcome2]="Win",BetTable[WBA2-Commission],IF(BetTable[Outcome2]="Win Half Stake",(BetTable[S2]/2)+BetTable[WBA2-Commission]/2,IF(BetTable[Outcome2]="Lose Half Stake",BetTable[S2]/2,IF(BetTable[Outcome2]="Lose",0,IF(BetTable[Outcome2]="Void",BetTable[S2],)))))</f>
        <v>0</v>
      </c>
      <c r="AH524" s="164">
        <f>IF(BetTable[Outcome3]="Win",BetTable[WBA3-Commission],IF(BetTable[Outcome3]="Win Half Stake",(BetTable[S3]/2)+BetTable[WBA3-Commission]/2,IF(BetTable[Outcome3]="Lose Half Stake",BetTable[S3]/2,IF(BetTable[Outcome3]="Lose",0,IF(BetTable[Outcome3]="Void",BetTable[S3],)))))</f>
        <v>0</v>
      </c>
      <c r="AI524" s="168">
        <f>IF(BetTable[Outcome]="",AI523,BetTable[Result]+AI523)</f>
        <v>780.04225000000054</v>
      </c>
      <c r="AJ524" s="160"/>
    </row>
    <row r="525" spans="1:36" x14ac:dyDescent="0.2">
      <c r="A525" s="159" t="s">
        <v>1416</v>
      </c>
      <c r="B525" s="160" t="s">
        <v>200</v>
      </c>
      <c r="C525" s="161" t="s">
        <v>234</v>
      </c>
      <c r="D525" s="161"/>
      <c r="E525" s="161"/>
      <c r="F525" s="162"/>
      <c r="G525" s="162"/>
      <c r="H525" s="162"/>
      <c r="I525" s="160" t="s">
        <v>1515</v>
      </c>
      <c r="J525" s="163">
        <v>1.48</v>
      </c>
      <c r="K525" s="163"/>
      <c r="L525" s="163"/>
      <c r="M525" s="164">
        <v>55</v>
      </c>
      <c r="N525" s="164"/>
      <c r="O525" s="164"/>
      <c r="P525" s="159" t="s">
        <v>435</v>
      </c>
      <c r="Q525" s="159" t="s">
        <v>659</v>
      </c>
      <c r="R525" s="159" t="s">
        <v>1516</v>
      </c>
      <c r="S525" s="165">
        <v>2.20321108435373E-2</v>
      </c>
      <c r="T525" s="166" t="s">
        <v>372</v>
      </c>
      <c r="U525" s="166"/>
      <c r="V525" s="166"/>
      <c r="W525" s="167">
        <f>IF(BetTable[Sport]="","",BetTable[Stake]+BetTable[S2]+BetTable[S3])</f>
        <v>55</v>
      </c>
      <c r="X525" s="164">
        <f>IF(BetTable[Odds]="","",(BetTable[WBA1-Commission])-BetTable[TS])</f>
        <v>26.400000000000006</v>
      </c>
      <c r="Y525" s="168">
        <f>IF(BetTable[Outcome]="","",BetTable[WBA1]+BetTable[WBA2]+BetTable[WBA3]-BetTable[TS])</f>
        <v>26.400000000000006</v>
      </c>
      <c r="Z525" s="164">
        <f>(((BetTable[Odds]-1)*BetTable[Stake])*(1-(BetTable[Comm %]))+BetTable[Stake])</f>
        <v>81.400000000000006</v>
      </c>
      <c r="AA525" s="164">
        <f>(((BetTable[O2]-1)*BetTable[S2])*(1-(BetTable[C% 2]))+BetTable[S2])</f>
        <v>0</v>
      </c>
      <c r="AB525" s="164">
        <f>(((BetTable[O3]-1)*BetTable[S3])*(1-(BetTable[C% 3]))+BetTable[S3])</f>
        <v>0</v>
      </c>
      <c r="AC525" s="165">
        <f>IFERROR(IF(BetTable[Sport]="","",BetTable[R1]/BetTable[TS]),"")</f>
        <v>0.48000000000000009</v>
      </c>
      <c r="AD525" s="165" t="str">
        <f>IF(BetTable[O2]="","",#REF!/BetTable[TS])</f>
        <v/>
      </c>
      <c r="AE525" s="165" t="str">
        <f>IFERROR(IF(BetTable[Sport]="","",#REF!/BetTable[TS]),"")</f>
        <v/>
      </c>
      <c r="AF525" s="164">
        <f>IF(BetTable[Outcome]="Win",BetTable[WBA1-Commission],IF(BetTable[Outcome]="Win Half Stake",(BetTable[Stake]/2)+BetTable[WBA1-Commission]/2,IF(BetTable[Outcome]="Lose Half Stake",BetTable[Stake]/2,IF(BetTable[Outcome]="Lose",0,IF(BetTable[Outcome]="Void",BetTable[Stake],)))))</f>
        <v>81.400000000000006</v>
      </c>
      <c r="AG525" s="164">
        <f>IF(BetTable[Outcome2]="Win",BetTable[WBA2-Commission],IF(BetTable[Outcome2]="Win Half Stake",(BetTable[S2]/2)+BetTable[WBA2-Commission]/2,IF(BetTable[Outcome2]="Lose Half Stake",BetTable[S2]/2,IF(BetTable[Outcome2]="Lose",0,IF(BetTable[Outcome2]="Void",BetTable[S2],)))))</f>
        <v>0</v>
      </c>
      <c r="AH525" s="164">
        <f>IF(BetTable[Outcome3]="Win",BetTable[WBA3-Commission],IF(BetTable[Outcome3]="Win Half Stake",(BetTable[S3]/2)+BetTable[WBA3-Commission]/2,IF(BetTable[Outcome3]="Lose Half Stake",BetTable[S3]/2,IF(BetTable[Outcome3]="Lose",0,IF(BetTable[Outcome3]="Void",BetTable[S3],)))))</f>
        <v>0</v>
      </c>
      <c r="AI525" s="168">
        <f>IF(BetTable[Outcome]="",AI524,BetTable[Result]+AI524)</f>
        <v>806.44225000000051</v>
      </c>
      <c r="AJ525" s="160"/>
    </row>
    <row r="526" spans="1:36" x14ac:dyDescent="0.2">
      <c r="A526" s="159" t="s">
        <v>1416</v>
      </c>
      <c r="B526" s="160" t="s">
        <v>200</v>
      </c>
      <c r="C526" s="161" t="s">
        <v>91</v>
      </c>
      <c r="D526" s="161"/>
      <c r="E526" s="161"/>
      <c r="F526" s="162"/>
      <c r="G526" s="162"/>
      <c r="H526" s="162"/>
      <c r="I526" s="160" t="s">
        <v>1517</v>
      </c>
      <c r="J526" s="163">
        <v>1.98</v>
      </c>
      <c r="K526" s="163"/>
      <c r="L526" s="163"/>
      <c r="M526" s="164">
        <v>41</v>
      </c>
      <c r="N526" s="164"/>
      <c r="O526" s="164"/>
      <c r="P526" s="159" t="s">
        <v>351</v>
      </c>
      <c r="Q526" s="159" t="s">
        <v>889</v>
      </c>
      <c r="R526" s="159" t="s">
        <v>1518</v>
      </c>
      <c r="S526" s="165">
        <v>3.3330717098252402E-2</v>
      </c>
      <c r="T526" s="166" t="s">
        <v>372</v>
      </c>
      <c r="U526" s="166"/>
      <c r="V526" s="166"/>
      <c r="W526" s="167">
        <f>IF(BetTable[Sport]="","",BetTable[Stake]+BetTable[S2]+BetTable[S3])</f>
        <v>41</v>
      </c>
      <c r="X526" s="164">
        <f>IF(BetTable[Odds]="","",(BetTable[WBA1-Commission])-BetTable[TS])</f>
        <v>40.180000000000007</v>
      </c>
      <c r="Y526" s="168">
        <f>IF(BetTable[Outcome]="","",BetTable[WBA1]+BetTable[WBA2]+BetTable[WBA3]-BetTable[TS])</f>
        <v>40.180000000000007</v>
      </c>
      <c r="Z526" s="164">
        <f>(((BetTable[Odds]-1)*BetTable[Stake])*(1-(BetTable[Comm %]))+BetTable[Stake])</f>
        <v>81.180000000000007</v>
      </c>
      <c r="AA526" s="164">
        <f>(((BetTable[O2]-1)*BetTable[S2])*(1-(BetTable[C% 2]))+BetTable[S2])</f>
        <v>0</v>
      </c>
      <c r="AB526" s="164">
        <f>(((BetTable[O3]-1)*BetTable[S3])*(1-(BetTable[C% 3]))+BetTable[S3])</f>
        <v>0</v>
      </c>
      <c r="AC526" s="165">
        <f>IFERROR(IF(BetTable[Sport]="","",BetTable[R1]/BetTable[TS]),"")</f>
        <v>0.9800000000000002</v>
      </c>
      <c r="AD526" s="165" t="str">
        <f>IF(BetTable[O2]="","",#REF!/BetTable[TS])</f>
        <v/>
      </c>
      <c r="AE526" s="165" t="str">
        <f>IFERROR(IF(BetTable[Sport]="","",#REF!/BetTable[TS]),"")</f>
        <v/>
      </c>
      <c r="AF526" s="164">
        <f>IF(BetTable[Outcome]="Win",BetTable[WBA1-Commission],IF(BetTable[Outcome]="Win Half Stake",(BetTable[Stake]/2)+BetTable[WBA1-Commission]/2,IF(BetTable[Outcome]="Lose Half Stake",BetTable[Stake]/2,IF(BetTable[Outcome]="Lose",0,IF(BetTable[Outcome]="Void",BetTable[Stake],)))))</f>
        <v>81.180000000000007</v>
      </c>
      <c r="AG526" s="164">
        <f>IF(BetTable[Outcome2]="Win",BetTable[WBA2-Commission],IF(BetTable[Outcome2]="Win Half Stake",(BetTable[S2]/2)+BetTable[WBA2-Commission]/2,IF(BetTable[Outcome2]="Lose Half Stake",BetTable[S2]/2,IF(BetTable[Outcome2]="Lose",0,IF(BetTable[Outcome2]="Void",BetTable[S2],)))))</f>
        <v>0</v>
      </c>
      <c r="AH526" s="164">
        <f>IF(BetTable[Outcome3]="Win",BetTable[WBA3-Commission],IF(BetTable[Outcome3]="Win Half Stake",(BetTable[S3]/2)+BetTable[WBA3-Commission]/2,IF(BetTable[Outcome3]="Lose Half Stake",BetTable[S3]/2,IF(BetTable[Outcome3]="Lose",0,IF(BetTable[Outcome3]="Void",BetTable[S3],)))))</f>
        <v>0</v>
      </c>
      <c r="AI526" s="168">
        <f>IF(BetTable[Outcome]="",AI525,BetTable[Result]+AI525)</f>
        <v>846.62225000000058</v>
      </c>
      <c r="AJ526" s="160"/>
    </row>
    <row r="527" spans="1:36" x14ac:dyDescent="0.2">
      <c r="A527" s="159" t="s">
        <v>1416</v>
      </c>
      <c r="B527" s="160" t="s">
        <v>200</v>
      </c>
      <c r="C527" s="161" t="s">
        <v>91</v>
      </c>
      <c r="D527" s="161"/>
      <c r="E527" s="161"/>
      <c r="F527" s="162"/>
      <c r="G527" s="162"/>
      <c r="H527" s="162"/>
      <c r="I527" s="160" t="s">
        <v>1519</v>
      </c>
      <c r="J527" s="163">
        <v>1.74</v>
      </c>
      <c r="K527" s="163"/>
      <c r="L527" s="163"/>
      <c r="M527" s="164">
        <v>49</v>
      </c>
      <c r="N527" s="164"/>
      <c r="O527" s="164"/>
      <c r="P527" s="159" t="s">
        <v>508</v>
      </c>
      <c r="Q527" s="159" t="s">
        <v>836</v>
      </c>
      <c r="R527" s="159" t="s">
        <v>1520</v>
      </c>
      <c r="S527" s="165">
        <v>3.04167309249441E-2</v>
      </c>
      <c r="T527" s="166" t="s">
        <v>510</v>
      </c>
      <c r="U527" s="166"/>
      <c r="V527" s="166"/>
      <c r="W527" s="167">
        <f>IF(BetTable[Sport]="","",BetTable[Stake]+BetTable[S2]+BetTable[S3])</f>
        <v>49</v>
      </c>
      <c r="X527" s="164">
        <f>IF(BetTable[Odds]="","",(BetTable[WBA1-Commission])-BetTable[TS])</f>
        <v>36.259999999999991</v>
      </c>
      <c r="Y527" s="168">
        <f>IF(BetTable[Outcome]="","",BetTable[WBA1]+BetTable[WBA2]+BetTable[WBA3]-BetTable[TS])</f>
        <v>18.129999999999995</v>
      </c>
      <c r="Z527" s="164">
        <f>(((BetTable[Odds]-1)*BetTable[Stake])*(1-(BetTable[Comm %]))+BetTable[Stake])</f>
        <v>85.259999999999991</v>
      </c>
      <c r="AA527" s="164">
        <f>(((BetTable[O2]-1)*BetTable[S2])*(1-(BetTable[C% 2]))+BetTable[S2])</f>
        <v>0</v>
      </c>
      <c r="AB527" s="164">
        <f>(((BetTable[O3]-1)*BetTable[S3])*(1-(BetTable[C% 3]))+BetTable[S3])</f>
        <v>0</v>
      </c>
      <c r="AC527" s="165">
        <f>IFERROR(IF(BetTable[Sport]="","",BetTable[R1]/BetTable[TS]),"")</f>
        <v>0.73999999999999977</v>
      </c>
      <c r="AD527" s="165" t="str">
        <f>IF(BetTable[O2]="","",#REF!/BetTable[TS])</f>
        <v/>
      </c>
      <c r="AE527" s="165" t="str">
        <f>IFERROR(IF(BetTable[Sport]="","",#REF!/BetTable[TS]),"")</f>
        <v/>
      </c>
      <c r="AF527" s="164">
        <f>IF(BetTable[Outcome]="Win",BetTable[WBA1-Commission],IF(BetTable[Outcome]="Win Half Stake",(BetTable[Stake]/2)+BetTable[WBA1-Commission]/2,IF(BetTable[Outcome]="Lose Half Stake",BetTable[Stake]/2,IF(BetTable[Outcome]="Lose",0,IF(BetTable[Outcome]="Void",BetTable[Stake],)))))</f>
        <v>67.13</v>
      </c>
      <c r="AG527" s="164">
        <f>IF(BetTable[Outcome2]="Win",BetTable[WBA2-Commission],IF(BetTable[Outcome2]="Win Half Stake",(BetTable[S2]/2)+BetTable[WBA2-Commission]/2,IF(BetTable[Outcome2]="Lose Half Stake",BetTable[S2]/2,IF(BetTable[Outcome2]="Lose",0,IF(BetTable[Outcome2]="Void",BetTable[S2],)))))</f>
        <v>0</v>
      </c>
      <c r="AH527" s="164">
        <f>IF(BetTable[Outcome3]="Win",BetTable[WBA3-Commission],IF(BetTable[Outcome3]="Win Half Stake",(BetTable[S3]/2)+BetTable[WBA3-Commission]/2,IF(BetTable[Outcome3]="Lose Half Stake",BetTable[S3]/2,IF(BetTable[Outcome3]="Lose",0,IF(BetTable[Outcome3]="Void",BetTable[S3],)))))</f>
        <v>0</v>
      </c>
      <c r="AI527" s="168">
        <f>IF(BetTable[Outcome]="",AI526,BetTable[Result]+AI526)</f>
        <v>864.75225000000057</v>
      </c>
      <c r="AJ527" s="160"/>
    </row>
    <row r="528" spans="1:36" x14ac:dyDescent="0.2">
      <c r="A528" s="159" t="s">
        <v>1416</v>
      </c>
      <c r="B528" s="160" t="s">
        <v>7</v>
      </c>
      <c r="C528" s="161" t="s">
        <v>91</v>
      </c>
      <c r="D528" s="161"/>
      <c r="E528" s="161"/>
      <c r="F528" s="162"/>
      <c r="G528" s="162"/>
      <c r="H528" s="162"/>
      <c r="I528" s="160" t="s">
        <v>1521</v>
      </c>
      <c r="J528" s="163">
        <v>1.97</v>
      </c>
      <c r="K528" s="163"/>
      <c r="L528" s="163"/>
      <c r="M528" s="164">
        <v>20</v>
      </c>
      <c r="N528" s="164"/>
      <c r="O528" s="164"/>
      <c r="P528" s="159" t="s">
        <v>1522</v>
      </c>
      <c r="Q528" s="159" t="s">
        <v>503</v>
      </c>
      <c r="R528" s="159" t="s">
        <v>1523</v>
      </c>
      <c r="S528" s="165">
        <v>1.63039087573023E-2</v>
      </c>
      <c r="T528" s="166" t="s">
        <v>372</v>
      </c>
      <c r="U528" s="166"/>
      <c r="V528" s="166"/>
      <c r="W528" s="167">
        <f>IF(BetTable[Sport]="","",BetTable[Stake]+BetTable[S2]+BetTable[S3])</f>
        <v>20</v>
      </c>
      <c r="X528" s="164">
        <f>IF(BetTable[Odds]="","",(BetTable[WBA1-Commission])-BetTable[TS])</f>
        <v>19.399999999999999</v>
      </c>
      <c r="Y528" s="168">
        <f>IF(BetTable[Outcome]="","",BetTable[WBA1]+BetTable[WBA2]+BetTable[WBA3]-BetTable[TS])</f>
        <v>19.399999999999999</v>
      </c>
      <c r="Z528" s="164">
        <f>(((BetTable[Odds]-1)*BetTable[Stake])*(1-(BetTable[Comm %]))+BetTable[Stake])</f>
        <v>39.4</v>
      </c>
      <c r="AA528" s="164">
        <f>(((BetTable[O2]-1)*BetTable[S2])*(1-(BetTable[C% 2]))+BetTable[S2])</f>
        <v>0</v>
      </c>
      <c r="AB528" s="164">
        <f>(((BetTable[O3]-1)*BetTable[S3])*(1-(BetTable[C% 3]))+BetTable[S3])</f>
        <v>0</v>
      </c>
      <c r="AC528" s="165">
        <f>IFERROR(IF(BetTable[Sport]="","",BetTable[R1]/BetTable[TS]),"")</f>
        <v>0.97</v>
      </c>
      <c r="AD528" s="165" t="str">
        <f>IF(BetTable[O2]="","",#REF!/BetTable[TS])</f>
        <v/>
      </c>
      <c r="AE528" s="165" t="str">
        <f>IFERROR(IF(BetTable[Sport]="","",#REF!/BetTable[TS]),"")</f>
        <v/>
      </c>
      <c r="AF528" s="164">
        <f>IF(BetTable[Outcome]="Win",BetTable[WBA1-Commission],IF(BetTable[Outcome]="Win Half Stake",(BetTable[Stake]/2)+BetTable[WBA1-Commission]/2,IF(BetTable[Outcome]="Lose Half Stake",BetTable[Stake]/2,IF(BetTable[Outcome]="Lose",0,IF(BetTable[Outcome]="Void",BetTable[Stake],)))))</f>
        <v>39.4</v>
      </c>
      <c r="AG528" s="164">
        <f>IF(BetTable[Outcome2]="Win",BetTable[WBA2-Commission],IF(BetTable[Outcome2]="Win Half Stake",(BetTable[S2]/2)+BetTable[WBA2-Commission]/2,IF(BetTable[Outcome2]="Lose Half Stake",BetTable[S2]/2,IF(BetTable[Outcome2]="Lose",0,IF(BetTable[Outcome2]="Void",BetTable[S2],)))))</f>
        <v>0</v>
      </c>
      <c r="AH528" s="164">
        <f>IF(BetTable[Outcome3]="Win",BetTable[WBA3-Commission],IF(BetTable[Outcome3]="Win Half Stake",(BetTable[S3]/2)+BetTable[WBA3-Commission]/2,IF(BetTable[Outcome3]="Lose Half Stake",BetTable[S3]/2,IF(BetTable[Outcome3]="Lose",0,IF(BetTable[Outcome3]="Void",BetTable[S3],)))))</f>
        <v>0</v>
      </c>
      <c r="AI528" s="168">
        <f>IF(BetTable[Outcome]="",AI527,BetTable[Result]+AI527)</f>
        <v>884.15225000000055</v>
      </c>
      <c r="AJ528" s="160"/>
    </row>
    <row r="529" spans="1:36" x14ac:dyDescent="0.2">
      <c r="A529" s="159" t="s">
        <v>1416</v>
      </c>
      <c r="B529" s="160" t="s">
        <v>7</v>
      </c>
      <c r="C529" s="161" t="s">
        <v>91</v>
      </c>
      <c r="D529" s="161"/>
      <c r="E529" s="161"/>
      <c r="F529" s="162"/>
      <c r="G529" s="162"/>
      <c r="H529" s="162"/>
      <c r="I529" s="160" t="s">
        <v>1347</v>
      </c>
      <c r="J529" s="163">
        <v>1.88</v>
      </c>
      <c r="K529" s="163"/>
      <c r="L529" s="163"/>
      <c r="M529" s="164">
        <v>39</v>
      </c>
      <c r="N529" s="164"/>
      <c r="O529" s="164"/>
      <c r="P529" s="159" t="s">
        <v>1524</v>
      </c>
      <c r="Q529" s="159" t="s">
        <v>503</v>
      </c>
      <c r="R529" s="159" t="s">
        <v>1525</v>
      </c>
      <c r="S529" s="165">
        <v>2.89473838716937E-2</v>
      </c>
      <c r="T529" s="166" t="s">
        <v>382</v>
      </c>
      <c r="U529" s="166"/>
      <c r="V529" s="166"/>
      <c r="W529" s="167">
        <f>IF(BetTable[Sport]="","",BetTable[Stake]+BetTable[S2]+BetTable[S3])</f>
        <v>39</v>
      </c>
      <c r="X529" s="164">
        <f>IF(BetTable[Odds]="","",(BetTable[WBA1-Commission])-BetTable[TS])</f>
        <v>34.319999999999993</v>
      </c>
      <c r="Y529" s="168">
        <f>IF(BetTable[Outcome]="","",BetTable[WBA1]+BetTable[WBA2]+BetTable[WBA3]-BetTable[TS])</f>
        <v>-39</v>
      </c>
      <c r="Z529" s="164">
        <f>(((BetTable[Odds]-1)*BetTable[Stake])*(1-(BetTable[Comm %]))+BetTable[Stake])</f>
        <v>73.319999999999993</v>
      </c>
      <c r="AA529" s="164">
        <f>(((BetTable[O2]-1)*BetTable[S2])*(1-(BetTable[C% 2]))+BetTable[S2])</f>
        <v>0</v>
      </c>
      <c r="AB529" s="164">
        <f>(((BetTable[O3]-1)*BetTable[S3])*(1-(BetTable[C% 3]))+BetTable[S3])</f>
        <v>0</v>
      </c>
      <c r="AC529" s="165">
        <f>IFERROR(IF(BetTable[Sport]="","",BetTable[R1]/BetTable[TS]),"")</f>
        <v>0.87999999999999978</v>
      </c>
      <c r="AD529" s="165" t="str">
        <f>IF(BetTable[O2]="","",#REF!/BetTable[TS])</f>
        <v/>
      </c>
      <c r="AE529" s="165" t="str">
        <f>IFERROR(IF(BetTable[Sport]="","",#REF!/BetTable[TS]),"")</f>
        <v/>
      </c>
      <c r="AF529" s="164">
        <f>IF(BetTable[Outcome]="Win",BetTable[WBA1-Commission],IF(BetTable[Outcome]="Win Half Stake",(BetTable[Stake]/2)+BetTable[WBA1-Commission]/2,IF(BetTable[Outcome]="Lose Half Stake",BetTable[Stake]/2,IF(BetTable[Outcome]="Lose",0,IF(BetTable[Outcome]="Void",BetTable[Stake],)))))</f>
        <v>0</v>
      </c>
      <c r="AG529" s="164">
        <f>IF(BetTable[Outcome2]="Win",BetTable[WBA2-Commission],IF(BetTable[Outcome2]="Win Half Stake",(BetTable[S2]/2)+BetTable[WBA2-Commission]/2,IF(BetTable[Outcome2]="Lose Half Stake",BetTable[S2]/2,IF(BetTable[Outcome2]="Lose",0,IF(BetTable[Outcome2]="Void",BetTable[S2],)))))</f>
        <v>0</v>
      </c>
      <c r="AH529" s="164">
        <f>IF(BetTable[Outcome3]="Win",BetTable[WBA3-Commission],IF(BetTable[Outcome3]="Win Half Stake",(BetTable[S3]/2)+BetTable[WBA3-Commission]/2,IF(BetTable[Outcome3]="Lose Half Stake",BetTable[S3]/2,IF(BetTable[Outcome3]="Lose",0,IF(BetTable[Outcome3]="Void",BetTable[S3],)))))</f>
        <v>0</v>
      </c>
      <c r="AI529" s="168">
        <f>IF(BetTable[Outcome]="",AI528,BetTable[Result]+AI528)</f>
        <v>845.15225000000055</v>
      </c>
      <c r="AJ529" s="160"/>
    </row>
    <row r="530" spans="1:36" x14ac:dyDescent="0.2">
      <c r="A530" s="159" t="s">
        <v>1416</v>
      </c>
      <c r="B530" s="160" t="s">
        <v>8</v>
      </c>
      <c r="C530" s="161" t="s">
        <v>91</v>
      </c>
      <c r="D530" s="161"/>
      <c r="E530" s="161"/>
      <c r="F530" s="162"/>
      <c r="G530" s="162"/>
      <c r="H530" s="162"/>
      <c r="I530" s="160" t="s">
        <v>1526</v>
      </c>
      <c r="J530" s="163">
        <v>2.23</v>
      </c>
      <c r="K530" s="163"/>
      <c r="L530" s="163"/>
      <c r="M530" s="164">
        <v>23</v>
      </c>
      <c r="N530" s="164"/>
      <c r="O530" s="164"/>
      <c r="P530" s="159" t="s">
        <v>435</v>
      </c>
      <c r="Q530" s="159" t="s">
        <v>503</v>
      </c>
      <c r="R530" s="159" t="s">
        <v>1527</v>
      </c>
      <c r="S530" s="165">
        <v>2.3429677683140599E-2</v>
      </c>
      <c r="T530" s="166" t="s">
        <v>382</v>
      </c>
      <c r="U530" s="166"/>
      <c r="V530" s="166"/>
      <c r="W530" s="167">
        <f>IF(BetTable[Sport]="","",BetTable[Stake]+BetTable[S2]+BetTable[S3])</f>
        <v>23</v>
      </c>
      <c r="X530" s="164">
        <f>IF(BetTable[Odds]="","",(BetTable[WBA1-Commission])-BetTable[TS])</f>
        <v>28.29</v>
      </c>
      <c r="Y530" s="168">
        <f>IF(BetTable[Outcome]="","",BetTable[WBA1]+BetTable[WBA2]+BetTable[WBA3]-BetTable[TS])</f>
        <v>-23</v>
      </c>
      <c r="Z530" s="164">
        <f>(((BetTable[Odds]-1)*BetTable[Stake])*(1-(BetTable[Comm %]))+BetTable[Stake])</f>
        <v>51.29</v>
      </c>
      <c r="AA530" s="164">
        <f>(((BetTable[O2]-1)*BetTable[S2])*(1-(BetTable[C% 2]))+BetTable[S2])</f>
        <v>0</v>
      </c>
      <c r="AB530" s="164">
        <f>(((BetTable[O3]-1)*BetTable[S3])*(1-(BetTable[C% 3]))+BetTable[S3])</f>
        <v>0</v>
      </c>
      <c r="AC530" s="165">
        <f>IFERROR(IF(BetTable[Sport]="","",BetTable[R1]/BetTable[TS]),"")</f>
        <v>1.23</v>
      </c>
      <c r="AD530" s="165" t="str">
        <f>IF(BetTable[O2]="","",#REF!/BetTable[TS])</f>
        <v/>
      </c>
      <c r="AE530" s="165" t="str">
        <f>IFERROR(IF(BetTable[Sport]="","",#REF!/BetTable[TS]),"")</f>
        <v/>
      </c>
      <c r="AF530" s="164">
        <f>IF(BetTable[Outcome]="Win",BetTable[WBA1-Commission],IF(BetTable[Outcome]="Win Half Stake",(BetTable[Stake]/2)+BetTable[WBA1-Commission]/2,IF(BetTable[Outcome]="Lose Half Stake",BetTable[Stake]/2,IF(BetTable[Outcome]="Lose",0,IF(BetTable[Outcome]="Void",BetTable[Stake],)))))</f>
        <v>0</v>
      </c>
      <c r="AG530" s="164">
        <f>IF(BetTable[Outcome2]="Win",BetTable[WBA2-Commission],IF(BetTable[Outcome2]="Win Half Stake",(BetTable[S2]/2)+BetTable[WBA2-Commission]/2,IF(BetTable[Outcome2]="Lose Half Stake",BetTable[S2]/2,IF(BetTable[Outcome2]="Lose",0,IF(BetTable[Outcome2]="Void",BetTable[S2],)))))</f>
        <v>0</v>
      </c>
      <c r="AH530" s="164">
        <f>IF(BetTable[Outcome3]="Win",BetTable[WBA3-Commission],IF(BetTable[Outcome3]="Win Half Stake",(BetTable[S3]/2)+BetTable[WBA3-Commission]/2,IF(BetTable[Outcome3]="Lose Half Stake",BetTable[S3]/2,IF(BetTable[Outcome3]="Lose",0,IF(BetTable[Outcome3]="Void",BetTable[S3],)))))</f>
        <v>0</v>
      </c>
      <c r="AI530" s="168">
        <f>IF(BetTable[Outcome]="",AI529,BetTable[Result]+AI529)</f>
        <v>822.15225000000055</v>
      </c>
      <c r="AJ530" s="160"/>
    </row>
    <row r="531" spans="1:36" x14ac:dyDescent="0.2">
      <c r="A531" s="159" t="s">
        <v>1416</v>
      </c>
      <c r="B531" s="160" t="s">
        <v>200</v>
      </c>
      <c r="C531" s="161" t="s">
        <v>91</v>
      </c>
      <c r="D531" s="161"/>
      <c r="E531" s="161"/>
      <c r="F531" s="162"/>
      <c r="G531" s="162"/>
      <c r="H531" s="162"/>
      <c r="I531" s="160" t="s">
        <v>1488</v>
      </c>
      <c r="J531" s="163">
        <v>1.88</v>
      </c>
      <c r="K531" s="163"/>
      <c r="L531" s="163"/>
      <c r="M531" s="164">
        <v>22</v>
      </c>
      <c r="N531" s="164"/>
      <c r="O531" s="164"/>
      <c r="P531" s="159" t="s">
        <v>1528</v>
      </c>
      <c r="Q531" s="159" t="s">
        <v>677</v>
      </c>
      <c r="R531" s="159" t="s">
        <v>1529</v>
      </c>
      <c r="S531" s="165">
        <v>1.6349665981586999E-2</v>
      </c>
      <c r="T531" s="166" t="s">
        <v>382</v>
      </c>
      <c r="U531" s="166"/>
      <c r="V531" s="166"/>
      <c r="W531" s="167">
        <f>IF(BetTable[Sport]="","",BetTable[Stake]+BetTable[S2]+BetTable[S3])</f>
        <v>22</v>
      </c>
      <c r="X531" s="164">
        <f>IF(BetTable[Odds]="","",(BetTable[WBA1-Commission])-BetTable[TS])</f>
        <v>19.36</v>
      </c>
      <c r="Y531" s="168">
        <f>IF(BetTable[Outcome]="","",BetTable[WBA1]+BetTable[WBA2]+BetTable[WBA3]-BetTable[TS])</f>
        <v>-22</v>
      </c>
      <c r="Z531" s="164">
        <f>(((BetTable[Odds]-1)*BetTable[Stake])*(1-(BetTable[Comm %]))+BetTable[Stake])</f>
        <v>41.36</v>
      </c>
      <c r="AA531" s="164">
        <f>(((BetTable[O2]-1)*BetTable[S2])*(1-(BetTable[C% 2]))+BetTable[S2])</f>
        <v>0</v>
      </c>
      <c r="AB531" s="164">
        <f>(((BetTable[O3]-1)*BetTable[S3])*(1-(BetTable[C% 3]))+BetTable[S3])</f>
        <v>0</v>
      </c>
      <c r="AC531" s="165">
        <f>IFERROR(IF(BetTable[Sport]="","",BetTable[R1]/BetTable[TS]),"")</f>
        <v>0.88</v>
      </c>
      <c r="AD531" s="165" t="str">
        <f>IF(BetTable[O2]="","",#REF!/BetTable[TS])</f>
        <v/>
      </c>
      <c r="AE531" s="165" t="str">
        <f>IFERROR(IF(BetTable[Sport]="","",#REF!/BetTable[TS]),"")</f>
        <v/>
      </c>
      <c r="AF531" s="164">
        <f>IF(BetTable[Outcome]="Win",BetTable[WBA1-Commission],IF(BetTable[Outcome]="Win Half Stake",(BetTable[Stake]/2)+BetTable[WBA1-Commission]/2,IF(BetTable[Outcome]="Lose Half Stake",BetTable[Stake]/2,IF(BetTable[Outcome]="Lose",0,IF(BetTable[Outcome]="Void",BetTable[Stake],)))))</f>
        <v>0</v>
      </c>
      <c r="AG531" s="164">
        <f>IF(BetTable[Outcome2]="Win",BetTable[WBA2-Commission],IF(BetTable[Outcome2]="Win Half Stake",(BetTable[S2]/2)+BetTable[WBA2-Commission]/2,IF(BetTable[Outcome2]="Lose Half Stake",BetTable[S2]/2,IF(BetTable[Outcome2]="Lose",0,IF(BetTable[Outcome2]="Void",BetTable[S2],)))))</f>
        <v>0</v>
      </c>
      <c r="AH531" s="164">
        <f>IF(BetTable[Outcome3]="Win",BetTable[WBA3-Commission],IF(BetTable[Outcome3]="Win Half Stake",(BetTable[S3]/2)+BetTable[WBA3-Commission]/2,IF(BetTable[Outcome3]="Lose Half Stake",BetTable[S3]/2,IF(BetTable[Outcome3]="Lose",0,IF(BetTable[Outcome3]="Void",BetTable[S3],)))))</f>
        <v>0</v>
      </c>
      <c r="AI531" s="168">
        <f>IF(BetTable[Outcome]="",AI530,BetTable[Result]+AI530)</f>
        <v>800.15225000000055</v>
      </c>
      <c r="AJ531" s="160"/>
    </row>
    <row r="532" spans="1:36" x14ac:dyDescent="0.2">
      <c r="A532" s="159" t="s">
        <v>1416</v>
      </c>
      <c r="B532" s="160" t="s">
        <v>7</v>
      </c>
      <c r="C532" s="161" t="s">
        <v>91</v>
      </c>
      <c r="D532" s="161"/>
      <c r="E532" s="161"/>
      <c r="F532" s="162"/>
      <c r="G532" s="162"/>
      <c r="H532" s="162"/>
      <c r="I532" s="160" t="s">
        <v>1530</v>
      </c>
      <c r="J532" s="163">
        <v>1.93</v>
      </c>
      <c r="K532" s="163"/>
      <c r="L532" s="163"/>
      <c r="M532" s="164">
        <v>61</v>
      </c>
      <c r="N532" s="164"/>
      <c r="O532" s="164"/>
      <c r="P532" s="159" t="s">
        <v>1188</v>
      </c>
      <c r="Q532" s="159" t="s">
        <v>488</v>
      </c>
      <c r="R532" s="159" t="s">
        <v>1531</v>
      </c>
      <c r="S532" s="165">
        <v>4.7456581075819598E-2</v>
      </c>
      <c r="T532" s="166" t="s">
        <v>372</v>
      </c>
      <c r="U532" s="166"/>
      <c r="V532" s="166"/>
      <c r="W532" s="167">
        <f>IF(BetTable[Sport]="","",BetTable[Stake]+BetTable[S2]+BetTable[S3])</f>
        <v>61</v>
      </c>
      <c r="X532" s="164">
        <f>IF(BetTable[Odds]="","",(BetTable[WBA1-Commission])-BetTable[TS])</f>
        <v>56.72999999999999</v>
      </c>
      <c r="Y532" s="168">
        <f>IF(BetTable[Outcome]="","",BetTable[WBA1]+BetTable[WBA2]+BetTable[WBA3]-BetTable[TS])</f>
        <v>56.72999999999999</v>
      </c>
      <c r="Z532" s="164">
        <f>(((BetTable[Odds]-1)*BetTable[Stake])*(1-(BetTable[Comm %]))+BetTable[Stake])</f>
        <v>117.72999999999999</v>
      </c>
      <c r="AA532" s="164">
        <f>(((BetTable[O2]-1)*BetTable[S2])*(1-(BetTable[C% 2]))+BetTable[S2])</f>
        <v>0</v>
      </c>
      <c r="AB532" s="164">
        <f>(((BetTable[O3]-1)*BetTable[S3])*(1-(BetTable[C% 3]))+BetTable[S3])</f>
        <v>0</v>
      </c>
      <c r="AC532" s="165">
        <f>IFERROR(IF(BetTable[Sport]="","",BetTable[R1]/BetTable[TS]),"")</f>
        <v>0.92999999999999983</v>
      </c>
      <c r="AD532" s="165" t="str">
        <f>IF(BetTable[O2]="","",#REF!/BetTable[TS])</f>
        <v/>
      </c>
      <c r="AE532" s="165" t="str">
        <f>IFERROR(IF(BetTable[Sport]="","",#REF!/BetTable[TS]),"")</f>
        <v/>
      </c>
      <c r="AF532" s="164">
        <f>IF(BetTable[Outcome]="Win",BetTable[WBA1-Commission],IF(BetTable[Outcome]="Win Half Stake",(BetTable[Stake]/2)+BetTable[WBA1-Commission]/2,IF(BetTable[Outcome]="Lose Half Stake",BetTable[Stake]/2,IF(BetTable[Outcome]="Lose",0,IF(BetTable[Outcome]="Void",BetTable[Stake],)))))</f>
        <v>117.72999999999999</v>
      </c>
      <c r="AG532" s="164">
        <f>IF(BetTable[Outcome2]="Win",BetTable[WBA2-Commission],IF(BetTable[Outcome2]="Win Half Stake",(BetTable[S2]/2)+BetTable[WBA2-Commission]/2,IF(BetTable[Outcome2]="Lose Half Stake",BetTable[S2]/2,IF(BetTable[Outcome2]="Lose",0,IF(BetTable[Outcome2]="Void",BetTable[S2],)))))</f>
        <v>0</v>
      </c>
      <c r="AH532" s="164">
        <f>IF(BetTable[Outcome3]="Win",BetTable[WBA3-Commission],IF(BetTable[Outcome3]="Win Half Stake",(BetTable[S3]/2)+BetTable[WBA3-Commission]/2,IF(BetTable[Outcome3]="Lose Half Stake",BetTable[S3]/2,IF(BetTable[Outcome3]="Lose",0,IF(BetTable[Outcome3]="Void",BetTable[S3],)))))</f>
        <v>0</v>
      </c>
      <c r="AI532" s="168">
        <f>IF(BetTable[Outcome]="",AI531,BetTable[Result]+AI531)</f>
        <v>856.88225000000057</v>
      </c>
      <c r="AJ532" s="160"/>
    </row>
    <row r="533" spans="1:36" x14ac:dyDescent="0.2">
      <c r="A533" s="159" t="s">
        <v>1416</v>
      </c>
      <c r="B533" s="160" t="s">
        <v>7</v>
      </c>
      <c r="C533" s="161" t="s">
        <v>91</v>
      </c>
      <c r="D533" s="161"/>
      <c r="E533" s="161"/>
      <c r="F533" s="162"/>
      <c r="G533" s="162"/>
      <c r="H533" s="162"/>
      <c r="I533" s="160" t="s">
        <v>1361</v>
      </c>
      <c r="J533" s="163">
        <v>1.88</v>
      </c>
      <c r="K533" s="163"/>
      <c r="L533" s="163"/>
      <c r="M533" s="164">
        <v>45</v>
      </c>
      <c r="N533" s="164"/>
      <c r="O533" s="164"/>
      <c r="P533" s="159" t="s">
        <v>453</v>
      </c>
      <c r="Q533" s="159" t="s">
        <v>503</v>
      </c>
      <c r="R533" s="159" t="s">
        <v>1532</v>
      </c>
      <c r="S533" s="165">
        <v>3.2792553889472199E-2</v>
      </c>
      <c r="T533" s="166" t="s">
        <v>372</v>
      </c>
      <c r="U533" s="166"/>
      <c r="V533" s="166"/>
      <c r="W533" s="167">
        <f>IF(BetTable[Sport]="","",BetTable[Stake]+BetTable[S2]+BetTable[S3])</f>
        <v>45</v>
      </c>
      <c r="X533" s="164">
        <f>IF(BetTable[Odds]="","",(BetTable[WBA1-Commission])-BetTable[TS])</f>
        <v>39.599999999999994</v>
      </c>
      <c r="Y533" s="168">
        <f>IF(BetTable[Outcome]="","",BetTable[WBA1]+BetTable[WBA2]+BetTable[WBA3]-BetTable[TS])</f>
        <v>39.599999999999994</v>
      </c>
      <c r="Z533" s="164">
        <f>(((BetTable[Odds]-1)*BetTable[Stake])*(1-(BetTable[Comm %]))+BetTable[Stake])</f>
        <v>84.6</v>
      </c>
      <c r="AA533" s="164">
        <f>(((BetTable[O2]-1)*BetTable[S2])*(1-(BetTable[C% 2]))+BetTable[S2])</f>
        <v>0</v>
      </c>
      <c r="AB533" s="164">
        <f>(((BetTable[O3]-1)*BetTable[S3])*(1-(BetTable[C% 3]))+BetTable[S3])</f>
        <v>0</v>
      </c>
      <c r="AC533" s="165">
        <f>IFERROR(IF(BetTable[Sport]="","",BetTable[R1]/BetTable[TS]),"")</f>
        <v>0.87999999999999989</v>
      </c>
      <c r="AD533" s="165" t="str">
        <f>IF(BetTable[O2]="","",#REF!/BetTable[TS])</f>
        <v/>
      </c>
      <c r="AE533" s="165" t="str">
        <f>IFERROR(IF(BetTable[Sport]="","",#REF!/BetTable[TS]),"")</f>
        <v/>
      </c>
      <c r="AF533" s="164">
        <f>IF(BetTable[Outcome]="Win",BetTable[WBA1-Commission],IF(BetTable[Outcome]="Win Half Stake",(BetTable[Stake]/2)+BetTable[WBA1-Commission]/2,IF(BetTable[Outcome]="Lose Half Stake",BetTable[Stake]/2,IF(BetTable[Outcome]="Lose",0,IF(BetTable[Outcome]="Void",BetTable[Stake],)))))</f>
        <v>84.6</v>
      </c>
      <c r="AG533" s="164">
        <f>IF(BetTable[Outcome2]="Win",BetTable[WBA2-Commission],IF(BetTable[Outcome2]="Win Half Stake",(BetTable[S2]/2)+BetTable[WBA2-Commission]/2,IF(BetTable[Outcome2]="Lose Half Stake",BetTable[S2]/2,IF(BetTable[Outcome2]="Lose",0,IF(BetTable[Outcome2]="Void",BetTable[S2],)))))</f>
        <v>0</v>
      </c>
      <c r="AH533" s="164">
        <f>IF(BetTable[Outcome3]="Win",BetTable[WBA3-Commission],IF(BetTable[Outcome3]="Win Half Stake",(BetTable[S3]/2)+BetTable[WBA3-Commission]/2,IF(BetTable[Outcome3]="Lose Half Stake",BetTable[S3]/2,IF(BetTable[Outcome3]="Lose",0,IF(BetTable[Outcome3]="Void",BetTable[S3],)))))</f>
        <v>0</v>
      </c>
      <c r="AI533" s="168">
        <f>IF(BetTable[Outcome]="",AI532,BetTable[Result]+AI532)</f>
        <v>896.48225000000059</v>
      </c>
      <c r="AJ533" s="160"/>
    </row>
    <row r="534" spans="1:36" x14ac:dyDescent="0.2">
      <c r="A534" s="159" t="s">
        <v>1416</v>
      </c>
      <c r="B534" s="160" t="s">
        <v>200</v>
      </c>
      <c r="C534" s="161" t="s">
        <v>91</v>
      </c>
      <c r="D534" s="161"/>
      <c r="E534" s="161"/>
      <c r="F534" s="162"/>
      <c r="G534" s="162"/>
      <c r="H534" s="162"/>
      <c r="I534" s="160" t="s">
        <v>1533</v>
      </c>
      <c r="J534" s="163">
        <v>2.0499999999999998</v>
      </c>
      <c r="K534" s="163"/>
      <c r="L534" s="163"/>
      <c r="M534" s="164">
        <v>21</v>
      </c>
      <c r="N534" s="164"/>
      <c r="O534" s="164"/>
      <c r="P534" s="159" t="s">
        <v>1528</v>
      </c>
      <c r="Q534" s="159" t="s">
        <v>491</v>
      </c>
      <c r="R534" s="159" t="s">
        <v>1534</v>
      </c>
      <c r="S534" s="165">
        <v>1.79921475994663E-2</v>
      </c>
      <c r="T534" s="166" t="s">
        <v>382</v>
      </c>
      <c r="U534" s="166"/>
      <c r="V534" s="166"/>
      <c r="W534" s="167">
        <f>IF(BetTable[Sport]="","",BetTable[Stake]+BetTable[S2]+BetTable[S3])</f>
        <v>21</v>
      </c>
      <c r="X534" s="164">
        <f>IF(BetTable[Odds]="","",(BetTable[WBA1-Commission])-BetTable[TS])</f>
        <v>22.049999999999997</v>
      </c>
      <c r="Y534" s="168">
        <f>IF(BetTable[Outcome]="","",BetTable[WBA1]+BetTable[WBA2]+BetTable[WBA3]-BetTable[TS])</f>
        <v>-21</v>
      </c>
      <c r="Z534" s="164">
        <f>(((BetTable[Odds]-1)*BetTable[Stake])*(1-(BetTable[Comm %]))+BetTable[Stake])</f>
        <v>43.05</v>
      </c>
      <c r="AA534" s="164">
        <f>(((BetTable[O2]-1)*BetTable[S2])*(1-(BetTable[C% 2]))+BetTable[S2])</f>
        <v>0</v>
      </c>
      <c r="AB534" s="164">
        <f>(((BetTable[O3]-1)*BetTable[S3])*(1-(BetTable[C% 3]))+BetTable[S3])</f>
        <v>0</v>
      </c>
      <c r="AC534" s="165">
        <f>IFERROR(IF(BetTable[Sport]="","",BetTable[R1]/BetTable[TS]),"")</f>
        <v>1.0499999999999998</v>
      </c>
      <c r="AD534" s="165" t="str">
        <f>IF(BetTable[O2]="","",#REF!/BetTable[TS])</f>
        <v/>
      </c>
      <c r="AE534" s="165" t="str">
        <f>IFERROR(IF(BetTable[Sport]="","",#REF!/BetTable[TS]),"")</f>
        <v/>
      </c>
      <c r="AF534" s="164">
        <f>IF(BetTable[Outcome]="Win",BetTable[WBA1-Commission],IF(BetTable[Outcome]="Win Half Stake",(BetTable[Stake]/2)+BetTable[WBA1-Commission]/2,IF(BetTable[Outcome]="Lose Half Stake",BetTable[Stake]/2,IF(BetTable[Outcome]="Lose",0,IF(BetTable[Outcome]="Void",BetTable[Stake],)))))</f>
        <v>0</v>
      </c>
      <c r="AG534" s="164">
        <f>IF(BetTable[Outcome2]="Win",BetTable[WBA2-Commission],IF(BetTable[Outcome2]="Win Half Stake",(BetTable[S2]/2)+BetTable[WBA2-Commission]/2,IF(BetTable[Outcome2]="Lose Half Stake",BetTable[S2]/2,IF(BetTable[Outcome2]="Lose",0,IF(BetTable[Outcome2]="Void",BetTable[S2],)))))</f>
        <v>0</v>
      </c>
      <c r="AH534" s="164">
        <f>IF(BetTable[Outcome3]="Win",BetTable[WBA3-Commission],IF(BetTable[Outcome3]="Win Half Stake",(BetTable[S3]/2)+BetTable[WBA3-Commission]/2,IF(BetTable[Outcome3]="Lose Half Stake",BetTable[S3]/2,IF(BetTable[Outcome3]="Lose",0,IF(BetTable[Outcome3]="Void",BetTable[S3],)))))</f>
        <v>0</v>
      </c>
      <c r="AI534" s="168">
        <f>IF(BetTable[Outcome]="",AI533,BetTable[Result]+AI533)</f>
        <v>875.48225000000059</v>
      </c>
      <c r="AJ534" s="160"/>
    </row>
    <row r="535" spans="1:36" x14ac:dyDescent="0.2">
      <c r="A535" s="159" t="s">
        <v>1416</v>
      </c>
      <c r="B535" s="160" t="s">
        <v>7</v>
      </c>
      <c r="C535" s="161" t="s">
        <v>91</v>
      </c>
      <c r="D535" s="161"/>
      <c r="E535" s="161"/>
      <c r="F535" s="162"/>
      <c r="G535" s="162"/>
      <c r="H535" s="162"/>
      <c r="I535" s="160" t="s">
        <v>1535</v>
      </c>
      <c r="J535" s="163">
        <v>2</v>
      </c>
      <c r="K535" s="163"/>
      <c r="L535" s="163"/>
      <c r="M535" s="164">
        <v>30</v>
      </c>
      <c r="N535" s="164"/>
      <c r="O535" s="164"/>
      <c r="P535" s="159" t="s">
        <v>948</v>
      </c>
      <c r="Q535" s="159" t="s">
        <v>485</v>
      </c>
      <c r="R535" s="159" t="s">
        <v>1536</v>
      </c>
      <c r="S535" s="165">
        <v>2.5320989386793901E-2</v>
      </c>
      <c r="T535" s="166" t="s">
        <v>382</v>
      </c>
      <c r="U535" s="166"/>
      <c r="V535" s="166"/>
      <c r="W535" s="167">
        <f>IF(BetTable[Sport]="","",BetTable[Stake]+BetTable[S2]+BetTable[S3])</f>
        <v>30</v>
      </c>
      <c r="X535" s="164">
        <f>IF(BetTable[Odds]="","",(BetTable[WBA1-Commission])-BetTable[TS])</f>
        <v>30</v>
      </c>
      <c r="Y535" s="168">
        <f>IF(BetTable[Outcome]="","",BetTable[WBA1]+BetTable[WBA2]+BetTable[WBA3]-BetTable[TS])</f>
        <v>-30</v>
      </c>
      <c r="Z535" s="164">
        <f>(((BetTable[Odds]-1)*BetTable[Stake])*(1-(BetTable[Comm %]))+BetTable[Stake])</f>
        <v>60</v>
      </c>
      <c r="AA535" s="164">
        <f>(((BetTable[O2]-1)*BetTable[S2])*(1-(BetTable[C% 2]))+BetTable[S2])</f>
        <v>0</v>
      </c>
      <c r="AB535" s="164">
        <f>(((BetTable[O3]-1)*BetTable[S3])*(1-(BetTable[C% 3]))+BetTable[S3])</f>
        <v>0</v>
      </c>
      <c r="AC535" s="165">
        <f>IFERROR(IF(BetTable[Sport]="","",BetTable[R1]/BetTable[TS]),"")</f>
        <v>1</v>
      </c>
      <c r="AD535" s="165" t="str">
        <f>IF(BetTable[O2]="","",#REF!/BetTable[TS])</f>
        <v/>
      </c>
      <c r="AE535" s="165" t="str">
        <f>IFERROR(IF(BetTable[Sport]="","",#REF!/BetTable[TS]),"")</f>
        <v/>
      </c>
      <c r="AF535" s="164">
        <f>IF(BetTable[Outcome]="Win",BetTable[WBA1-Commission],IF(BetTable[Outcome]="Win Half Stake",(BetTable[Stake]/2)+BetTable[WBA1-Commission]/2,IF(BetTable[Outcome]="Lose Half Stake",BetTable[Stake]/2,IF(BetTable[Outcome]="Lose",0,IF(BetTable[Outcome]="Void",BetTable[Stake],)))))</f>
        <v>0</v>
      </c>
      <c r="AG535" s="164">
        <f>IF(BetTable[Outcome2]="Win",BetTable[WBA2-Commission],IF(BetTable[Outcome2]="Win Half Stake",(BetTable[S2]/2)+BetTable[WBA2-Commission]/2,IF(BetTable[Outcome2]="Lose Half Stake",BetTable[S2]/2,IF(BetTable[Outcome2]="Lose",0,IF(BetTable[Outcome2]="Void",BetTable[S2],)))))</f>
        <v>0</v>
      </c>
      <c r="AH535" s="164">
        <f>IF(BetTable[Outcome3]="Win",BetTable[WBA3-Commission],IF(BetTable[Outcome3]="Win Half Stake",(BetTable[S3]/2)+BetTable[WBA3-Commission]/2,IF(BetTable[Outcome3]="Lose Half Stake",BetTable[S3]/2,IF(BetTable[Outcome3]="Lose",0,IF(BetTable[Outcome3]="Void",BetTable[S3],)))))</f>
        <v>0</v>
      </c>
      <c r="AI535" s="168">
        <f>IF(BetTable[Outcome]="",AI534,BetTable[Result]+AI534)</f>
        <v>845.48225000000059</v>
      </c>
      <c r="AJ535" s="160"/>
    </row>
    <row r="536" spans="1:36" x14ac:dyDescent="0.2">
      <c r="A536" s="159" t="s">
        <v>1416</v>
      </c>
      <c r="B536" s="160" t="s">
        <v>200</v>
      </c>
      <c r="C536" s="161" t="s">
        <v>91</v>
      </c>
      <c r="D536" s="161"/>
      <c r="E536" s="161"/>
      <c r="F536" s="162"/>
      <c r="G536" s="162"/>
      <c r="H536" s="162"/>
      <c r="I536" s="160" t="s">
        <v>1537</v>
      </c>
      <c r="J536" s="163">
        <v>1.91</v>
      </c>
      <c r="K536" s="163"/>
      <c r="L536" s="163"/>
      <c r="M536" s="164">
        <v>26</v>
      </c>
      <c r="N536" s="164"/>
      <c r="O536" s="164"/>
      <c r="P536" s="159" t="s">
        <v>409</v>
      </c>
      <c r="Q536" s="159" t="s">
        <v>485</v>
      </c>
      <c r="R536" s="159" t="s">
        <v>1538</v>
      </c>
      <c r="S536" s="165">
        <v>1.96584652743922E-2</v>
      </c>
      <c r="T536" s="166" t="s">
        <v>382</v>
      </c>
      <c r="U536" s="166"/>
      <c r="V536" s="166"/>
      <c r="W536" s="167">
        <f>IF(BetTable[Sport]="","",BetTable[Stake]+BetTable[S2]+BetTable[S3])</f>
        <v>26</v>
      </c>
      <c r="X536" s="164">
        <f>IF(BetTable[Odds]="","",(BetTable[WBA1-Commission])-BetTable[TS])</f>
        <v>23.659999999999997</v>
      </c>
      <c r="Y536" s="168">
        <f>IF(BetTable[Outcome]="","",BetTable[WBA1]+BetTable[WBA2]+BetTable[WBA3]-BetTable[TS])</f>
        <v>-26</v>
      </c>
      <c r="Z536" s="164">
        <f>(((BetTable[Odds]-1)*BetTable[Stake])*(1-(BetTable[Comm %]))+BetTable[Stake])</f>
        <v>49.66</v>
      </c>
      <c r="AA536" s="164">
        <f>(((BetTable[O2]-1)*BetTable[S2])*(1-(BetTable[C% 2]))+BetTable[S2])</f>
        <v>0</v>
      </c>
      <c r="AB536" s="164">
        <f>(((BetTable[O3]-1)*BetTable[S3])*(1-(BetTable[C% 3]))+BetTable[S3])</f>
        <v>0</v>
      </c>
      <c r="AC536" s="165">
        <f>IFERROR(IF(BetTable[Sport]="","",BetTable[R1]/BetTable[TS]),"")</f>
        <v>0.90999999999999992</v>
      </c>
      <c r="AD536" s="165" t="str">
        <f>IF(BetTable[O2]="","",#REF!/BetTable[TS])</f>
        <v/>
      </c>
      <c r="AE536" s="165" t="str">
        <f>IFERROR(IF(BetTable[Sport]="","",#REF!/BetTable[TS]),"")</f>
        <v/>
      </c>
      <c r="AF536" s="164">
        <f>IF(BetTable[Outcome]="Win",BetTable[WBA1-Commission],IF(BetTable[Outcome]="Win Half Stake",(BetTable[Stake]/2)+BetTable[WBA1-Commission]/2,IF(BetTable[Outcome]="Lose Half Stake",BetTable[Stake]/2,IF(BetTable[Outcome]="Lose",0,IF(BetTable[Outcome]="Void",BetTable[Stake],)))))</f>
        <v>0</v>
      </c>
      <c r="AG536" s="164">
        <f>IF(BetTable[Outcome2]="Win",BetTable[WBA2-Commission],IF(BetTable[Outcome2]="Win Half Stake",(BetTable[S2]/2)+BetTable[WBA2-Commission]/2,IF(BetTable[Outcome2]="Lose Half Stake",BetTable[S2]/2,IF(BetTable[Outcome2]="Lose",0,IF(BetTable[Outcome2]="Void",BetTable[S2],)))))</f>
        <v>0</v>
      </c>
      <c r="AH536" s="164">
        <f>IF(BetTable[Outcome3]="Win",BetTable[WBA3-Commission],IF(BetTable[Outcome3]="Win Half Stake",(BetTable[S3]/2)+BetTable[WBA3-Commission]/2,IF(BetTable[Outcome3]="Lose Half Stake",BetTable[S3]/2,IF(BetTable[Outcome3]="Lose",0,IF(BetTable[Outcome3]="Void",BetTable[S3],)))))</f>
        <v>0</v>
      </c>
      <c r="AI536" s="168">
        <f>IF(BetTable[Outcome]="",AI535,BetTable[Result]+AI535)</f>
        <v>819.48225000000059</v>
      </c>
      <c r="AJ536" s="160"/>
    </row>
    <row r="537" spans="1:36" x14ac:dyDescent="0.2">
      <c r="A537" s="159" t="s">
        <v>1416</v>
      </c>
      <c r="B537" s="160" t="s">
        <v>200</v>
      </c>
      <c r="C537" s="161" t="s">
        <v>91</v>
      </c>
      <c r="D537" s="161"/>
      <c r="E537" s="161"/>
      <c r="F537" s="162"/>
      <c r="G537" s="162"/>
      <c r="H537" s="162"/>
      <c r="I537" s="160" t="s">
        <v>1539</v>
      </c>
      <c r="J537" s="163">
        <v>1.99</v>
      </c>
      <c r="K537" s="163"/>
      <c r="L537" s="163"/>
      <c r="M537" s="164">
        <v>55</v>
      </c>
      <c r="N537" s="164"/>
      <c r="O537" s="164"/>
      <c r="P537" s="159" t="s">
        <v>782</v>
      </c>
      <c r="Q537" s="159" t="s">
        <v>436</v>
      </c>
      <c r="R537" s="159" t="s">
        <v>1540</v>
      </c>
      <c r="S537" s="165">
        <v>4.5351488006571003E-2</v>
      </c>
      <c r="T537" s="166" t="s">
        <v>382</v>
      </c>
      <c r="U537" s="166"/>
      <c r="V537" s="166"/>
      <c r="W537" s="167">
        <f>IF(BetTable[Sport]="","",BetTable[Stake]+BetTable[S2]+BetTable[S3])</f>
        <v>55</v>
      </c>
      <c r="X537" s="164">
        <f>IF(BetTable[Odds]="","",(BetTable[WBA1-Commission])-BetTable[TS])</f>
        <v>54.45</v>
      </c>
      <c r="Y537" s="168">
        <f>IF(BetTable[Outcome]="","",BetTable[WBA1]+BetTable[WBA2]+BetTable[WBA3]-BetTable[TS])</f>
        <v>-55</v>
      </c>
      <c r="Z537" s="164">
        <f>(((BetTable[Odds]-1)*BetTable[Stake])*(1-(BetTable[Comm %]))+BetTable[Stake])</f>
        <v>109.45</v>
      </c>
      <c r="AA537" s="164">
        <f>(((BetTable[O2]-1)*BetTable[S2])*(1-(BetTable[C% 2]))+BetTable[S2])</f>
        <v>0</v>
      </c>
      <c r="AB537" s="164">
        <f>(((BetTable[O3]-1)*BetTable[S3])*(1-(BetTable[C% 3]))+BetTable[S3])</f>
        <v>0</v>
      </c>
      <c r="AC537" s="165">
        <f>IFERROR(IF(BetTable[Sport]="","",BetTable[R1]/BetTable[TS]),"")</f>
        <v>0.9900000000000001</v>
      </c>
      <c r="AD537" s="165" t="str">
        <f>IF(BetTable[O2]="","",#REF!/BetTable[TS])</f>
        <v/>
      </c>
      <c r="AE537" s="165" t="str">
        <f>IFERROR(IF(BetTable[Sport]="","",#REF!/BetTable[TS]),"")</f>
        <v/>
      </c>
      <c r="AF537" s="164">
        <f>IF(BetTable[Outcome]="Win",BetTable[WBA1-Commission],IF(BetTable[Outcome]="Win Half Stake",(BetTable[Stake]/2)+BetTable[WBA1-Commission]/2,IF(BetTable[Outcome]="Lose Half Stake",BetTable[Stake]/2,IF(BetTable[Outcome]="Lose",0,IF(BetTable[Outcome]="Void",BetTable[Stake],)))))</f>
        <v>0</v>
      </c>
      <c r="AG537" s="164">
        <f>IF(BetTable[Outcome2]="Win",BetTable[WBA2-Commission],IF(BetTable[Outcome2]="Win Half Stake",(BetTable[S2]/2)+BetTable[WBA2-Commission]/2,IF(BetTable[Outcome2]="Lose Half Stake",BetTable[S2]/2,IF(BetTable[Outcome2]="Lose",0,IF(BetTable[Outcome2]="Void",BetTable[S2],)))))</f>
        <v>0</v>
      </c>
      <c r="AH537" s="164">
        <f>IF(BetTable[Outcome3]="Win",BetTable[WBA3-Commission],IF(BetTable[Outcome3]="Win Half Stake",(BetTable[S3]/2)+BetTable[WBA3-Commission]/2,IF(BetTable[Outcome3]="Lose Half Stake",BetTable[S3]/2,IF(BetTable[Outcome3]="Lose",0,IF(BetTable[Outcome3]="Void",BetTable[S3],)))))</f>
        <v>0</v>
      </c>
      <c r="AI537" s="168">
        <f>IF(BetTable[Outcome]="",AI536,BetTable[Result]+AI536)</f>
        <v>764.48225000000059</v>
      </c>
      <c r="AJ537" s="160"/>
    </row>
    <row r="538" spans="1:36" x14ac:dyDescent="0.2">
      <c r="A538" s="159" t="s">
        <v>1416</v>
      </c>
      <c r="B538" s="160" t="s">
        <v>7</v>
      </c>
      <c r="C538" s="161" t="s">
        <v>91</v>
      </c>
      <c r="D538" s="161"/>
      <c r="E538" s="161"/>
      <c r="F538" s="162"/>
      <c r="G538" s="162"/>
      <c r="H538" s="162"/>
      <c r="I538" s="160" t="s">
        <v>1541</v>
      </c>
      <c r="J538" s="163">
        <v>1.96</v>
      </c>
      <c r="K538" s="163"/>
      <c r="L538" s="163"/>
      <c r="M538" s="164">
        <v>29</v>
      </c>
      <c r="N538" s="164"/>
      <c r="O538" s="164"/>
      <c r="P538" s="159" t="s">
        <v>1542</v>
      </c>
      <c r="Q538" s="159" t="s">
        <v>659</v>
      </c>
      <c r="R538" s="159" t="s">
        <v>1543</v>
      </c>
      <c r="S538" s="165">
        <v>2.2895845219357999E-2</v>
      </c>
      <c r="T538" s="166" t="s">
        <v>382</v>
      </c>
      <c r="U538" s="166"/>
      <c r="V538" s="166"/>
      <c r="W538" s="167">
        <f>IF(BetTable[Sport]="","",BetTable[Stake]+BetTable[S2]+BetTable[S3])</f>
        <v>29</v>
      </c>
      <c r="X538" s="164">
        <f>IF(BetTable[Odds]="","",(BetTable[WBA1-Commission])-BetTable[TS])</f>
        <v>27.840000000000003</v>
      </c>
      <c r="Y538" s="168">
        <f>IF(BetTable[Outcome]="","",BetTable[WBA1]+BetTable[WBA2]+BetTable[WBA3]-BetTable[TS])</f>
        <v>-29</v>
      </c>
      <c r="Z538" s="164">
        <f>(((BetTable[Odds]-1)*BetTable[Stake])*(1-(BetTable[Comm %]))+BetTable[Stake])</f>
        <v>56.84</v>
      </c>
      <c r="AA538" s="164">
        <f>(((BetTable[O2]-1)*BetTable[S2])*(1-(BetTable[C% 2]))+BetTable[S2])</f>
        <v>0</v>
      </c>
      <c r="AB538" s="164">
        <f>(((BetTable[O3]-1)*BetTable[S3])*(1-(BetTable[C% 3]))+BetTable[S3])</f>
        <v>0</v>
      </c>
      <c r="AC538" s="165">
        <f>IFERROR(IF(BetTable[Sport]="","",BetTable[R1]/BetTable[TS]),"")</f>
        <v>0.96000000000000008</v>
      </c>
      <c r="AD538" s="165" t="str">
        <f>IF(BetTable[O2]="","",#REF!/BetTable[TS])</f>
        <v/>
      </c>
      <c r="AE538" s="165" t="str">
        <f>IFERROR(IF(BetTable[Sport]="","",#REF!/BetTable[TS]),"")</f>
        <v/>
      </c>
      <c r="AF538" s="164">
        <f>IF(BetTable[Outcome]="Win",BetTable[WBA1-Commission],IF(BetTable[Outcome]="Win Half Stake",(BetTable[Stake]/2)+BetTable[WBA1-Commission]/2,IF(BetTable[Outcome]="Lose Half Stake",BetTable[Stake]/2,IF(BetTable[Outcome]="Lose",0,IF(BetTable[Outcome]="Void",BetTable[Stake],)))))</f>
        <v>0</v>
      </c>
      <c r="AG538" s="164">
        <f>IF(BetTable[Outcome2]="Win",BetTable[WBA2-Commission],IF(BetTable[Outcome2]="Win Half Stake",(BetTable[S2]/2)+BetTable[WBA2-Commission]/2,IF(BetTable[Outcome2]="Lose Half Stake",BetTable[S2]/2,IF(BetTable[Outcome2]="Lose",0,IF(BetTable[Outcome2]="Void",BetTable[S2],)))))</f>
        <v>0</v>
      </c>
      <c r="AH538" s="164">
        <f>IF(BetTable[Outcome3]="Win",BetTable[WBA3-Commission],IF(BetTable[Outcome3]="Win Half Stake",(BetTable[S3]/2)+BetTable[WBA3-Commission]/2,IF(BetTable[Outcome3]="Lose Half Stake",BetTable[S3]/2,IF(BetTable[Outcome3]="Lose",0,IF(BetTable[Outcome3]="Void",BetTable[S3],)))))</f>
        <v>0</v>
      </c>
      <c r="AI538" s="168">
        <f>IF(BetTable[Outcome]="",AI537,BetTable[Result]+AI537)</f>
        <v>735.48225000000059</v>
      </c>
      <c r="AJ538" s="160"/>
    </row>
    <row r="539" spans="1:36" x14ac:dyDescent="0.2">
      <c r="A539" s="159" t="s">
        <v>1416</v>
      </c>
      <c r="B539" s="160" t="s">
        <v>7</v>
      </c>
      <c r="C539" s="161" t="s">
        <v>91</v>
      </c>
      <c r="D539" s="161"/>
      <c r="E539" s="161"/>
      <c r="F539" s="162"/>
      <c r="G539" s="162"/>
      <c r="H539" s="162"/>
      <c r="I539" s="160" t="s">
        <v>1544</v>
      </c>
      <c r="J539" s="163">
        <v>1.86</v>
      </c>
      <c r="K539" s="163"/>
      <c r="L539" s="163"/>
      <c r="M539" s="164">
        <v>25</v>
      </c>
      <c r="N539" s="164"/>
      <c r="O539" s="164"/>
      <c r="P539" s="159" t="s">
        <v>1545</v>
      </c>
      <c r="Q539" s="159" t="s">
        <v>485</v>
      </c>
      <c r="R539" s="159" t="s">
        <v>1546</v>
      </c>
      <c r="S539" s="165">
        <v>1.8001135107101201E-2</v>
      </c>
      <c r="T539" s="166" t="s">
        <v>382</v>
      </c>
      <c r="U539" s="166"/>
      <c r="V539" s="166"/>
      <c r="W539" s="167">
        <f>IF(BetTable[Sport]="","",BetTable[Stake]+BetTable[S2]+BetTable[S3])</f>
        <v>25</v>
      </c>
      <c r="X539" s="164">
        <f>IF(BetTable[Odds]="","",(BetTable[WBA1-Commission])-BetTable[TS])</f>
        <v>21.5</v>
      </c>
      <c r="Y539" s="168">
        <f>IF(BetTable[Outcome]="","",BetTable[WBA1]+BetTable[WBA2]+BetTable[WBA3]-BetTable[TS])</f>
        <v>-25</v>
      </c>
      <c r="Z539" s="164">
        <f>(((BetTable[Odds]-1)*BetTable[Stake])*(1-(BetTable[Comm %]))+BetTable[Stake])</f>
        <v>46.5</v>
      </c>
      <c r="AA539" s="164">
        <f>(((BetTable[O2]-1)*BetTable[S2])*(1-(BetTable[C% 2]))+BetTable[S2])</f>
        <v>0</v>
      </c>
      <c r="AB539" s="164">
        <f>(((BetTable[O3]-1)*BetTable[S3])*(1-(BetTable[C% 3]))+BetTable[S3])</f>
        <v>0</v>
      </c>
      <c r="AC539" s="165">
        <f>IFERROR(IF(BetTable[Sport]="","",BetTable[R1]/BetTable[TS]),"")</f>
        <v>0.86</v>
      </c>
      <c r="AD539" s="165" t="str">
        <f>IF(BetTable[O2]="","",#REF!/BetTable[TS])</f>
        <v/>
      </c>
      <c r="AE539" s="165" t="str">
        <f>IFERROR(IF(BetTable[Sport]="","",#REF!/BetTable[TS]),"")</f>
        <v/>
      </c>
      <c r="AF539" s="164">
        <f>IF(BetTable[Outcome]="Win",BetTable[WBA1-Commission],IF(BetTable[Outcome]="Win Half Stake",(BetTable[Stake]/2)+BetTable[WBA1-Commission]/2,IF(BetTable[Outcome]="Lose Half Stake",BetTable[Stake]/2,IF(BetTable[Outcome]="Lose",0,IF(BetTable[Outcome]="Void",BetTable[Stake],)))))</f>
        <v>0</v>
      </c>
      <c r="AG539" s="164">
        <f>IF(BetTable[Outcome2]="Win",BetTable[WBA2-Commission],IF(BetTable[Outcome2]="Win Half Stake",(BetTable[S2]/2)+BetTable[WBA2-Commission]/2,IF(BetTable[Outcome2]="Lose Half Stake",BetTable[S2]/2,IF(BetTable[Outcome2]="Lose",0,IF(BetTable[Outcome2]="Void",BetTable[S2],)))))</f>
        <v>0</v>
      </c>
      <c r="AH539" s="164">
        <f>IF(BetTable[Outcome3]="Win",BetTable[WBA3-Commission],IF(BetTable[Outcome3]="Win Half Stake",(BetTable[S3]/2)+BetTable[WBA3-Commission]/2,IF(BetTable[Outcome3]="Lose Half Stake",BetTable[S3]/2,IF(BetTable[Outcome3]="Lose",0,IF(BetTable[Outcome3]="Void",BetTable[S3],)))))</f>
        <v>0</v>
      </c>
      <c r="AI539" s="168">
        <f>IF(BetTable[Outcome]="",AI538,BetTable[Result]+AI538)</f>
        <v>710.48225000000059</v>
      </c>
      <c r="AJ539" s="160"/>
    </row>
    <row r="540" spans="1:36" x14ac:dyDescent="0.2">
      <c r="A540" s="159" t="s">
        <v>1416</v>
      </c>
      <c r="B540" s="160" t="s">
        <v>9</v>
      </c>
      <c r="C540" s="161" t="s">
        <v>91</v>
      </c>
      <c r="D540" s="161"/>
      <c r="E540" s="161"/>
      <c r="F540" s="162"/>
      <c r="G540" s="162"/>
      <c r="H540" s="162"/>
      <c r="I540" s="160" t="s">
        <v>1547</v>
      </c>
      <c r="J540" s="163">
        <v>2.0299999999999998</v>
      </c>
      <c r="K540" s="163"/>
      <c r="L540" s="163"/>
      <c r="M540" s="164">
        <v>23</v>
      </c>
      <c r="N540" s="164"/>
      <c r="O540" s="164"/>
      <c r="P540" s="159" t="s">
        <v>385</v>
      </c>
      <c r="Q540" s="159" t="s">
        <v>485</v>
      </c>
      <c r="R540" s="159" t="s">
        <v>1548</v>
      </c>
      <c r="S540" s="165">
        <v>1.9692712576203999E-2</v>
      </c>
      <c r="T540" s="166" t="s">
        <v>383</v>
      </c>
      <c r="U540" s="166"/>
      <c r="V540" s="166"/>
      <c r="W540" s="167">
        <f>IF(BetTable[Sport]="","",BetTable[Stake]+BetTable[S2]+BetTable[S3])</f>
        <v>23</v>
      </c>
      <c r="X540" s="164">
        <f>IF(BetTable[Odds]="","",(BetTable[WBA1-Commission])-BetTable[TS])</f>
        <v>23.689999999999998</v>
      </c>
      <c r="Y540" s="168">
        <f>IF(BetTable[Outcome]="","",BetTable[WBA1]+BetTable[WBA2]+BetTable[WBA3]-BetTable[TS])</f>
        <v>0</v>
      </c>
      <c r="Z540" s="164">
        <f>(((BetTable[Odds]-1)*BetTable[Stake])*(1-(BetTable[Comm %]))+BetTable[Stake])</f>
        <v>46.69</v>
      </c>
      <c r="AA540" s="164">
        <f>(((BetTable[O2]-1)*BetTable[S2])*(1-(BetTable[C% 2]))+BetTable[S2])</f>
        <v>0</v>
      </c>
      <c r="AB540" s="164">
        <f>(((BetTable[O3]-1)*BetTable[S3])*(1-(BetTable[C% 3]))+BetTable[S3])</f>
        <v>0</v>
      </c>
      <c r="AC540" s="165">
        <f>IFERROR(IF(BetTable[Sport]="","",BetTable[R1]/BetTable[TS]),"")</f>
        <v>1.0299999999999998</v>
      </c>
      <c r="AD540" s="165" t="str">
        <f>IF(BetTable[O2]="","",#REF!/BetTable[TS])</f>
        <v/>
      </c>
      <c r="AE540" s="165" t="str">
        <f>IFERROR(IF(BetTable[Sport]="","",#REF!/BetTable[TS]),"")</f>
        <v/>
      </c>
      <c r="AF540" s="164">
        <f>IF(BetTable[Outcome]="Win",BetTable[WBA1-Commission],IF(BetTable[Outcome]="Win Half Stake",(BetTable[Stake]/2)+BetTable[WBA1-Commission]/2,IF(BetTable[Outcome]="Lose Half Stake",BetTable[Stake]/2,IF(BetTable[Outcome]="Lose",0,IF(BetTable[Outcome]="Void",BetTable[Stake],)))))</f>
        <v>23</v>
      </c>
      <c r="AG540" s="164">
        <f>IF(BetTable[Outcome2]="Win",BetTable[WBA2-Commission],IF(BetTable[Outcome2]="Win Half Stake",(BetTable[S2]/2)+BetTable[WBA2-Commission]/2,IF(BetTable[Outcome2]="Lose Half Stake",BetTable[S2]/2,IF(BetTable[Outcome2]="Lose",0,IF(BetTable[Outcome2]="Void",BetTable[S2],)))))</f>
        <v>0</v>
      </c>
      <c r="AH540" s="164">
        <f>IF(BetTable[Outcome3]="Win",BetTable[WBA3-Commission],IF(BetTable[Outcome3]="Win Half Stake",(BetTable[S3]/2)+BetTable[WBA3-Commission]/2,IF(BetTable[Outcome3]="Lose Half Stake",BetTable[S3]/2,IF(BetTable[Outcome3]="Lose",0,IF(BetTable[Outcome3]="Void",BetTable[S3],)))))</f>
        <v>0</v>
      </c>
      <c r="AI540" s="168">
        <f>IF(BetTable[Outcome]="",AI539,BetTable[Result]+AI539)</f>
        <v>710.48225000000059</v>
      </c>
      <c r="AJ540" s="160"/>
    </row>
    <row r="541" spans="1:36" x14ac:dyDescent="0.2">
      <c r="A541" s="159" t="s">
        <v>1690</v>
      </c>
      <c r="B541" s="160" t="s">
        <v>200</v>
      </c>
      <c r="C541" s="161" t="s">
        <v>91</v>
      </c>
      <c r="D541" s="161"/>
      <c r="E541" s="161"/>
      <c r="F541" s="162"/>
      <c r="G541" s="162"/>
      <c r="H541" s="162"/>
      <c r="I541" s="160" t="s">
        <v>1549</v>
      </c>
      <c r="J541" s="163">
        <v>1.8</v>
      </c>
      <c r="K541" s="163"/>
      <c r="L541" s="163"/>
      <c r="M541" s="164">
        <v>34</v>
      </c>
      <c r="N541" s="164"/>
      <c r="O541" s="164"/>
      <c r="P541" s="159" t="s">
        <v>360</v>
      </c>
      <c r="Q541" s="159" t="s">
        <v>674</v>
      </c>
      <c r="R541" s="159" t="s">
        <v>1550</v>
      </c>
      <c r="S541" s="165">
        <v>2.2348844362131901E-2</v>
      </c>
      <c r="T541" s="166" t="s">
        <v>383</v>
      </c>
      <c r="U541" s="166"/>
      <c r="V541" s="166"/>
      <c r="W541" s="167">
        <f>IF(BetTable[Sport]="","",BetTable[Stake]+BetTable[S2]+BetTable[S3])</f>
        <v>34</v>
      </c>
      <c r="X541" s="164">
        <f>IF(BetTable[Odds]="","",(BetTable[WBA1-Commission])-BetTable[TS])</f>
        <v>27.200000000000003</v>
      </c>
      <c r="Y541" s="168">
        <f>IF(BetTable[Outcome]="","",BetTable[WBA1]+BetTable[WBA2]+BetTable[WBA3]-BetTable[TS])</f>
        <v>0</v>
      </c>
      <c r="Z541" s="164">
        <f>(((BetTable[Odds]-1)*BetTable[Stake])*(1-(BetTable[Comm %]))+BetTable[Stake])</f>
        <v>61.2</v>
      </c>
      <c r="AA541" s="164">
        <f>(((BetTable[O2]-1)*BetTable[S2])*(1-(BetTable[C% 2]))+BetTable[S2])</f>
        <v>0</v>
      </c>
      <c r="AB541" s="164">
        <f>(((BetTable[O3]-1)*BetTable[S3])*(1-(BetTable[C% 3]))+BetTable[S3])</f>
        <v>0</v>
      </c>
      <c r="AC541" s="165">
        <f>IFERROR(IF(BetTable[Sport]="","",BetTable[R1]/BetTable[TS]),"")</f>
        <v>0.8</v>
      </c>
      <c r="AD541" s="165" t="str">
        <f>IF(BetTable[O2]="","",#REF!/BetTable[TS])</f>
        <v/>
      </c>
      <c r="AE541" s="165" t="str">
        <f>IFERROR(IF(BetTable[Sport]="","",#REF!/BetTable[TS]),"")</f>
        <v/>
      </c>
      <c r="AF541" s="164">
        <f>IF(BetTable[Outcome]="Win",BetTable[WBA1-Commission],IF(BetTable[Outcome]="Win Half Stake",(BetTable[Stake]/2)+BetTable[WBA1-Commission]/2,IF(BetTable[Outcome]="Lose Half Stake",BetTable[Stake]/2,IF(BetTable[Outcome]="Lose",0,IF(BetTable[Outcome]="Void",BetTable[Stake],)))))</f>
        <v>34</v>
      </c>
      <c r="AG541" s="164">
        <f>IF(BetTable[Outcome2]="Win",BetTable[WBA2-Commission],IF(BetTable[Outcome2]="Win Half Stake",(BetTable[S2]/2)+BetTable[WBA2-Commission]/2,IF(BetTable[Outcome2]="Lose Half Stake",BetTable[S2]/2,IF(BetTable[Outcome2]="Lose",0,IF(BetTable[Outcome2]="Void",BetTable[S2],)))))</f>
        <v>0</v>
      </c>
      <c r="AH541" s="164">
        <f>IF(BetTable[Outcome3]="Win",BetTable[WBA3-Commission],IF(BetTable[Outcome3]="Win Half Stake",(BetTable[S3]/2)+BetTable[WBA3-Commission]/2,IF(BetTable[Outcome3]="Lose Half Stake",BetTable[S3]/2,IF(BetTable[Outcome3]="Lose",0,IF(BetTable[Outcome3]="Void",BetTable[S3],)))))</f>
        <v>0</v>
      </c>
      <c r="AI541" s="168">
        <f>IF(BetTable[Outcome]="",AI540,BetTable[Result]+AI540)</f>
        <v>710.48225000000059</v>
      </c>
      <c r="AJ541" s="160"/>
    </row>
    <row r="542" spans="1:36" x14ac:dyDescent="0.2">
      <c r="A542" s="159" t="s">
        <v>1416</v>
      </c>
      <c r="B542" s="160" t="s">
        <v>200</v>
      </c>
      <c r="C542" s="161" t="s">
        <v>91</v>
      </c>
      <c r="D542" s="161"/>
      <c r="E542" s="161"/>
      <c r="F542" s="162"/>
      <c r="G542" s="162"/>
      <c r="H542" s="162"/>
      <c r="I542" s="160" t="s">
        <v>1551</v>
      </c>
      <c r="J542" s="163">
        <v>1.97</v>
      </c>
      <c r="K542" s="163"/>
      <c r="L542" s="163"/>
      <c r="M542" s="164">
        <v>37</v>
      </c>
      <c r="N542" s="164"/>
      <c r="O542" s="164"/>
      <c r="P542" s="159" t="s">
        <v>354</v>
      </c>
      <c r="Q542" s="159" t="s">
        <v>677</v>
      </c>
      <c r="R542" s="159" t="s">
        <v>1552</v>
      </c>
      <c r="S542" s="165">
        <v>3.0918624454796099E-2</v>
      </c>
      <c r="T542" s="166" t="s">
        <v>382</v>
      </c>
      <c r="U542" s="166"/>
      <c r="V542" s="166"/>
      <c r="W542" s="167">
        <f>IF(BetTable[Sport]="","",BetTable[Stake]+BetTable[S2]+BetTable[S3])</f>
        <v>37</v>
      </c>
      <c r="X542" s="164">
        <f>IF(BetTable[Odds]="","",(BetTable[WBA1-Commission])-BetTable[TS])</f>
        <v>35.89</v>
      </c>
      <c r="Y542" s="168">
        <f>IF(BetTable[Outcome]="","",BetTable[WBA1]+BetTable[WBA2]+BetTable[WBA3]-BetTable[TS])</f>
        <v>-37</v>
      </c>
      <c r="Z542" s="164">
        <f>(((BetTable[Odds]-1)*BetTable[Stake])*(1-(BetTable[Comm %]))+BetTable[Stake])</f>
        <v>72.89</v>
      </c>
      <c r="AA542" s="164">
        <f>(((BetTable[O2]-1)*BetTable[S2])*(1-(BetTable[C% 2]))+BetTable[S2])</f>
        <v>0</v>
      </c>
      <c r="AB542" s="164">
        <f>(((BetTable[O3]-1)*BetTable[S3])*(1-(BetTable[C% 3]))+BetTable[S3])</f>
        <v>0</v>
      </c>
      <c r="AC542" s="165">
        <f>IFERROR(IF(BetTable[Sport]="","",BetTable[R1]/BetTable[TS]),"")</f>
        <v>0.97</v>
      </c>
      <c r="AD542" s="165" t="str">
        <f>IF(BetTable[O2]="","",#REF!/BetTable[TS])</f>
        <v/>
      </c>
      <c r="AE542" s="165" t="str">
        <f>IFERROR(IF(BetTable[Sport]="","",#REF!/BetTable[TS]),"")</f>
        <v/>
      </c>
      <c r="AF542" s="164">
        <f>IF(BetTable[Outcome]="Win",BetTable[WBA1-Commission],IF(BetTable[Outcome]="Win Half Stake",(BetTable[Stake]/2)+BetTable[WBA1-Commission]/2,IF(BetTable[Outcome]="Lose Half Stake",BetTable[Stake]/2,IF(BetTable[Outcome]="Lose",0,IF(BetTable[Outcome]="Void",BetTable[Stake],)))))</f>
        <v>0</v>
      </c>
      <c r="AG542" s="164">
        <f>IF(BetTable[Outcome2]="Win",BetTable[WBA2-Commission],IF(BetTable[Outcome2]="Win Half Stake",(BetTable[S2]/2)+BetTable[WBA2-Commission]/2,IF(BetTable[Outcome2]="Lose Half Stake",BetTable[S2]/2,IF(BetTable[Outcome2]="Lose",0,IF(BetTable[Outcome2]="Void",BetTable[S2],)))))</f>
        <v>0</v>
      </c>
      <c r="AH542" s="164">
        <f>IF(BetTable[Outcome3]="Win",BetTable[WBA3-Commission],IF(BetTable[Outcome3]="Win Half Stake",(BetTable[S3]/2)+BetTable[WBA3-Commission]/2,IF(BetTable[Outcome3]="Lose Half Stake",BetTable[S3]/2,IF(BetTable[Outcome3]="Lose",0,IF(BetTable[Outcome3]="Void",BetTable[S3],)))))</f>
        <v>0</v>
      </c>
      <c r="AI542" s="168">
        <f>IF(BetTable[Outcome]="",AI541,BetTable[Result]+AI541)</f>
        <v>673.48225000000059</v>
      </c>
      <c r="AJ542" s="160"/>
    </row>
    <row r="543" spans="1:36" x14ac:dyDescent="0.2">
      <c r="A543" s="159" t="s">
        <v>1416</v>
      </c>
      <c r="B543" s="160" t="s">
        <v>200</v>
      </c>
      <c r="C543" s="161" t="s">
        <v>234</v>
      </c>
      <c r="D543" s="161"/>
      <c r="E543" s="161"/>
      <c r="F543" s="162"/>
      <c r="G543" s="162"/>
      <c r="H543" s="162"/>
      <c r="I543" s="160" t="s">
        <v>1553</v>
      </c>
      <c r="J543" s="163">
        <v>1.98</v>
      </c>
      <c r="K543" s="163"/>
      <c r="L543" s="163"/>
      <c r="M543" s="164">
        <v>28</v>
      </c>
      <c r="N543" s="164"/>
      <c r="O543" s="164"/>
      <c r="P543" s="159" t="s">
        <v>508</v>
      </c>
      <c r="Q543" s="159" t="s">
        <v>1554</v>
      </c>
      <c r="R543" s="159" t="s">
        <v>1555</v>
      </c>
      <c r="S543" s="165">
        <v>2.3238589045756E-2</v>
      </c>
      <c r="T543" s="166" t="s">
        <v>372</v>
      </c>
      <c r="U543" s="166"/>
      <c r="V543" s="166"/>
      <c r="W543" s="167">
        <f>IF(BetTable[Sport]="","",BetTable[Stake]+BetTable[S2]+BetTable[S3])</f>
        <v>28</v>
      </c>
      <c r="X543" s="164">
        <f>IF(BetTable[Odds]="","",(BetTable[WBA1-Commission])-BetTable[TS])</f>
        <v>27.439999999999998</v>
      </c>
      <c r="Y543" s="168">
        <f>IF(BetTable[Outcome]="","",BetTable[WBA1]+BetTable[WBA2]+BetTable[WBA3]-BetTable[TS])</f>
        <v>27.439999999999998</v>
      </c>
      <c r="Z543" s="164">
        <f>(((BetTable[Odds]-1)*BetTable[Stake])*(1-(BetTable[Comm %]))+BetTable[Stake])</f>
        <v>55.44</v>
      </c>
      <c r="AA543" s="164">
        <f>(((BetTable[O2]-1)*BetTable[S2])*(1-(BetTable[C% 2]))+BetTable[S2])</f>
        <v>0</v>
      </c>
      <c r="AB543" s="164">
        <f>(((BetTable[O3]-1)*BetTable[S3])*(1-(BetTable[C% 3]))+BetTable[S3])</f>
        <v>0</v>
      </c>
      <c r="AC543" s="165">
        <f>IFERROR(IF(BetTable[Sport]="","",BetTable[R1]/BetTable[TS]),"")</f>
        <v>0.97999999999999987</v>
      </c>
      <c r="AD543" s="165" t="str">
        <f>IF(BetTable[O2]="","",#REF!/BetTable[TS])</f>
        <v/>
      </c>
      <c r="AE543" s="165" t="str">
        <f>IFERROR(IF(BetTable[Sport]="","",#REF!/BetTable[TS]),"")</f>
        <v/>
      </c>
      <c r="AF543" s="164">
        <f>IF(BetTable[Outcome]="Win",BetTable[WBA1-Commission],IF(BetTable[Outcome]="Win Half Stake",(BetTable[Stake]/2)+BetTable[WBA1-Commission]/2,IF(BetTable[Outcome]="Lose Half Stake",BetTable[Stake]/2,IF(BetTable[Outcome]="Lose",0,IF(BetTable[Outcome]="Void",BetTable[Stake],)))))</f>
        <v>55.44</v>
      </c>
      <c r="AG543" s="164">
        <f>IF(BetTable[Outcome2]="Win",BetTable[WBA2-Commission],IF(BetTable[Outcome2]="Win Half Stake",(BetTable[S2]/2)+BetTable[WBA2-Commission]/2,IF(BetTable[Outcome2]="Lose Half Stake",BetTable[S2]/2,IF(BetTable[Outcome2]="Lose",0,IF(BetTable[Outcome2]="Void",BetTable[S2],)))))</f>
        <v>0</v>
      </c>
      <c r="AH543" s="164">
        <f>IF(BetTable[Outcome3]="Win",BetTable[WBA3-Commission],IF(BetTable[Outcome3]="Win Half Stake",(BetTable[S3]/2)+BetTable[WBA3-Commission]/2,IF(BetTable[Outcome3]="Lose Half Stake",BetTable[S3]/2,IF(BetTable[Outcome3]="Lose",0,IF(BetTable[Outcome3]="Void",BetTable[S3],)))))</f>
        <v>0</v>
      </c>
      <c r="AI543" s="168">
        <f>IF(BetTable[Outcome]="",AI542,BetTable[Result]+AI542)</f>
        <v>700.92225000000053</v>
      </c>
      <c r="AJ543" s="160"/>
    </row>
    <row r="544" spans="1:36" x14ac:dyDescent="0.2">
      <c r="A544" s="159" t="s">
        <v>1416</v>
      </c>
      <c r="B544" s="160" t="s">
        <v>200</v>
      </c>
      <c r="C544" s="161" t="s">
        <v>91</v>
      </c>
      <c r="D544" s="161"/>
      <c r="E544" s="161"/>
      <c r="F544" s="162"/>
      <c r="G544" s="162"/>
      <c r="H544" s="162"/>
      <c r="I544" s="160" t="s">
        <v>1556</v>
      </c>
      <c r="J544" s="163">
        <v>2.11</v>
      </c>
      <c r="K544" s="163"/>
      <c r="L544" s="163"/>
      <c r="M544" s="164">
        <v>18</v>
      </c>
      <c r="N544" s="164"/>
      <c r="O544" s="164"/>
      <c r="P544" s="159" t="s">
        <v>1501</v>
      </c>
      <c r="Q544" s="159" t="s">
        <v>506</v>
      </c>
      <c r="R544" s="159" t="s">
        <v>1557</v>
      </c>
      <c r="S544" s="165">
        <v>1.6669040063672699E-2</v>
      </c>
      <c r="T544" s="166" t="s">
        <v>382</v>
      </c>
      <c r="U544" s="166"/>
      <c r="V544" s="166"/>
      <c r="W544" s="167">
        <f>IF(BetTable[Sport]="","",BetTable[Stake]+BetTable[S2]+BetTable[S3])</f>
        <v>18</v>
      </c>
      <c r="X544" s="164">
        <f>IF(BetTable[Odds]="","",(BetTable[WBA1-Commission])-BetTable[TS])</f>
        <v>19.979999999999997</v>
      </c>
      <c r="Y544" s="168">
        <f>IF(BetTable[Outcome]="","",BetTable[WBA1]+BetTable[WBA2]+BetTable[WBA3]-BetTable[TS])</f>
        <v>-18</v>
      </c>
      <c r="Z544" s="164">
        <f>(((BetTable[Odds]-1)*BetTable[Stake])*(1-(BetTable[Comm %]))+BetTable[Stake])</f>
        <v>37.979999999999997</v>
      </c>
      <c r="AA544" s="164">
        <f>(((BetTable[O2]-1)*BetTable[S2])*(1-(BetTable[C% 2]))+BetTable[S2])</f>
        <v>0</v>
      </c>
      <c r="AB544" s="164">
        <f>(((BetTable[O3]-1)*BetTable[S3])*(1-(BetTable[C% 3]))+BetTable[S3])</f>
        <v>0</v>
      </c>
      <c r="AC544" s="165">
        <f>IFERROR(IF(BetTable[Sport]="","",BetTable[R1]/BetTable[TS]),"")</f>
        <v>1.1099999999999999</v>
      </c>
      <c r="AD544" s="165" t="str">
        <f>IF(BetTable[O2]="","",#REF!/BetTable[TS])</f>
        <v/>
      </c>
      <c r="AE544" s="165" t="str">
        <f>IFERROR(IF(BetTable[Sport]="","",#REF!/BetTable[TS]),"")</f>
        <v/>
      </c>
      <c r="AF544" s="164">
        <f>IF(BetTable[Outcome]="Win",BetTable[WBA1-Commission],IF(BetTable[Outcome]="Win Half Stake",(BetTable[Stake]/2)+BetTable[WBA1-Commission]/2,IF(BetTable[Outcome]="Lose Half Stake",BetTable[Stake]/2,IF(BetTable[Outcome]="Lose",0,IF(BetTable[Outcome]="Void",BetTable[Stake],)))))</f>
        <v>0</v>
      </c>
      <c r="AG544" s="164">
        <f>IF(BetTable[Outcome2]="Win",BetTable[WBA2-Commission],IF(BetTable[Outcome2]="Win Half Stake",(BetTable[S2]/2)+BetTable[WBA2-Commission]/2,IF(BetTable[Outcome2]="Lose Half Stake",BetTable[S2]/2,IF(BetTable[Outcome2]="Lose",0,IF(BetTable[Outcome2]="Void",BetTable[S2],)))))</f>
        <v>0</v>
      </c>
      <c r="AH544" s="164">
        <f>IF(BetTable[Outcome3]="Win",BetTable[WBA3-Commission],IF(BetTable[Outcome3]="Win Half Stake",(BetTable[S3]/2)+BetTable[WBA3-Commission]/2,IF(BetTable[Outcome3]="Lose Half Stake",BetTable[S3]/2,IF(BetTable[Outcome3]="Lose",0,IF(BetTable[Outcome3]="Void",BetTable[S3],)))))</f>
        <v>0</v>
      </c>
      <c r="AI544" s="168">
        <f>IF(BetTable[Outcome]="",AI543,BetTable[Result]+AI543)</f>
        <v>682.92225000000053</v>
      </c>
      <c r="AJ544" s="160"/>
    </row>
    <row r="545" spans="1:36" x14ac:dyDescent="0.2">
      <c r="A545" s="159" t="s">
        <v>1416</v>
      </c>
      <c r="B545" s="160" t="s">
        <v>200</v>
      </c>
      <c r="C545" s="161" t="s">
        <v>234</v>
      </c>
      <c r="D545" s="161"/>
      <c r="E545" s="161"/>
      <c r="F545" s="162"/>
      <c r="G545" s="162"/>
      <c r="H545" s="162"/>
      <c r="I545" s="160" t="s">
        <v>1558</v>
      </c>
      <c r="J545" s="163">
        <v>2.0699999999999998</v>
      </c>
      <c r="K545" s="163"/>
      <c r="L545" s="163"/>
      <c r="M545" s="164">
        <v>18</v>
      </c>
      <c r="N545" s="164"/>
      <c r="O545" s="164"/>
      <c r="P545" s="159" t="s">
        <v>782</v>
      </c>
      <c r="Q545" s="159" t="s">
        <v>632</v>
      </c>
      <c r="R545" s="159" t="s">
        <v>1559</v>
      </c>
      <c r="S545" s="165">
        <v>1.6038940144207099E-2</v>
      </c>
      <c r="T545" s="166" t="s">
        <v>382</v>
      </c>
      <c r="U545" s="166"/>
      <c r="V545" s="166"/>
      <c r="W545" s="167">
        <f>IF(BetTable[Sport]="","",BetTable[Stake]+BetTable[S2]+BetTable[S3])</f>
        <v>18</v>
      </c>
      <c r="X545" s="164">
        <f>IF(BetTable[Odds]="","",(BetTable[WBA1-Commission])-BetTable[TS])</f>
        <v>19.259999999999998</v>
      </c>
      <c r="Y545" s="168">
        <f>IF(BetTable[Outcome]="","",BetTable[WBA1]+BetTable[WBA2]+BetTable[WBA3]-BetTable[TS])</f>
        <v>-18</v>
      </c>
      <c r="Z545" s="164">
        <f>(((BetTable[Odds]-1)*BetTable[Stake])*(1-(BetTable[Comm %]))+BetTable[Stake])</f>
        <v>37.26</v>
      </c>
      <c r="AA545" s="164">
        <f>(((BetTable[O2]-1)*BetTable[S2])*(1-(BetTable[C% 2]))+BetTable[S2])</f>
        <v>0</v>
      </c>
      <c r="AB545" s="164">
        <f>(((BetTable[O3]-1)*BetTable[S3])*(1-(BetTable[C% 3]))+BetTable[S3])</f>
        <v>0</v>
      </c>
      <c r="AC545" s="165">
        <f>IFERROR(IF(BetTable[Sport]="","",BetTable[R1]/BetTable[TS]),"")</f>
        <v>1.0699999999999998</v>
      </c>
      <c r="AD545" s="165" t="str">
        <f>IF(BetTable[O2]="","",#REF!/BetTable[TS])</f>
        <v/>
      </c>
      <c r="AE545" s="165" t="str">
        <f>IFERROR(IF(BetTable[Sport]="","",#REF!/BetTable[TS]),"")</f>
        <v/>
      </c>
      <c r="AF545" s="164">
        <f>IF(BetTable[Outcome]="Win",BetTable[WBA1-Commission],IF(BetTable[Outcome]="Win Half Stake",(BetTable[Stake]/2)+BetTable[WBA1-Commission]/2,IF(BetTable[Outcome]="Lose Half Stake",BetTable[Stake]/2,IF(BetTable[Outcome]="Lose",0,IF(BetTable[Outcome]="Void",BetTable[Stake],)))))</f>
        <v>0</v>
      </c>
      <c r="AG545" s="164">
        <f>IF(BetTable[Outcome2]="Win",BetTable[WBA2-Commission],IF(BetTable[Outcome2]="Win Half Stake",(BetTable[S2]/2)+BetTable[WBA2-Commission]/2,IF(BetTable[Outcome2]="Lose Half Stake",BetTable[S2]/2,IF(BetTable[Outcome2]="Lose",0,IF(BetTable[Outcome2]="Void",BetTable[S2],)))))</f>
        <v>0</v>
      </c>
      <c r="AH545" s="164">
        <f>IF(BetTable[Outcome3]="Win",BetTable[WBA3-Commission],IF(BetTable[Outcome3]="Win Half Stake",(BetTable[S3]/2)+BetTable[WBA3-Commission]/2,IF(BetTable[Outcome3]="Lose Half Stake",BetTable[S3]/2,IF(BetTable[Outcome3]="Lose",0,IF(BetTable[Outcome3]="Void",BetTable[S3],)))))</f>
        <v>0</v>
      </c>
      <c r="AI545" s="168">
        <f>IF(BetTable[Outcome]="",AI544,BetTable[Result]+AI544)</f>
        <v>664.92225000000053</v>
      </c>
      <c r="AJ545" s="160"/>
    </row>
    <row r="546" spans="1:36" x14ac:dyDescent="0.2">
      <c r="A546" s="159" t="s">
        <v>1416</v>
      </c>
      <c r="B546" s="160" t="s">
        <v>200</v>
      </c>
      <c r="C546" s="161" t="s">
        <v>91</v>
      </c>
      <c r="D546" s="161"/>
      <c r="E546" s="161"/>
      <c r="F546" s="162"/>
      <c r="G546" s="162"/>
      <c r="H546" s="162"/>
      <c r="I546" s="160" t="s">
        <v>1537</v>
      </c>
      <c r="J546" s="163">
        <v>1.75</v>
      </c>
      <c r="K546" s="163"/>
      <c r="L546" s="163"/>
      <c r="M546" s="164">
        <v>33</v>
      </c>
      <c r="N546" s="164"/>
      <c r="O546" s="164"/>
      <c r="P546" s="159" t="s">
        <v>385</v>
      </c>
      <c r="Q546" s="159" t="s">
        <v>485</v>
      </c>
      <c r="R546" s="159" t="s">
        <v>1560</v>
      </c>
      <c r="S546" s="165">
        <v>2.0606151947446801E-2</v>
      </c>
      <c r="T546" s="166" t="s">
        <v>372</v>
      </c>
      <c r="U546" s="166"/>
      <c r="V546" s="166"/>
      <c r="W546" s="167">
        <f>IF(BetTable[Sport]="","",BetTable[Stake]+BetTable[S2]+BetTable[S3])</f>
        <v>33</v>
      </c>
      <c r="X546" s="164">
        <f>IF(BetTable[Odds]="","",(BetTable[WBA1-Commission])-BetTable[TS])</f>
        <v>24.75</v>
      </c>
      <c r="Y546" s="168">
        <f>IF(BetTable[Outcome]="","",BetTable[WBA1]+BetTable[WBA2]+BetTable[WBA3]-BetTable[TS])</f>
        <v>24.75</v>
      </c>
      <c r="Z546" s="164">
        <f>(((BetTable[Odds]-1)*BetTable[Stake])*(1-(BetTable[Comm %]))+BetTable[Stake])</f>
        <v>57.75</v>
      </c>
      <c r="AA546" s="164">
        <f>(((BetTable[O2]-1)*BetTable[S2])*(1-(BetTable[C% 2]))+BetTable[S2])</f>
        <v>0</v>
      </c>
      <c r="AB546" s="164">
        <f>(((BetTable[O3]-1)*BetTable[S3])*(1-(BetTable[C% 3]))+BetTable[S3])</f>
        <v>0</v>
      </c>
      <c r="AC546" s="165">
        <f>IFERROR(IF(BetTable[Sport]="","",BetTable[R1]/BetTable[TS]),"")</f>
        <v>0.75</v>
      </c>
      <c r="AD546" s="165" t="str">
        <f>IF(BetTable[O2]="","",#REF!/BetTable[TS])</f>
        <v/>
      </c>
      <c r="AE546" s="165" t="str">
        <f>IFERROR(IF(BetTable[Sport]="","",#REF!/BetTable[TS]),"")</f>
        <v/>
      </c>
      <c r="AF546" s="164">
        <f>IF(BetTable[Outcome]="Win",BetTable[WBA1-Commission],IF(BetTable[Outcome]="Win Half Stake",(BetTable[Stake]/2)+BetTable[WBA1-Commission]/2,IF(BetTable[Outcome]="Lose Half Stake",BetTable[Stake]/2,IF(BetTable[Outcome]="Lose",0,IF(BetTable[Outcome]="Void",BetTable[Stake],)))))</f>
        <v>57.75</v>
      </c>
      <c r="AG546" s="164">
        <f>IF(BetTable[Outcome2]="Win",BetTable[WBA2-Commission],IF(BetTable[Outcome2]="Win Half Stake",(BetTable[S2]/2)+BetTable[WBA2-Commission]/2,IF(BetTable[Outcome2]="Lose Half Stake",BetTable[S2]/2,IF(BetTable[Outcome2]="Lose",0,IF(BetTable[Outcome2]="Void",BetTable[S2],)))))</f>
        <v>0</v>
      </c>
      <c r="AH546" s="164">
        <f>IF(BetTable[Outcome3]="Win",BetTable[WBA3-Commission],IF(BetTable[Outcome3]="Win Half Stake",(BetTable[S3]/2)+BetTable[WBA3-Commission]/2,IF(BetTable[Outcome3]="Lose Half Stake",BetTable[S3]/2,IF(BetTable[Outcome3]="Lose",0,IF(BetTable[Outcome3]="Void",BetTable[S3],)))))</f>
        <v>0</v>
      </c>
      <c r="AI546" s="168">
        <f>IF(BetTable[Outcome]="",AI545,BetTable[Result]+AI545)</f>
        <v>689.67225000000053</v>
      </c>
      <c r="AJ546" s="160"/>
    </row>
    <row r="547" spans="1:36" x14ac:dyDescent="0.2">
      <c r="A547" s="159" t="s">
        <v>1416</v>
      </c>
      <c r="B547" s="160" t="s">
        <v>200</v>
      </c>
      <c r="C547" s="161" t="s">
        <v>234</v>
      </c>
      <c r="D547" s="161"/>
      <c r="E547" s="161"/>
      <c r="F547" s="162"/>
      <c r="G547" s="162"/>
      <c r="H547" s="162"/>
      <c r="I547" s="160" t="s">
        <v>1561</v>
      </c>
      <c r="J547" s="163">
        <v>2</v>
      </c>
      <c r="K547" s="163"/>
      <c r="L547" s="163"/>
      <c r="M547" s="164">
        <v>27</v>
      </c>
      <c r="N547" s="164"/>
      <c r="O547" s="164"/>
      <c r="P547" s="159" t="s">
        <v>1562</v>
      </c>
      <c r="Q547" s="159" t="s">
        <v>488</v>
      </c>
      <c r="R547" s="159" t="s">
        <v>1563</v>
      </c>
      <c r="S547" s="165">
        <v>2.2474631036900401E-2</v>
      </c>
      <c r="T547" s="166" t="s">
        <v>382</v>
      </c>
      <c r="U547" s="166"/>
      <c r="V547" s="166"/>
      <c r="W547" s="167">
        <f>IF(BetTable[Sport]="","",BetTable[Stake]+BetTable[S2]+BetTable[S3])</f>
        <v>27</v>
      </c>
      <c r="X547" s="164">
        <f>IF(BetTable[Odds]="","",(BetTable[WBA1-Commission])-BetTable[TS])</f>
        <v>27</v>
      </c>
      <c r="Y547" s="168">
        <f>IF(BetTable[Outcome]="","",BetTable[WBA1]+BetTable[WBA2]+BetTable[WBA3]-BetTable[TS])</f>
        <v>-27</v>
      </c>
      <c r="Z547" s="164">
        <f>(((BetTable[Odds]-1)*BetTable[Stake])*(1-(BetTable[Comm %]))+BetTable[Stake])</f>
        <v>54</v>
      </c>
      <c r="AA547" s="164">
        <f>(((BetTable[O2]-1)*BetTable[S2])*(1-(BetTable[C% 2]))+BetTable[S2])</f>
        <v>0</v>
      </c>
      <c r="AB547" s="164">
        <f>(((BetTable[O3]-1)*BetTable[S3])*(1-(BetTable[C% 3]))+BetTable[S3])</f>
        <v>0</v>
      </c>
      <c r="AC547" s="165">
        <f>IFERROR(IF(BetTable[Sport]="","",BetTable[R1]/BetTable[TS]),"")</f>
        <v>1</v>
      </c>
      <c r="AD547" s="165" t="str">
        <f>IF(BetTable[O2]="","",#REF!/BetTable[TS])</f>
        <v/>
      </c>
      <c r="AE547" s="165" t="str">
        <f>IFERROR(IF(BetTable[Sport]="","",#REF!/BetTable[TS]),"")</f>
        <v/>
      </c>
      <c r="AF547" s="164">
        <f>IF(BetTable[Outcome]="Win",BetTable[WBA1-Commission],IF(BetTable[Outcome]="Win Half Stake",(BetTable[Stake]/2)+BetTable[WBA1-Commission]/2,IF(BetTable[Outcome]="Lose Half Stake",BetTable[Stake]/2,IF(BetTable[Outcome]="Lose",0,IF(BetTable[Outcome]="Void",BetTable[Stake],)))))</f>
        <v>0</v>
      </c>
      <c r="AG547" s="164">
        <f>IF(BetTable[Outcome2]="Win",BetTable[WBA2-Commission],IF(BetTable[Outcome2]="Win Half Stake",(BetTable[S2]/2)+BetTable[WBA2-Commission]/2,IF(BetTable[Outcome2]="Lose Half Stake",BetTable[S2]/2,IF(BetTable[Outcome2]="Lose",0,IF(BetTable[Outcome2]="Void",BetTable[S2],)))))</f>
        <v>0</v>
      </c>
      <c r="AH547" s="164">
        <f>IF(BetTable[Outcome3]="Win",BetTable[WBA3-Commission],IF(BetTable[Outcome3]="Win Half Stake",(BetTable[S3]/2)+BetTable[WBA3-Commission]/2,IF(BetTable[Outcome3]="Lose Half Stake",BetTable[S3]/2,IF(BetTable[Outcome3]="Lose",0,IF(BetTable[Outcome3]="Void",BetTable[S3],)))))</f>
        <v>0</v>
      </c>
      <c r="AI547" s="168">
        <f>IF(BetTable[Outcome]="",AI546,BetTable[Result]+AI546)</f>
        <v>662.67225000000053</v>
      </c>
      <c r="AJ547" s="160"/>
    </row>
    <row r="548" spans="1:36" x14ac:dyDescent="0.2">
      <c r="A548" s="159" t="s">
        <v>1416</v>
      </c>
      <c r="B548" s="160" t="s">
        <v>200</v>
      </c>
      <c r="C548" s="161" t="s">
        <v>234</v>
      </c>
      <c r="D548" s="161"/>
      <c r="E548" s="161"/>
      <c r="F548" s="162"/>
      <c r="G548" s="162"/>
      <c r="H548" s="162"/>
      <c r="I548" s="160" t="s">
        <v>1564</v>
      </c>
      <c r="J548" s="163">
        <v>2.13</v>
      </c>
      <c r="K548" s="163"/>
      <c r="L548" s="163"/>
      <c r="M548" s="164">
        <v>23</v>
      </c>
      <c r="N548" s="164"/>
      <c r="O548" s="164"/>
      <c r="P548" s="159" t="s">
        <v>1565</v>
      </c>
      <c r="Q548" s="159" t="s">
        <v>458</v>
      </c>
      <c r="R548" s="159" t="s">
        <v>1566</v>
      </c>
      <c r="S548" s="165">
        <v>2.1862715811581401E-2</v>
      </c>
      <c r="T548" s="166" t="s">
        <v>372</v>
      </c>
      <c r="U548" s="166"/>
      <c r="V548" s="166"/>
      <c r="W548" s="167">
        <f>IF(BetTable[Sport]="","",BetTable[Stake]+BetTable[S2]+BetTable[S3])</f>
        <v>23</v>
      </c>
      <c r="X548" s="164">
        <f>IF(BetTable[Odds]="","",(BetTable[WBA1-Commission])-BetTable[TS])</f>
        <v>25.989999999999995</v>
      </c>
      <c r="Y548" s="168">
        <f>IF(BetTable[Outcome]="","",BetTable[WBA1]+BetTable[WBA2]+BetTable[WBA3]-BetTable[TS])</f>
        <v>25.989999999999995</v>
      </c>
      <c r="Z548" s="164">
        <f>(((BetTable[Odds]-1)*BetTable[Stake])*(1-(BetTable[Comm %]))+BetTable[Stake])</f>
        <v>48.989999999999995</v>
      </c>
      <c r="AA548" s="164">
        <f>(((BetTable[O2]-1)*BetTable[S2])*(1-(BetTable[C% 2]))+BetTable[S2])</f>
        <v>0</v>
      </c>
      <c r="AB548" s="164">
        <f>(((BetTable[O3]-1)*BetTable[S3])*(1-(BetTable[C% 3]))+BetTable[S3])</f>
        <v>0</v>
      </c>
      <c r="AC548" s="165">
        <f>IFERROR(IF(BetTable[Sport]="","",BetTable[R1]/BetTable[TS]),"")</f>
        <v>1.1299999999999997</v>
      </c>
      <c r="AD548" s="165" t="str">
        <f>IF(BetTable[O2]="","",#REF!/BetTable[TS])</f>
        <v/>
      </c>
      <c r="AE548" s="165" t="str">
        <f>IFERROR(IF(BetTable[Sport]="","",#REF!/BetTable[TS]),"")</f>
        <v/>
      </c>
      <c r="AF548" s="164">
        <f>IF(BetTable[Outcome]="Win",BetTable[WBA1-Commission],IF(BetTable[Outcome]="Win Half Stake",(BetTable[Stake]/2)+BetTable[WBA1-Commission]/2,IF(BetTable[Outcome]="Lose Half Stake",BetTable[Stake]/2,IF(BetTable[Outcome]="Lose",0,IF(BetTable[Outcome]="Void",BetTable[Stake],)))))</f>
        <v>48.989999999999995</v>
      </c>
      <c r="AG548" s="164">
        <f>IF(BetTable[Outcome2]="Win",BetTable[WBA2-Commission],IF(BetTable[Outcome2]="Win Half Stake",(BetTable[S2]/2)+BetTable[WBA2-Commission]/2,IF(BetTable[Outcome2]="Lose Half Stake",BetTable[S2]/2,IF(BetTable[Outcome2]="Lose",0,IF(BetTable[Outcome2]="Void",BetTable[S2],)))))</f>
        <v>0</v>
      </c>
      <c r="AH548" s="164">
        <f>IF(BetTable[Outcome3]="Win",BetTable[WBA3-Commission],IF(BetTable[Outcome3]="Win Half Stake",(BetTable[S3]/2)+BetTable[WBA3-Commission]/2,IF(BetTable[Outcome3]="Lose Half Stake",BetTable[S3]/2,IF(BetTable[Outcome3]="Lose",0,IF(BetTable[Outcome3]="Void",BetTable[S3],)))))</f>
        <v>0</v>
      </c>
      <c r="AI548" s="168">
        <f>IF(BetTable[Outcome]="",AI547,BetTable[Result]+AI547)</f>
        <v>688.66225000000054</v>
      </c>
      <c r="AJ548" s="160"/>
    </row>
    <row r="549" spans="1:36" x14ac:dyDescent="0.2">
      <c r="A549" s="159" t="s">
        <v>1416</v>
      </c>
      <c r="B549" s="160" t="s">
        <v>8</v>
      </c>
      <c r="C549" s="161" t="s">
        <v>91</v>
      </c>
      <c r="D549" s="161"/>
      <c r="E549" s="161"/>
      <c r="F549" s="162"/>
      <c r="G549" s="162"/>
      <c r="H549" s="162"/>
      <c r="I549" s="160" t="s">
        <v>1567</v>
      </c>
      <c r="J549" s="163">
        <v>1.25</v>
      </c>
      <c r="K549" s="163"/>
      <c r="L549" s="163"/>
      <c r="M549" s="164">
        <v>64</v>
      </c>
      <c r="N549" s="164"/>
      <c r="O549" s="164"/>
      <c r="P549" s="159" t="s">
        <v>435</v>
      </c>
      <c r="Q549" s="159" t="s">
        <v>560</v>
      </c>
      <c r="R549" s="159" t="s">
        <v>1568</v>
      </c>
      <c r="S549" s="165">
        <v>1.9309739461382799E-2</v>
      </c>
      <c r="T549" s="166" t="s">
        <v>372</v>
      </c>
      <c r="U549" s="166"/>
      <c r="V549" s="166"/>
      <c r="W549" s="167">
        <f>IF(BetTable[Sport]="","",BetTable[Stake]+BetTable[S2]+BetTable[S3])</f>
        <v>64</v>
      </c>
      <c r="X549" s="164">
        <f>IF(BetTable[Odds]="","",(BetTable[WBA1-Commission])-BetTable[TS])</f>
        <v>16</v>
      </c>
      <c r="Y549" s="168">
        <f>IF(BetTable[Outcome]="","",BetTable[WBA1]+BetTable[WBA2]+BetTable[WBA3]-BetTable[TS])</f>
        <v>16</v>
      </c>
      <c r="Z549" s="164">
        <f>(((BetTable[Odds]-1)*BetTable[Stake])*(1-(BetTable[Comm %]))+BetTable[Stake])</f>
        <v>80</v>
      </c>
      <c r="AA549" s="164">
        <f>(((BetTable[O2]-1)*BetTable[S2])*(1-(BetTable[C% 2]))+BetTable[S2])</f>
        <v>0</v>
      </c>
      <c r="AB549" s="164">
        <f>(((BetTable[O3]-1)*BetTable[S3])*(1-(BetTable[C% 3]))+BetTable[S3])</f>
        <v>0</v>
      </c>
      <c r="AC549" s="165">
        <f>IFERROR(IF(BetTable[Sport]="","",BetTable[R1]/BetTable[TS]),"")</f>
        <v>0.25</v>
      </c>
      <c r="AD549" s="165" t="str">
        <f>IF(BetTable[O2]="","",#REF!/BetTable[TS])</f>
        <v/>
      </c>
      <c r="AE549" s="165" t="str">
        <f>IFERROR(IF(BetTable[Sport]="","",#REF!/BetTable[TS]),"")</f>
        <v/>
      </c>
      <c r="AF549" s="164">
        <f>IF(BetTable[Outcome]="Win",BetTable[WBA1-Commission],IF(BetTable[Outcome]="Win Half Stake",(BetTable[Stake]/2)+BetTable[WBA1-Commission]/2,IF(BetTable[Outcome]="Lose Half Stake",BetTable[Stake]/2,IF(BetTable[Outcome]="Lose",0,IF(BetTable[Outcome]="Void",BetTable[Stake],)))))</f>
        <v>80</v>
      </c>
      <c r="AG549" s="164">
        <f>IF(BetTable[Outcome2]="Win",BetTable[WBA2-Commission],IF(BetTable[Outcome2]="Win Half Stake",(BetTable[S2]/2)+BetTable[WBA2-Commission]/2,IF(BetTable[Outcome2]="Lose Half Stake",BetTable[S2]/2,IF(BetTable[Outcome2]="Lose",0,IF(BetTable[Outcome2]="Void",BetTable[S2],)))))</f>
        <v>0</v>
      </c>
      <c r="AH549" s="164">
        <f>IF(BetTable[Outcome3]="Win",BetTable[WBA3-Commission],IF(BetTable[Outcome3]="Win Half Stake",(BetTable[S3]/2)+BetTable[WBA3-Commission]/2,IF(BetTable[Outcome3]="Lose Half Stake",BetTable[S3]/2,IF(BetTable[Outcome3]="Lose",0,IF(BetTable[Outcome3]="Void",BetTable[S3],)))))</f>
        <v>0</v>
      </c>
      <c r="AI549" s="168">
        <f>IF(BetTable[Outcome]="",AI548,BetTable[Result]+AI548)</f>
        <v>704.66225000000054</v>
      </c>
      <c r="AJ549" s="160"/>
    </row>
    <row r="550" spans="1:36" x14ac:dyDescent="0.2">
      <c r="A550" s="159" t="s">
        <v>1416</v>
      </c>
      <c r="B550" s="160" t="s">
        <v>7</v>
      </c>
      <c r="C550" s="161" t="s">
        <v>91</v>
      </c>
      <c r="D550" s="161"/>
      <c r="E550" s="161"/>
      <c r="F550" s="162"/>
      <c r="G550" s="162"/>
      <c r="H550" s="162"/>
      <c r="I550" s="160" t="s">
        <v>1290</v>
      </c>
      <c r="J550" s="163">
        <v>1.77</v>
      </c>
      <c r="K550" s="163"/>
      <c r="L550" s="163"/>
      <c r="M550" s="164">
        <v>64</v>
      </c>
      <c r="N550" s="164"/>
      <c r="O550" s="164"/>
      <c r="P550" s="159" t="s">
        <v>1569</v>
      </c>
      <c r="Q550" s="159" t="s">
        <v>564</v>
      </c>
      <c r="R550" s="159" t="s">
        <v>1570</v>
      </c>
      <c r="S550" s="165">
        <v>4.9409391610433499E-2</v>
      </c>
      <c r="T550" s="166" t="s">
        <v>372</v>
      </c>
      <c r="U550" s="166"/>
      <c r="V550" s="166"/>
      <c r="W550" s="167">
        <f>IF(BetTable[Sport]="","",BetTable[Stake]+BetTable[S2]+BetTable[S3])</f>
        <v>64</v>
      </c>
      <c r="X550" s="164">
        <f>IF(BetTable[Odds]="","",(BetTable[WBA1-Commission])-BetTable[TS])</f>
        <v>49.28</v>
      </c>
      <c r="Y550" s="168">
        <f>IF(BetTable[Outcome]="","",BetTable[WBA1]+BetTable[WBA2]+BetTable[WBA3]-BetTable[TS])</f>
        <v>49.28</v>
      </c>
      <c r="Z550" s="164">
        <f>(((BetTable[Odds]-1)*BetTable[Stake])*(1-(BetTable[Comm %]))+BetTable[Stake])</f>
        <v>113.28</v>
      </c>
      <c r="AA550" s="164">
        <f>(((BetTable[O2]-1)*BetTable[S2])*(1-(BetTable[C% 2]))+BetTable[S2])</f>
        <v>0</v>
      </c>
      <c r="AB550" s="164">
        <f>(((BetTable[O3]-1)*BetTable[S3])*(1-(BetTable[C% 3]))+BetTable[S3])</f>
        <v>0</v>
      </c>
      <c r="AC550" s="165">
        <f>IFERROR(IF(BetTable[Sport]="","",BetTable[R1]/BetTable[TS]),"")</f>
        <v>0.77</v>
      </c>
      <c r="AD550" s="165" t="str">
        <f>IF(BetTable[O2]="","",#REF!/BetTable[TS])</f>
        <v/>
      </c>
      <c r="AE550" s="165" t="str">
        <f>IFERROR(IF(BetTable[Sport]="","",#REF!/BetTable[TS]),"")</f>
        <v/>
      </c>
      <c r="AF550" s="164">
        <f>IF(BetTable[Outcome]="Win",BetTable[WBA1-Commission],IF(BetTable[Outcome]="Win Half Stake",(BetTable[Stake]/2)+BetTable[WBA1-Commission]/2,IF(BetTable[Outcome]="Lose Half Stake",BetTable[Stake]/2,IF(BetTable[Outcome]="Lose",0,IF(BetTable[Outcome]="Void",BetTable[Stake],)))))</f>
        <v>113.28</v>
      </c>
      <c r="AG550" s="164">
        <f>IF(BetTable[Outcome2]="Win",BetTable[WBA2-Commission],IF(BetTable[Outcome2]="Win Half Stake",(BetTable[S2]/2)+BetTable[WBA2-Commission]/2,IF(BetTable[Outcome2]="Lose Half Stake",BetTable[S2]/2,IF(BetTable[Outcome2]="Lose",0,IF(BetTable[Outcome2]="Void",BetTable[S2],)))))</f>
        <v>0</v>
      </c>
      <c r="AH550" s="164">
        <f>IF(BetTable[Outcome3]="Win",BetTable[WBA3-Commission],IF(BetTable[Outcome3]="Win Half Stake",(BetTable[S3]/2)+BetTable[WBA3-Commission]/2,IF(BetTable[Outcome3]="Lose Half Stake",BetTable[S3]/2,IF(BetTable[Outcome3]="Lose",0,IF(BetTable[Outcome3]="Void",BetTable[S3],)))))</f>
        <v>0</v>
      </c>
      <c r="AI550" s="168">
        <f>IF(BetTable[Outcome]="",AI549,BetTable[Result]+AI549)</f>
        <v>753.94225000000051</v>
      </c>
      <c r="AJ550" s="160"/>
    </row>
    <row r="551" spans="1:36" x14ac:dyDescent="0.2">
      <c r="A551" s="159" t="s">
        <v>1416</v>
      </c>
      <c r="B551" s="160" t="s">
        <v>200</v>
      </c>
      <c r="C551" s="161" t="s">
        <v>234</v>
      </c>
      <c r="D551" s="161"/>
      <c r="E551" s="161"/>
      <c r="F551" s="162"/>
      <c r="G551" s="162"/>
      <c r="H551" s="162"/>
      <c r="I551" s="160" t="s">
        <v>1571</v>
      </c>
      <c r="J551" s="163">
        <v>2.12</v>
      </c>
      <c r="K551" s="163"/>
      <c r="L551" s="163"/>
      <c r="M551" s="164">
        <v>25</v>
      </c>
      <c r="N551" s="164"/>
      <c r="O551" s="164"/>
      <c r="P551" s="159" t="s">
        <v>1572</v>
      </c>
      <c r="Q551" s="159" t="s">
        <v>1379</v>
      </c>
      <c r="R551" s="159" t="s">
        <v>1573</v>
      </c>
      <c r="S551" s="165">
        <v>2.291262934827E-2</v>
      </c>
      <c r="T551" s="166" t="s">
        <v>382</v>
      </c>
      <c r="U551" s="166"/>
      <c r="V551" s="166"/>
      <c r="W551" s="167">
        <f>IF(BetTable[Sport]="","",BetTable[Stake]+BetTable[S2]+BetTable[S3])</f>
        <v>25</v>
      </c>
      <c r="X551" s="164">
        <f>IF(BetTable[Odds]="","",(BetTable[WBA1-Commission])-BetTable[TS])</f>
        <v>28</v>
      </c>
      <c r="Y551" s="168">
        <f>IF(BetTable[Outcome]="","",BetTable[WBA1]+BetTable[WBA2]+BetTable[WBA3]-BetTable[TS])</f>
        <v>-25</v>
      </c>
      <c r="Z551" s="164">
        <f>(((BetTable[Odds]-1)*BetTable[Stake])*(1-(BetTable[Comm %]))+BetTable[Stake])</f>
        <v>53</v>
      </c>
      <c r="AA551" s="164">
        <f>(((BetTable[O2]-1)*BetTable[S2])*(1-(BetTable[C% 2]))+BetTable[S2])</f>
        <v>0</v>
      </c>
      <c r="AB551" s="164">
        <f>(((BetTable[O3]-1)*BetTable[S3])*(1-(BetTable[C% 3]))+BetTable[S3])</f>
        <v>0</v>
      </c>
      <c r="AC551" s="165">
        <f>IFERROR(IF(BetTable[Sport]="","",BetTable[R1]/BetTable[TS]),"")</f>
        <v>1.1200000000000001</v>
      </c>
      <c r="AD551" s="165" t="str">
        <f>IF(BetTable[O2]="","",#REF!/BetTable[TS])</f>
        <v/>
      </c>
      <c r="AE551" s="165" t="str">
        <f>IFERROR(IF(BetTable[Sport]="","",#REF!/BetTable[TS]),"")</f>
        <v/>
      </c>
      <c r="AF551" s="164">
        <f>IF(BetTable[Outcome]="Win",BetTable[WBA1-Commission],IF(BetTable[Outcome]="Win Half Stake",(BetTable[Stake]/2)+BetTable[WBA1-Commission]/2,IF(BetTable[Outcome]="Lose Half Stake",BetTable[Stake]/2,IF(BetTable[Outcome]="Lose",0,IF(BetTable[Outcome]="Void",BetTable[Stake],)))))</f>
        <v>0</v>
      </c>
      <c r="AG551" s="164">
        <f>IF(BetTable[Outcome2]="Win",BetTable[WBA2-Commission],IF(BetTable[Outcome2]="Win Half Stake",(BetTable[S2]/2)+BetTable[WBA2-Commission]/2,IF(BetTable[Outcome2]="Lose Half Stake",BetTable[S2]/2,IF(BetTable[Outcome2]="Lose",0,IF(BetTable[Outcome2]="Void",BetTable[S2],)))))</f>
        <v>0</v>
      </c>
      <c r="AH551" s="164">
        <f>IF(BetTable[Outcome3]="Win",BetTable[WBA3-Commission],IF(BetTable[Outcome3]="Win Half Stake",(BetTable[S3]/2)+BetTable[WBA3-Commission]/2,IF(BetTable[Outcome3]="Lose Half Stake",BetTable[S3]/2,IF(BetTable[Outcome3]="Lose",0,IF(BetTable[Outcome3]="Void",BetTable[S3],)))))</f>
        <v>0</v>
      </c>
      <c r="AI551" s="168">
        <f>IF(BetTable[Outcome]="",AI550,BetTable[Result]+AI550)</f>
        <v>728.94225000000051</v>
      </c>
      <c r="AJ551" s="160"/>
    </row>
    <row r="552" spans="1:36" x14ac:dyDescent="0.2">
      <c r="A552" s="159" t="s">
        <v>1416</v>
      </c>
      <c r="B552" s="160" t="s">
        <v>200</v>
      </c>
      <c r="C552" s="161" t="s">
        <v>234</v>
      </c>
      <c r="D552" s="161"/>
      <c r="E552" s="161"/>
      <c r="F552" s="162"/>
      <c r="G552" s="162"/>
      <c r="H552" s="162"/>
      <c r="I552" s="160" t="s">
        <v>1574</v>
      </c>
      <c r="J552" s="163">
        <v>3.3</v>
      </c>
      <c r="K552" s="163"/>
      <c r="L552" s="163"/>
      <c r="M552" s="164">
        <v>9</v>
      </c>
      <c r="N552" s="164"/>
      <c r="O552" s="164"/>
      <c r="P552" s="159" t="s">
        <v>494</v>
      </c>
      <c r="Q552" s="159" t="s">
        <v>882</v>
      </c>
      <c r="R552" s="159" t="s">
        <v>1575</v>
      </c>
      <c r="S552" s="165">
        <v>1.6E-2</v>
      </c>
      <c r="T552" s="166" t="s">
        <v>372</v>
      </c>
      <c r="U552" s="166"/>
      <c r="V552" s="166"/>
      <c r="W552" s="167">
        <f>IF(BetTable[Sport]="","",BetTable[Stake]+BetTable[S2]+BetTable[S3])</f>
        <v>9</v>
      </c>
      <c r="X552" s="164">
        <f>IF(BetTable[Odds]="","",(BetTable[WBA1-Commission])-BetTable[TS])</f>
        <v>20.7</v>
      </c>
      <c r="Y552" s="168">
        <f>IF(BetTable[Outcome]="","",BetTable[WBA1]+BetTable[WBA2]+BetTable[WBA3]-BetTable[TS])</f>
        <v>20.7</v>
      </c>
      <c r="Z552" s="164">
        <f>(((BetTable[Odds]-1)*BetTable[Stake])*(1-(BetTable[Comm %]))+BetTable[Stake])</f>
        <v>29.7</v>
      </c>
      <c r="AA552" s="164">
        <f>(((BetTable[O2]-1)*BetTable[S2])*(1-(BetTable[C% 2]))+BetTable[S2])</f>
        <v>0</v>
      </c>
      <c r="AB552" s="164">
        <f>(((BetTable[O3]-1)*BetTable[S3])*(1-(BetTable[C% 3]))+BetTable[S3])</f>
        <v>0</v>
      </c>
      <c r="AC552" s="165">
        <f>IFERROR(IF(BetTable[Sport]="","",BetTable[R1]/BetTable[TS]),"")</f>
        <v>2.2999999999999998</v>
      </c>
      <c r="AD552" s="165" t="str">
        <f>IF(BetTable[O2]="","",#REF!/BetTable[TS])</f>
        <v/>
      </c>
      <c r="AE552" s="165" t="str">
        <f>IFERROR(IF(BetTable[Sport]="","",#REF!/BetTable[TS]),"")</f>
        <v/>
      </c>
      <c r="AF552" s="164">
        <f>IF(BetTable[Outcome]="Win",BetTable[WBA1-Commission],IF(BetTable[Outcome]="Win Half Stake",(BetTable[Stake]/2)+BetTable[WBA1-Commission]/2,IF(BetTable[Outcome]="Lose Half Stake",BetTable[Stake]/2,IF(BetTable[Outcome]="Lose",0,IF(BetTable[Outcome]="Void",BetTable[Stake],)))))</f>
        <v>29.7</v>
      </c>
      <c r="AG552" s="164">
        <f>IF(BetTable[Outcome2]="Win",BetTable[WBA2-Commission],IF(BetTable[Outcome2]="Win Half Stake",(BetTable[S2]/2)+BetTable[WBA2-Commission]/2,IF(BetTable[Outcome2]="Lose Half Stake",BetTable[S2]/2,IF(BetTable[Outcome2]="Lose",0,IF(BetTable[Outcome2]="Void",BetTable[S2],)))))</f>
        <v>0</v>
      </c>
      <c r="AH552" s="164">
        <f>IF(BetTable[Outcome3]="Win",BetTable[WBA3-Commission],IF(BetTable[Outcome3]="Win Half Stake",(BetTable[S3]/2)+BetTable[WBA3-Commission]/2,IF(BetTable[Outcome3]="Lose Half Stake",BetTable[S3]/2,IF(BetTable[Outcome3]="Lose",0,IF(BetTable[Outcome3]="Void",BetTable[S3],)))))</f>
        <v>0</v>
      </c>
      <c r="AI552" s="168">
        <f>IF(BetTable[Outcome]="",AI551,BetTable[Result]+AI551)</f>
        <v>749.64225000000056</v>
      </c>
      <c r="AJ552" s="160"/>
    </row>
    <row r="553" spans="1:36" x14ac:dyDescent="0.2">
      <c r="A553" s="159" t="s">
        <v>1416</v>
      </c>
      <c r="B553" s="160" t="s">
        <v>7</v>
      </c>
      <c r="C553" s="161" t="s">
        <v>91</v>
      </c>
      <c r="D553" s="161"/>
      <c r="E553" s="161"/>
      <c r="F553" s="162"/>
      <c r="G553" s="162"/>
      <c r="H553" s="162"/>
      <c r="I553" s="160" t="s">
        <v>1576</v>
      </c>
      <c r="J553" s="163">
        <v>1.85</v>
      </c>
      <c r="K553" s="163"/>
      <c r="L553" s="163"/>
      <c r="M553" s="164">
        <v>40</v>
      </c>
      <c r="N553" s="164"/>
      <c r="O553" s="164"/>
      <c r="P553" s="159" t="s">
        <v>1577</v>
      </c>
      <c r="Q553" s="159" t="s">
        <v>1291</v>
      </c>
      <c r="R553" s="159" t="s">
        <v>1578</v>
      </c>
      <c r="S553" s="165">
        <v>2.8319339163754099E-2</v>
      </c>
      <c r="T553" s="166" t="s">
        <v>372</v>
      </c>
      <c r="U553" s="166"/>
      <c r="V553" s="166"/>
      <c r="W553" s="167">
        <f>IF(BetTable[Sport]="","",BetTable[Stake]+BetTable[S2]+BetTable[S3])</f>
        <v>40</v>
      </c>
      <c r="X553" s="164">
        <f>IF(BetTable[Odds]="","",(BetTable[WBA1-Commission])-BetTable[TS])</f>
        <v>34</v>
      </c>
      <c r="Y553" s="168">
        <f>IF(BetTable[Outcome]="","",BetTable[WBA1]+BetTable[WBA2]+BetTable[WBA3]-BetTable[TS])</f>
        <v>34</v>
      </c>
      <c r="Z553" s="164">
        <f>(((BetTable[Odds]-1)*BetTable[Stake])*(1-(BetTable[Comm %]))+BetTable[Stake])</f>
        <v>74</v>
      </c>
      <c r="AA553" s="164">
        <f>(((BetTable[O2]-1)*BetTable[S2])*(1-(BetTable[C% 2]))+BetTable[S2])</f>
        <v>0</v>
      </c>
      <c r="AB553" s="164">
        <f>(((BetTable[O3]-1)*BetTable[S3])*(1-(BetTable[C% 3]))+BetTable[S3])</f>
        <v>0</v>
      </c>
      <c r="AC553" s="165">
        <f>IFERROR(IF(BetTable[Sport]="","",BetTable[R1]/BetTable[TS]),"")</f>
        <v>0.85</v>
      </c>
      <c r="AD553" s="165" t="str">
        <f>IF(BetTable[O2]="","",#REF!/BetTable[TS])</f>
        <v/>
      </c>
      <c r="AE553" s="165" t="str">
        <f>IFERROR(IF(BetTable[Sport]="","",#REF!/BetTable[TS]),"")</f>
        <v/>
      </c>
      <c r="AF553" s="164">
        <f>IF(BetTable[Outcome]="Win",BetTable[WBA1-Commission],IF(BetTable[Outcome]="Win Half Stake",(BetTable[Stake]/2)+BetTable[WBA1-Commission]/2,IF(BetTable[Outcome]="Lose Half Stake",BetTable[Stake]/2,IF(BetTable[Outcome]="Lose",0,IF(BetTable[Outcome]="Void",BetTable[Stake],)))))</f>
        <v>74</v>
      </c>
      <c r="AG553" s="164">
        <f>IF(BetTable[Outcome2]="Win",BetTable[WBA2-Commission],IF(BetTable[Outcome2]="Win Half Stake",(BetTable[S2]/2)+BetTable[WBA2-Commission]/2,IF(BetTable[Outcome2]="Lose Half Stake",BetTable[S2]/2,IF(BetTable[Outcome2]="Lose",0,IF(BetTable[Outcome2]="Void",BetTable[S2],)))))</f>
        <v>0</v>
      </c>
      <c r="AH553" s="164">
        <f>IF(BetTable[Outcome3]="Win",BetTable[WBA3-Commission],IF(BetTable[Outcome3]="Win Half Stake",(BetTable[S3]/2)+BetTable[WBA3-Commission]/2,IF(BetTable[Outcome3]="Lose Half Stake",BetTable[S3]/2,IF(BetTable[Outcome3]="Lose",0,IF(BetTable[Outcome3]="Void",BetTable[S3],)))))</f>
        <v>0</v>
      </c>
      <c r="AI553" s="168">
        <f>IF(BetTable[Outcome]="",AI552,BetTable[Result]+AI552)</f>
        <v>783.64225000000056</v>
      </c>
      <c r="AJ553" s="160"/>
    </row>
    <row r="554" spans="1:36" x14ac:dyDescent="0.2">
      <c r="A554" s="159" t="s">
        <v>1416</v>
      </c>
      <c r="B554" s="160" t="s">
        <v>8</v>
      </c>
      <c r="C554" s="161" t="s">
        <v>91</v>
      </c>
      <c r="D554" s="161"/>
      <c r="E554" s="161"/>
      <c r="F554" s="162"/>
      <c r="G554" s="162"/>
      <c r="H554" s="162"/>
      <c r="I554" s="160" t="s">
        <v>1579</v>
      </c>
      <c r="J554" s="163">
        <v>2.58</v>
      </c>
      <c r="K554" s="163"/>
      <c r="L554" s="163"/>
      <c r="M554" s="164">
        <v>13</v>
      </c>
      <c r="N554" s="164"/>
      <c r="O554" s="164"/>
      <c r="P554" s="159" t="s">
        <v>428</v>
      </c>
      <c r="Q554" s="159" t="s">
        <v>1580</v>
      </c>
      <c r="R554" s="159" t="s">
        <v>1581</v>
      </c>
      <c r="S554" s="165">
        <v>1.75291383299047E-2</v>
      </c>
      <c r="T554" s="166" t="s">
        <v>372</v>
      </c>
      <c r="U554" s="166"/>
      <c r="V554" s="166"/>
      <c r="W554" s="167">
        <f>IF(BetTable[Sport]="","",BetTable[Stake]+BetTable[S2]+BetTable[S3])</f>
        <v>13</v>
      </c>
      <c r="X554" s="164">
        <f>IF(BetTable[Odds]="","",(BetTable[WBA1-Commission])-BetTable[TS])</f>
        <v>20.54</v>
      </c>
      <c r="Y554" s="168">
        <f>IF(BetTable[Outcome]="","",BetTable[WBA1]+BetTable[WBA2]+BetTable[WBA3]-BetTable[TS])</f>
        <v>20.54</v>
      </c>
      <c r="Z554" s="164">
        <f>(((BetTable[Odds]-1)*BetTable[Stake])*(1-(BetTable[Comm %]))+BetTable[Stake])</f>
        <v>33.54</v>
      </c>
      <c r="AA554" s="164">
        <f>(((BetTable[O2]-1)*BetTable[S2])*(1-(BetTable[C% 2]))+BetTable[S2])</f>
        <v>0</v>
      </c>
      <c r="AB554" s="164">
        <f>(((BetTable[O3]-1)*BetTable[S3])*(1-(BetTable[C% 3]))+BetTable[S3])</f>
        <v>0</v>
      </c>
      <c r="AC554" s="165">
        <f>IFERROR(IF(BetTable[Sport]="","",BetTable[R1]/BetTable[TS]),"")</f>
        <v>1.5799999999999998</v>
      </c>
      <c r="AD554" s="165" t="str">
        <f>IF(BetTable[O2]="","",#REF!/BetTable[TS])</f>
        <v/>
      </c>
      <c r="AE554" s="165" t="str">
        <f>IFERROR(IF(BetTable[Sport]="","",#REF!/BetTable[TS]),"")</f>
        <v/>
      </c>
      <c r="AF554" s="164">
        <f>IF(BetTable[Outcome]="Win",BetTable[WBA1-Commission],IF(BetTable[Outcome]="Win Half Stake",(BetTable[Stake]/2)+BetTable[WBA1-Commission]/2,IF(BetTable[Outcome]="Lose Half Stake",BetTable[Stake]/2,IF(BetTable[Outcome]="Lose",0,IF(BetTable[Outcome]="Void",BetTable[Stake],)))))</f>
        <v>33.54</v>
      </c>
      <c r="AG554" s="164">
        <f>IF(BetTable[Outcome2]="Win",BetTable[WBA2-Commission],IF(BetTable[Outcome2]="Win Half Stake",(BetTable[S2]/2)+BetTable[WBA2-Commission]/2,IF(BetTable[Outcome2]="Lose Half Stake",BetTable[S2]/2,IF(BetTable[Outcome2]="Lose",0,IF(BetTable[Outcome2]="Void",BetTable[S2],)))))</f>
        <v>0</v>
      </c>
      <c r="AH554" s="164">
        <f>IF(BetTable[Outcome3]="Win",BetTable[WBA3-Commission],IF(BetTable[Outcome3]="Win Half Stake",(BetTable[S3]/2)+BetTable[WBA3-Commission]/2,IF(BetTable[Outcome3]="Lose Half Stake",BetTable[S3]/2,IF(BetTable[Outcome3]="Lose",0,IF(BetTable[Outcome3]="Void",BetTable[S3],)))))</f>
        <v>0</v>
      </c>
      <c r="AI554" s="168">
        <f>IF(BetTable[Outcome]="",AI553,BetTable[Result]+AI553)</f>
        <v>804.18225000000052</v>
      </c>
      <c r="AJ554" s="160"/>
    </row>
    <row r="555" spans="1:36" x14ac:dyDescent="0.2">
      <c r="A555" s="159" t="s">
        <v>1690</v>
      </c>
      <c r="B555" s="160" t="s">
        <v>200</v>
      </c>
      <c r="C555" s="161" t="s">
        <v>91</v>
      </c>
      <c r="D555" s="161"/>
      <c r="E555" s="161"/>
      <c r="F555" s="162"/>
      <c r="G555" s="162"/>
      <c r="H555" s="162"/>
      <c r="I555" s="160" t="s">
        <v>1582</v>
      </c>
      <c r="J555" s="163">
        <v>1.95</v>
      </c>
      <c r="K555" s="163"/>
      <c r="L555" s="163"/>
      <c r="M555" s="164">
        <v>24</v>
      </c>
      <c r="N555" s="164"/>
      <c r="O555" s="164"/>
      <c r="P555" s="159" t="s">
        <v>457</v>
      </c>
      <c r="Q555" s="159" t="s">
        <v>889</v>
      </c>
      <c r="R555" s="159" t="s">
        <v>1583</v>
      </c>
      <c r="S555" s="165">
        <v>1.8897313052507601E-2</v>
      </c>
      <c r="T555" s="166" t="s">
        <v>382</v>
      </c>
      <c r="U555" s="166"/>
      <c r="V555" s="166"/>
      <c r="W555" s="167">
        <f>IF(BetTable[Sport]="","",BetTable[Stake]+BetTable[S2]+BetTable[S3])</f>
        <v>24</v>
      </c>
      <c r="X555" s="164">
        <f>IF(BetTable[Odds]="","",(BetTable[WBA1-Commission])-BetTable[TS])</f>
        <v>22.799999999999997</v>
      </c>
      <c r="Y555" s="168">
        <f>IF(BetTable[Outcome]="","",BetTable[WBA1]+BetTable[WBA2]+BetTable[WBA3]-BetTable[TS])</f>
        <v>-24</v>
      </c>
      <c r="Z555" s="164">
        <f>(((BetTable[Odds]-1)*BetTable[Stake])*(1-(BetTable[Comm %]))+BetTable[Stake])</f>
        <v>46.8</v>
      </c>
      <c r="AA555" s="164">
        <f>(((BetTable[O2]-1)*BetTable[S2])*(1-(BetTable[C% 2]))+BetTable[S2])</f>
        <v>0</v>
      </c>
      <c r="AB555" s="164">
        <f>(((BetTable[O3]-1)*BetTable[S3])*(1-(BetTable[C% 3]))+BetTable[S3])</f>
        <v>0</v>
      </c>
      <c r="AC555" s="165">
        <f>IFERROR(IF(BetTable[Sport]="","",BetTable[R1]/BetTable[TS]),"")</f>
        <v>0.94999999999999984</v>
      </c>
      <c r="AD555" s="165" t="str">
        <f>IF(BetTable[O2]="","",#REF!/BetTable[TS])</f>
        <v/>
      </c>
      <c r="AE555" s="165" t="str">
        <f>IFERROR(IF(BetTable[Sport]="","",#REF!/BetTable[TS]),"")</f>
        <v/>
      </c>
      <c r="AF555" s="164">
        <f>IF(BetTable[Outcome]="Win",BetTable[WBA1-Commission],IF(BetTable[Outcome]="Win Half Stake",(BetTable[Stake]/2)+BetTable[WBA1-Commission]/2,IF(BetTable[Outcome]="Lose Half Stake",BetTable[Stake]/2,IF(BetTable[Outcome]="Lose",0,IF(BetTable[Outcome]="Void",BetTable[Stake],)))))</f>
        <v>0</v>
      </c>
      <c r="AG555" s="164">
        <f>IF(BetTable[Outcome2]="Win",BetTable[WBA2-Commission],IF(BetTable[Outcome2]="Win Half Stake",(BetTable[S2]/2)+BetTable[WBA2-Commission]/2,IF(BetTable[Outcome2]="Lose Half Stake",BetTable[S2]/2,IF(BetTable[Outcome2]="Lose",0,IF(BetTable[Outcome2]="Void",BetTable[S2],)))))</f>
        <v>0</v>
      </c>
      <c r="AH555" s="164">
        <f>IF(BetTable[Outcome3]="Win",BetTable[WBA3-Commission],IF(BetTable[Outcome3]="Win Half Stake",(BetTable[S3]/2)+BetTable[WBA3-Commission]/2,IF(BetTable[Outcome3]="Lose Half Stake",BetTable[S3]/2,IF(BetTable[Outcome3]="Lose",0,IF(BetTable[Outcome3]="Void",BetTable[S3],)))))</f>
        <v>0</v>
      </c>
      <c r="AI555" s="168">
        <f>IF(BetTable[Outcome]="",AI554,BetTable[Result]+AI554)</f>
        <v>780.18225000000052</v>
      </c>
      <c r="AJ555" s="160"/>
    </row>
    <row r="556" spans="1:36" x14ac:dyDescent="0.2">
      <c r="A556" s="159" t="s">
        <v>1690</v>
      </c>
      <c r="B556" s="160" t="s">
        <v>7</v>
      </c>
      <c r="C556" s="161" t="s">
        <v>91</v>
      </c>
      <c r="D556" s="161"/>
      <c r="E556" s="161"/>
      <c r="F556" s="162"/>
      <c r="G556" s="162"/>
      <c r="H556" s="162"/>
      <c r="I556" s="160" t="s">
        <v>1584</v>
      </c>
      <c r="J556" s="163">
        <v>1.93</v>
      </c>
      <c r="K556" s="163"/>
      <c r="L556" s="163"/>
      <c r="M556" s="164">
        <v>22</v>
      </c>
      <c r="N556" s="164"/>
      <c r="O556" s="164"/>
      <c r="P556" s="159" t="s">
        <v>1585</v>
      </c>
      <c r="Q556" s="159" t="s">
        <v>503</v>
      </c>
      <c r="R556" s="159" t="s">
        <v>1586</v>
      </c>
      <c r="S556" s="165">
        <v>1.71645225316048E-2</v>
      </c>
      <c r="T556" s="166" t="s">
        <v>372</v>
      </c>
      <c r="U556" s="166"/>
      <c r="V556" s="166"/>
      <c r="W556" s="167">
        <f>IF(BetTable[Sport]="","",BetTable[Stake]+BetTable[S2]+BetTable[S3])</f>
        <v>22</v>
      </c>
      <c r="X556" s="164">
        <f>IF(BetTable[Odds]="","",(BetTable[WBA1-Commission])-BetTable[TS])</f>
        <v>20.459999999999994</v>
      </c>
      <c r="Y556" s="168">
        <f>IF(BetTable[Outcome]="","",BetTable[WBA1]+BetTable[WBA2]+BetTable[WBA3]-BetTable[TS])</f>
        <v>20.459999999999994</v>
      </c>
      <c r="Z556" s="164">
        <f>(((BetTable[Odds]-1)*BetTable[Stake])*(1-(BetTable[Comm %]))+BetTable[Stake])</f>
        <v>42.459999999999994</v>
      </c>
      <c r="AA556" s="164">
        <f>(((BetTable[O2]-1)*BetTable[S2])*(1-(BetTable[C% 2]))+BetTable[S2])</f>
        <v>0</v>
      </c>
      <c r="AB556" s="164">
        <f>(((BetTable[O3]-1)*BetTable[S3])*(1-(BetTable[C% 3]))+BetTable[S3])</f>
        <v>0</v>
      </c>
      <c r="AC556" s="165">
        <f>IFERROR(IF(BetTable[Sport]="","",BetTable[R1]/BetTable[TS]),"")</f>
        <v>0.92999999999999972</v>
      </c>
      <c r="AD556" s="165" t="str">
        <f>IF(BetTable[O2]="","",#REF!/BetTable[TS])</f>
        <v/>
      </c>
      <c r="AE556" s="165" t="str">
        <f>IFERROR(IF(BetTable[Sport]="","",#REF!/BetTable[TS]),"")</f>
        <v/>
      </c>
      <c r="AF556" s="164">
        <f>IF(BetTable[Outcome]="Win",BetTable[WBA1-Commission],IF(BetTable[Outcome]="Win Half Stake",(BetTable[Stake]/2)+BetTable[WBA1-Commission]/2,IF(BetTable[Outcome]="Lose Half Stake",BetTable[Stake]/2,IF(BetTable[Outcome]="Lose",0,IF(BetTable[Outcome]="Void",BetTable[Stake],)))))</f>
        <v>42.459999999999994</v>
      </c>
      <c r="AG556" s="164">
        <f>IF(BetTable[Outcome2]="Win",BetTable[WBA2-Commission],IF(BetTable[Outcome2]="Win Half Stake",(BetTable[S2]/2)+BetTable[WBA2-Commission]/2,IF(BetTable[Outcome2]="Lose Half Stake",BetTable[S2]/2,IF(BetTable[Outcome2]="Lose",0,IF(BetTable[Outcome2]="Void",BetTable[S2],)))))</f>
        <v>0</v>
      </c>
      <c r="AH556" s="164">
        <f>IF(BetTable[Outcome3]="Win",BetTable[WBA3-Commission],IF(BetTable[Outcome3]="Win Half Stake",(BetTable[S3]/2)+BetTable[WBA3-Commission]/2,IF(BetTable[Outcome3]="Lose Half Stake",BetTable[S3]/2,IF(BetTable[Outcome3]="Lose",0,IF(BetTable[Outcome3]="Void",BetTable[S3],)))))</f>
        <v>0</v>
      </c>
      <c r="AI556" s="168">
        <f>IF(BetTable[Outcome]="",AI555,BetTable[Result]+AI555)</f>
        <v>800.64225000000056</v>
      </c>
      <c r="AJ556" s="160"/>
    </row>
    <row r="557" spans="1:36" x14ac:dyDescent="0.2">
      <c r="A557" s="159" t="s">
        <v>1416</v>
      </c>
      <c r="B557" s="160" t="s">
        <v>9</v>
      </c>
      <c r="C557" s="161" t="s">
        <v>216</v>
      </c>
      <c r="D557" s="161"/>
      <c r="E557" s="161"/>
      <c r="F557" s="162"/>
      <c r="G557" s="162"/>
      <c r="H557" s="162"/>
      <c r="I557" s="160" t="s">
        <v>1587</v>
      </c>
      <c r="J557" s="163">
        <v>2</v>
      </c>
      <c r="K557" s="163"/>
      <c r="L557" s="163"/>
      <c r="M557" s="164">
        <v>39</v>
      </c>
      <c r="N557" s="164"/>
      <c r="O557" s="164"/>
      <c r="P557" s="159" t="s">
        <v>1055</v>
      </c>
      <c r="Q557" s="159" t="s">
        <v>491</v>
      </c>
      <c r="R557" s="159" t="s">
        <v>1588</v>
      </c>
      <c r="S557" s="165">
        <v>3.2395040431172702E-2</v>
      </c>
      <c r="T557" s="166" t="s">
        <v>383</v>
      </c>
      <c r="U557" s="166"/>
      <c r="V557" s="166"/>
      <c r="W557" s="167">
        <f>IF(BetTable[Sport]="","",BetTable[Stake]+BetTable[S2]+BetTable[S3])</f>
        <v>39</v>
      </c>
      <c r="X557" s="164">
        <f>IF(BetTable[Odds]="","",(BetTable[WBA1-Commission])-BetTable[TS])</f>
        <v>39</v>
      </c>
      <c r="Y557" s="168">
        <f>IF(BetTable[Outcome]="","",BetTable[WBA1]+BetTable[WBA2]+BetTable[WBA3]-BetTable[TS])</f>
        <v>0</v>
      </c>
      <c r="Z557" s="164">
        <f>(((BetTable[Odds]-1)*BetTable[Stake])*(1-(BetTable[Comm %]))+BetTable[Stake])</f>
        <v>78</v>
      </c>
      <c r="AA557" s="164">
        <f>(((BetTable[O2]-1)*BetTable[S2])*(1-(BetTable[C% 2]))+BetTable[S2])</f>
        <v>0</v>
      </c>
      <c r="AB557" s="164">
        <f>(((BetTable[O3]-1)*BetTable[S3])*(1-(BetTable[C% 3]))+BetTable[S3])</f>
        <v>0</v>
      </c>
      <c r="AC557" s="165">
        <f>IFERROR(IF(BetTable[Sport]="","",BetTable[R1]/BetTable[TS]),"")</f>
        <v>1</v>
      </c>
      <c r="AD557" s="165" t="str">
        <f>IF(BetTable[O2]="","",#REF!/BetTable[TS])</f>
        <v/>
      </c>
      <c r="AE557" s="165" t="str">
        <f>IFERROR(IF(BetTable[Sport]="","",#REF!/BetTable[TS]),"")</f>
        <v/>
      </c>
      <c r="AF557" s="164">
        <f>IF(BetTable[Outcome]="Win",BetTable[WBA1-Commission],IF(BetTable[Outcome]="Win Half Stake",(BetTable[Stake]/2)+BetTable[WBA1-Commission]/2,IF(BetTable[Outcome]="Lose Half Stake",BetTable[Stake]/2,IF(BetTable[Outcome]="Lose",0,IF(BetTable[Outcome]="Void",BetTable[Stake],)))))</f>
        <v>39</v>
      </c>
      <c r="AG557" s="164">
        <f>IF(BetTable[Outcome2]="Win",BetTable[WBA2-Commission],IF(BetTable[Outcome2]="Win Half Stake",(BetTable[S2]/2)+BetTable[WBA2-Commission]/2,IF(BetTable[Outcome2]="Lose Half Stake",BetTable[S2]/2,IF(BetTable[Outcome2]="Lose",0,IF(BetTable[Outcome2]="Void",BetTable[S2],)))))</f>
        <v>0</v>
      </c>
      <c r="AH557" s="164">
        <f>IF(BetTable[Outcome3]="Win",BetTable[WBA3-Commission],IF(BetTable[Outcome3]="Win Half Stake",(BetTable[S3]/2)+BetTable[WBA3-Commission]/2,IF(BetTable[Outcome3]="Lose Half Stake",BetTable[S3]/2,IF(BetTable[Outcome3]="Lose",0,IF(BetTable[Outcome3]="Void",BetTable[S3],)))))</f>
        <v>0</v>
      </c>
      <c r="AI557" s="168">
        <f>IF(BetTable[Outcome]="",AI556,BetTable[Result]+AI556)</f>
        <v>800.64225000000056</v>
      </c>
      <c r="AJ557" s="160"/>
    </row>
    <row r="558" spans="1:36" x14ac:dyDescent="0.2">
      <c r="A558" s="159" t="s">
        <v>1416</v>
      </c>
      <c r="B558" s="160" t="s">
        <v>7</v>
      </c>
      <c r="C558" s="161" t="s">
        <v>216</v>
      </c>
      <c r="D558" s="161"/>
      <c r="E558" s="161"/>
      <c r="F558" s="162"/>
      <c r="G558" s="162"/>
      <c r="H558" s="162"/>
      <c r="I558" s="160" t="s">
        <v>1589</v>
      </c>
      <c r="J558" s="163">
        <v>1.952</v>
      </c>
      <c r="K558" s="163"/>
      <c r="L558" s="163"/>
      <c r="M558" s="164">
        <v>30</v>
      </c>
      <c r="N558" s="164"/>
      <c r="O558" s="164"/>
      <c r="P558" s="159" t="s">
        <v>1208</v>
      </c>
      <c r="Q558" s="159" t="s">
        <v>1590</v>
      </c>
      <c r="R558" s="159" t="s">
        <v>1591</v>
      </c>
      <c r="S558" s="165">
        <v>2.40502959792845E-2</v>
      </c>
      <c r="T558" s="166" t="s">
        <v>372</v>
      </c>
      <c r="U558" s="166"/>
      <c r="V558" s="166"/>
      <c r="W558" s="167">
        <f>IF(BetTable[Sport]="","",BetTable[Stake]+BetTable[S2]+BetTable[S3])</f>
        <v>30</v>
      </c>
      <c r="X558" s="164">
        <f>IF(BetTable[Odds]="","",(BetTable[WBA1-Commission])-BetTable[TS])</f>
        <v>28.560000000000002</v>
      </c>
      <c r="Y558" s="168">
        <f>IF(BetTable[Outcome]="","",BetTable[WBA1]+BetTable[WBA2]+BetTable[WBA3]-BetTable[TS])</f>
        <v>28.560000000000002</v>
      </c>
      <c r="Z558" s="164">
        <f>(((BetTable[Odds]-1)*BetTable[Stake])*(1-(BetTable[Comm %]))+BetTable[Stake])</f>
        <v>58.56</v>
      </c>
      <c r="AA558" s="164">
        <f>(((BetTable[O2]-1)*BetTable[S2])*(1-(BetTable[C% 2]))+BetTable[S2])</f>
        <v>0</v>
      </c>
      <c r="AB558" s="164">
        <f>(((BetTable[O3]-1)*BetTable[S3])*(1-(BetTable[C% 3]))+BetTable[S3])</f>
        <v>0</v>
      </c>
      <c r="AC558" s="165">
        <f>IFERROR(IF(BetTable[Sport]="","",BetTable[R1]/BetTable[TS]),"")</f>
        <v>0.95200000000000007</v>
      </c>
      <c r="AD558" s="165" t="str">
        <f>IF(BetTable[O2]="","",#REF!/BetTable[TS])</f>
        <v/>
      </c>
      <c r="AE558" s="165" t="str">
        <f>IFERROR(IF(BetTable[Sport]="","",#REF!/BetTable[TS]),"")</f>
        <v/>
      </c>
      <c r="AF558" s="164">
        <f>IF(BetTable[Outcome]="Win",BetTable[WBA1-Commission],IF(BetTable[Outcome]="Win Half Stake",(BetTable[Stake]/2)+BetTable[WBA1-Commission]/2,IF(BetTable[Outcome]="Lose Half Stake",BetTable[Stake]/2,IF(BetTable[Outcome]="Lose",0,IF(BetTable[Outcome]="Void",BetTable[Stake],)))))</f>
        <v>58.56</v>
      </c>
      <c r="AG558" s="164">
        <f>IF(BetTable[Outcome2]="Win",BetTable[WBA2-Commission],IF(BetTable[Outcome2]="Win Half Stake",(BetTable[S2]/2)+BetTable[WBA2-Commission]/2,IF(BetTable[Outcome2]="Lose Half Stake",BetTable[S2]/2,IF(BetTable[Outcome2]="Lose",0,IF(BetTable[Outcome2]="Void",BetTable[S2],)))))</f>
        <v>0</v>
      </c>
      <c r="AH558" s="164">
        <f>IF(BetTable[Outcome3]="Win",BetTable[WBA3-Commission],IF(BetTable[Outcome3]="Win Half Stake",(BetTable[S3]/2)+BetTable[WBA3-Commission]/2,IF(BetTable[Outcome3]="Lose Half Stake",BetTable[S3]/2,IF(BetTable[Outcome3]="Lose",0,IF(BetTable[Outcome3]="Void",BetTable[S3],)))))</f>
        <v>0</v>
      </c>
      <c r="AI558" s="168">
        <f>IF(BetTable[Outcome]="",AI557,BetTable[Result]+AI557)</f>
        <v>829.2022500000005</v>
      </c>
      <c r="AJ558" s="160"/>
    </row>
    <row r="559" spans="1:36" x14ac:dyDescent="0.2">
      <c r="A559" s="159" t="s">
        <v>1416</v>
      </c>
      <c r="B559" s="160" t="s">
        <v>200</v>
      </c>
      <c r="C559" s="161" t="s">
        <v>91</v>
      </c>
      <c r="D559" s="161"/>
      <c r="E559" s="161"/>
      <c r="F559" s="162"/>
      <c r="G559" s="162"/>
      <c r="H559" s="162"/>
      <c r="I559" s="160" t="s">
        <v>1592</v>
      </c>
      <c r="J559" s="163">
        <v>2.04</v>
      </c>
      <c r="K559" s="163"/>
      <c r="L559" s="163"/>
      <c r="M559" s="164">
        <v>34</v>
      </c>
      <c r="N559" s="164"/>
      <c r="O559" s="164"/>
      <c r="P559" s="159" t="s">
        <v>336</v>
      </c>
      <c r="Q559" s="159" t="s">
        <v>581</v>
      </c>
      <c r="R559" s="159" t="s">
        <v>1593</v>
      </c>
      <c r="S559" s="165">
        <v>2.9079380564445999E-2</v>
      </c>
      <c r="T559" s="166" t="s">
        <v>382</v>
      </c>
      <c r="U559" s="166"/>
      <c r="V559" s="166"/>
      <c r="W559" s="167">
        <f>IF(BetTable[Sport]="","",BetTable[Stake]+BetTable[S2]+BetTable[S3])</f>
        <v>34</v>
      </c>
      <c r="X559" s="164">
        <f>IF(BetTable[Odds]="","",(BetTable[WBA1-Commission])-BetTable[TS])</f>
        <v>35.36</v>
      </c>
      <c r="Y559" s="168">
        <f>IF(BetTable[Outcome]="","",BetTable[WBA1]+BetTable[WBA2]+BetTable[WBA3]-BetTable[TS])</f>
        <v>-34</v>
      </c>
      <c r="Z559" s="164">
        <f>(((BetTable[Odds]-1)*BetTable[Stake])*(1-(BetTable[Comm %]))+BetTable[Stake])</f>
        <v>69.36</v>
      </c>
      <c r="AA559" s="164">
        <f>(((BetTable[O2]-1)*BetTable[S2])*(1-(BetTable[C% 2]))+BetTable[S2])</f>
        <v>0</v>
      </c>
      <c r="AB559" s="164">
        <f>(((BetTable[O3]-1)*BetTable[S3])*(1-(BetTable[C% 3]))+BetTable[S3])</f>
        <v>0</v>
      </c>
      <c r="AC559" s="165">
        <f>IFERROR(IF(BetTable[Sport]="","",BetTable[R1]/BetTable[TS]),"")</f>
        <v>1.04</v>
      </c>
      <c r="AD559" s="165" t="str">
        <f>IF(BetTable[O2]="","",#REF!/BetTable[TS])</f>
        <v/>
      </c>
      <c r="AE559" s="165" t="str">
        <f>IFERROR(IF(BetTable[Sport]="","",#REF!/BetTable[TS]),"")</f>
        <v/>
      </c>
      <c r="AF559" s="164">
        <f>IF(BetTable[Outcome]="Win",BetTable[WBA1-Commission],IF(BetTable[Outcome]="Win Half Stake",(BetTable[Stake]/2)+BetTable[WBA1-Commission]/2,IF(BetTable[Outcome]="Lose Half Stake",BetTable[Stake]/2,IF(BetTable[Outcome]="Lose",0,IF(BetTable[Outcome]="Void",BetTable[Stake],)))))</f>
        <v>0</v>
      </c>
      <c r="AG559" s="164">
        <f>IF(BetTable[Outcome2]="Win",BetTable[WBA2-Commission],IF(BetTable[Outcome2]="Win Half Stake",(BetTable[S2]/2)+BetTable[WBA2-Commission]/2,IF(BetTable[Outcome2]="Lose Half Stake",BetTable[S2]/2,IF(BetTable[Outcome2]="Lose",0,IF(BetTable[Outcome2]="Void",BetTable[S2],)))))</f>
        <v>0</v>
      </c>
      <c r="AH559" s="164">
        <f>IF(BetTable[Outcome3]="Win",BetTable[WBA3-Commission],IF(BetTable[Outcome3]="Win Half Stake",(BetTable[S3]/2)+BetTable[WBA3-Commission]/2,IF(BetTable[Outcome3]="Lose Half Stake",BetTable[S3]/2,IF(BetTable[Outcome3]="Lose",0,IF(BetTable[Outcome3]="Void",BetTable[S3],)))))</f>
        <v>0</v>
      </c>
      <c r="AI559" s="168">
        <f>IF(BetTable[Outcome]="",AI558,BetTable[Result]+AI558)</f>
        <v>795.2022500000005</v>
      </c>
      <c r="AJ559" s="160"/>
    </row>
    <row r="560" spans="1:36" x14ac:dyDescent="0.2">
      <c r="A560" s="159" t="s">
        <v>1416</v>
      </c>
      <c r="B560" s="160" t="s">
        <v>200</v>
      </c>
      <c r="C560" s="161" t="s">
        <v>216</v>
      </c>
      <c r="D560" s="161"/>
      <c r="E560" s="161"/>
      <c r="F560" s="162"/>
      <c r="G560" s="162"/>
      <c r="H560" s="162"/>
      <c r="I560" s="160" t="s">
        <v>1594</v>
      </c>
      <c r="J560" s="163">
        <v>1.7250000000000001</v>
      </c>
      <c r="K560" s="163"/>
      <c r="L560" s="163"/>
      <c r="M560" s="164">
        <v>34</v>
      </c>
      <c r="N560" s="164"/>
      <c r="O560" s="164"/>
      <c r="P560" s="159" t="s">
        <v>782</v>
      </c>
      <c r="Q560" s="159" t="s">
        <v>491</v>
      </c>
      <c r="R560" s="159" t="s">
        <v>1595</v>
      </c>
      <c r="S560" s="165">
        <v>2.55979993702612E-2</v>
      </c>
      <c r="T560" s="166" t="s">
        <v>382</v>
      </c>
      <c r="U560" s="166"/>
      <c r="V560" s="166"/>
      <c r="W560" s="167">
        <f>IF(BetTable[Sport]="","",BetTable[Stake]+BetTable[S2]+BetTable[S3])</f>
        <v>34</v>
      </c>
      <c r="X560" s="164">
        <f>IF(BetTable[Odds]="","",(BetTable[WBA1-Commission])-BetTable[TS])</f>
        <v>24.650000000000006</v>
      </c>
      <c r="Y560" s="168">
        <f>IF(BetTable[Outcome]="","",BetTable[WBA1]+BetTable[WBA2]+BetTable[WBA3]-BetTable[TS])</f>
        <v>-34</v>
      </c>
      <c r="Z560" s="164">
        <f>(((BetTable[Odds]-1)*BetTable[Stake])*(1-(BetTable[Comm %]))+BetTable[Stake])</f>
        <v>58.650000000000006</v>
      </c>
      <c r="AA560" s="164">
        <f>(((BetTable[O2]-1)*BetTable[S2])*(1-(BetTable[C% 2]))+BetTable[S2])</f>
        <v>0</v>
      </c>
      <c r="AB560" s="164">
        <f>(((BetTable[O3]-1)*BetTable[S3])*(1-(BetTable[C% 3]))+BetTable[S3])</f>
        <v>0</v>
      </c>
      <c r="AC560" s="165">
        <f>IFERROR(IF(BetTable[Sport]="","",BetTable[R1]/BetTable[TS]),"")</f>
        <v>0.7250000000000002</v>
      </c>
      <c r="AD560" s="165" t="str">
        <f>IF(BetTable[O2]="","",#REF!/BetTable[TS])</f>
        <v/>
      </c>
      <c r="AE560" s="165" t="str">
        <f>IFERROR(IF(BetTable[Sport]="","",#REF!/BetTable[TS]),"")</f>
        <v/>
      </c>
      <c r="AF560" s="164">
        <f>IF(BetTable[Outcome]="Win",BetTable[WBA1-Commission],IF(BetTable[Outcome]="Win Half Stake",(BetTable[Stake]/2)+BetTable[WBA1-Commission]/2,IF(BetTable[Outcome]="Lose Half Stake",BetTable[Stake]/2,IF(BetTable[Outcome]="Lose",0,IF(BetTable[Outcome]="Void",BetTable[Stake],)))))</f>
        <v>0</v>
      </c>
      <c r="AG560" s="164">
        <f>IF(BetTable[Outcome2]="Win",BetTable[WBA2-Commission],IF(BetTable[Outcome2]="Win Half Stake",(BetTable[S2]/2)+BetTable[WBA2-Commission]/2,IF(BetTable[Outcome2]="Lose Half Stake",BetTable[S2]/2,IF(BetTable[Outcome2]="Lose",0,IF(BetTable[Outcome2]="Void",BetTable[S2],)))))</f>
        <v>0</v>
      </c>
      <c r="AH560" s="164">
        <f>IF(BetTable[Outcome3]="Win",BetTable[WBA3-Commission],IF(BetTable[Outcome3]="Win Half Stake",(BetTable[S3]/2)+BetTable[WBA3-Commission]/2,IF(BetTable[Outcome3]="Lose Half Stake",BetTable[S3]/2,IF(BetTable[Outcome3]="Lose",0,IF(BetTable[Outcome3]="Void",BetTable[S3],)))))</f>
        <v>0</v>
      </c>
      <c r="AI560" s="168">
        <f>IF(BetTable[Outcome]="",AI559,BetTable[Result]+AI559)</f>
        <v>761.2022500000005</v>
      </c>
      <c r="AJ560" s="160"/>
    </row>
    <row r="561" spans="1:36" x14ac:dyDescent="0.2">
      <c r="A561" s="159" t="s">
        <v>1416</v>
      </c>
      <c r="B561" s="160" t="s">
        <v>200</v>
      </c>
      <c r="C561" s="161" t="s">
        <v>234</v>
      </c>
      <c r="D561" s="161"/>
      <c r="E561" s="161"/>
      <c r="F561" s="162"/>
      <c r="G561" s="162"/>
      <c r="H561" s="162"/>
      <c r="I561" s="160" t="s">
        <v>1596</v>
      </c>
      <c r="J561" s="163">
        <v>1.94</v>
      </c>
      <c r="K561" s="163"/>
      <c r="L561" s="163"/>
      <c r="M561" s="164">
        <v>24</v>
      </c>
      <c r="N561" s="164"/>
      <c r="O561" s="164"/>
      <c r="P561" s="159" t="s">
        <v>1597</v>
      </c>
      <c r="Q561" s="159" t="s">
        <v>547</v>
      </c>
      <c r="R561" s="159" t="s">
        <v>1598</v>
      </c>
      <c r="S561" s="165">
        <v>1.86282662375712E-2</v>
      </c>
      <c r="T561" s="166" t="s">
        <v>382</v>
      </c>
      <c r="U561" s="166"/>
      <c r="V561" s="166"/>
      <c r="W561" s="167">
        <f>IF(BetTable[Sport]="","",BetTable[Stake]+BetTable[S2]+BetTable[S3])</f>
        <v>24</v>
      </c>
      <c r="X561" s="164">
        <f>IF(BetTable[Odds]="","",(BetTable[WBA1-Commission])-BetTable[TS])</f>
        <v>22.560000000000002</v>
      </c>
      <c r="Y561" s="168">
        <f>IF(BetTable[Outcome]="","",BetTable[WBA1]+BetTable[WBA2]+BetTable[WBA3]-BetTable[TS])</f>
        <v>-24</v>
      </c>
      <c r="Z561" s="164">
        <f>(((BetTable[Odds]-1)*BetTable[Stake])*(1-(BetTable[Comm %]))+BetTable[Stake])</f>
        <v>46.56</v>
      </c>
      <c r="AA561" s="164">
        <f>(((BetTable[O2]-1)*BetTable[S2])*(1-(BetTable[C% 2]))+BetTable[S2])</f>
        <v>0</v>
      </c>
      <c r="AB561" s="164">
        <f>(((BetTable[O3]-1)*BetTable[S3])*(1-(BetTable[C% 3]))+BetTable[S3])</f>
        <v>0</v>
      </c>
      <c r="AC561" s="165">
        <f>IFERROR(IF(BetTable[Sport]="","",BetTable[R1]/BetTable[TS]),"")</f>
        <v>0.94000000000000006</v>
      </c>
      <c r="AD561" s="165" t="str">
        <f>IF(BetTable[O2]="","",#REF!/BetTable[TS])</f>
        <v/>
      </c>
      <c r="AE561" s="165" t="str">
        <f>IFERROR(IF(BetTable[Sport]="","",#REF!/BetTable[TS]),"")</f>
        <v/>
      </c>
      <c r="AF561" s="164">
        <f>IF(BetTable[Outcome]="Win",BetTable[WBA1-Commission],IF(BetTable[Outcome]="Win Half Stake",(BetTable[Stake]/2)+BetTable[WBA1-Commission]/2,IF(BetTable[Outcome]="Lose Half Stake",BetTable[Stake]/2,IF(BetTable[Outcome]="Lose",0,IF(BetTable[Outcome]="Void",BetTable[Stake],)))))</f>
        <v>0</v>
      </c>
      <c r="AG561" s="164">
        <f>IF(BetTable[Outcome2]="Win",BetTable[WBA2-Commission],IF(BetTable[Outcome2]="Win Half Stake",(BetTable[S2]/2)+BetTable[WBA2-Commission]/2,IF(BetTable[Outcome2]="Lose Half Stake",BetTable[S2]/2,IF(BetTable[Outcome2]="Lose",0,IF(BetTable[Outcome2]="Void",BetTable[S2],)))))</f>
        <v>0</v>
      </c>
      <c r="AH561" s="164">
        <f>IF(BetTable[Outcome3]="Win",BetTable[WBA3-Commission],IF(BetTable[Outcome3]="Win Half Stake",(BetTable[S3]/2)+BetTable[WBA3-Commission]/2,IF(BetTable[Outcome3]="Lose Half Stake",BetTable[S3]/2,IF(BetTable[Outcome3]="Lose",0,IF(BetTable[Outcome3]="Void",BetTable[S3],)))))</f>
        <v>0</v>
      </c>
      <c r="AI561" s="168">
        <f>IF(BetTable[Outcome]="",AI560,BetTable[Result]+AI560)</f>
        <v>737.2022500000005</v>
      </c>
      <c r="AJ561" s="160"/>
    </row>
    <row r="562" spans="1:36" x14ac:dyDescent="0.2">
      <c r="A562" s="159" t="s">
        <v>1416</v>
      </c>
      <c r="B562" s="160" t="s">
        <v>7</v>
      </c>
      <c r="C562" s="161" t="s">
        <v>91</v>
      </c>
      <c r="D562" s="161"/>
      <c r="E562" s="161"/>
      <c r="F562" s="162"/>
      <c r="G562" s="162"/>
      <c r="H562" s="162"/>
      <c r="I562" s="160" t="s">
        <v>1505</v>
      </c>
      <c r="J562" s="163">
        <v>2.06</v>
      </c>
      <c r="K562" s="163"/>
      <c r="L562" s="163"/>
      <c r="M562" s="164">
        <v>34</v>
      </c>
      <c r="N562" s="164"/>
      <c r="O562" s="164"/>
      <c r="P562" s="159" t="s">
        <v>1599</v>
      </c>
      <c r="Q562" s="159" t="s">
        <v>488</v>
      </c>
      <c r="R562" s="159" t="s">
        <v>1600</v>
      </c>
      <c r="S562" s="165">
        <v>0.03</v>
      </c>
      <c r="T562" s="166" t="s">
        <v>372</v>
      </c>
      <c r="U562" s="166"/>
      <c r="V562" s="166"/>
      <c r="W562" s="167">
        <f>IF(BetTable[Sport]="","",BetTable[Stake]+BetTable[S2]+BetTable[S3])</f>
        <v>34</v>
      </c>
      <c r="X562" s="164">
        <f>IF(BetTable[Odds]="","",(BetTable[WBA1-Commission])-BetTable[TS])</f>
        <v>36.039999999999992</v>
      </c>
      <c r="Y562" s="168">
        <f>IF(BetTable[Outcome]="","",BetTable[WBA1]+BetTable[WBA2]+BetTable[WBA3]-BetTable[TS])</f>
        <v>36.039999999999992</v>
      </c>
      <c r="Z562" s="164">
        <f>(((BetTable[Odds]-1)*BetTable[Stake])*(1-(BetTable[Comm %]))+BetTable[Stake])</f>
        <v>70.039999999999992</v>
      </c>
      <c r="AA562" s="164">
        <f>(((BetTable[O2]-1)*BetTable[S2])*(1-(BetTable[C% 2]))+BetTable[S2])</f>
        <v>0</v>
      </c>
      <c r="AB562" s="164">
        <f>(((BetTable[O3]-1)*BetTable[S3])*(1-(BetTable[C% 3]))+BetTable[S3])</f>
        <v>0</v>
      </c>
      <c r="AC562" s="165">
        <f>IFERROR(IF(BetTable[Sport]="","",BetTable[R1]/BetTable[TS]),"")</f>
        <v>1.0599999999999998</v>
      </c>
      <c r="AD562" s="165" t="str">
        <f>IF(BetTable[O2]="","",#REF!/BetTable[TS])</f>
        <v/>
      </c>
      <c r="AE562" s="165" t="str">
        <f>IFERROR(IF(BetTable[Sport]="","",#REF!/BetTable[TS]),"")</f>
        <v/>
      </c>
      <c r="AF562" s="164">
        <f>IF(BetTable[Outcome]="Win",BetTable[WBA1-Commission],IF(BetTable[Outcome]="Win Half Stake",(BetTable[Stake]/2)+BetTable[WBA1-Commission]/2,IF(BetTable[Outcome]="Lose Half Stake",BetTable[Stake]/2,IF(BetTable[Outcome]="Lose",0,IF(BetTable[Outcome]="Void",BetTable[Stake],)))))</f>
        <v>70.039999999999992</v>
      </c>
      <c r="AG562" s="164">
        <f>IF(BetTable[Outcome2]="Win",BetTable[WBA2-Commission],IF(BetTable[Outcome2]="Win Half Stake",(BetTable[S2]/2)+BetTable[WBA2-Commission]/2,IF(BetTable[Outcome2]="Lose Half Stake",BetTable[S2]/2,IF(BetTable[Outcome2]="Lose",0,IF(BetTable[Outcome2]="Void",BetTable[S2],)))))</f>
        <v>0</v>
      </c>
      <c r="AH562" s="164">
        <f>IF(BetTable[Outcome3]="Win",BetTable[WBA3-Commission],IF(BetTable[Outcome3]="Win Half Stake",(BetTable[S3]/2)+BetTable[WBA3-Commission]/2,IF(BetTable[Outcome3]="Lose Half Stake",BetTable[S3]/2,IF(BetTable[Outcome3]="Lose",0,IF(BetTable[Outcome3]="Void",BetTable[S3],)))))</f>
        <v>0</v>
      </c>
      <c r="AI562" s="168">
        <f>IF(BetTable[Outcome]="",AI561,BetTable[Result]+AI561)</f>
        <v>773.24225000000047</v>
      </c>
      <c r="AJ562" s="160"/>
    </row>
    <row r="563" spans="1:36" x14ac:dyDescent="0.2">
      <c r="A563" s="159" t="s">
        <v>1416</v>
      </c>
      <c r="B563" s="160" t="s">
        <v>7</v>
      </c>
      <c r="C563" s="161" t="s">
        <v>91</v>
      </c>
      <c r="D563" s="161"/>
      <c r="E563" s="161"/>
      <c r="F563" s="162"/>
      <c r="G563" s="162"/>
      <c r="H563" s="162"/>
      <c r="I563" s="160" t="s">
        <v>1601</v>
      </c>
      <c r="J563" s="163">
        <v>1.89</v>
      </c>
      <c r="K563" s="163"/>
      <c r="L563" s="163"/>
      <c r="M563" s="164">
        <v>22</v>
      </c>
      <c r="N563" s="164"/>
      <c r="O563" s="164"/>
      <c r="P563" s="159" t="s">
        <v>1602</v>
      </c>
      <c r="Q563" s="159" t="s">
        <v>488</v>
      </c>
      <c r="R563" s="159" t="s">
        <v>1603</v>
      </c>
      <c r="S563" s="165">
        <v>1.6004176150633698E-2</v>
      </c>
      <c r="T563" s="166" t="s">
        <v>382</v>
      </c>
      <c r="U563" s="166"/>
      <c r="V563" s="166"/>
      <c r="W563" s="167">
        <f>IF(BetTable[Sport]="","",BetTable[Stake]+BetTable[S2]+BetTable[S3])</f>
        <v>22</v>
      </c>
      <c r="X563" s="164">
        <f>IF(BetTable[Odds]="","",(BetTable[WBA1-Commission])-BetTable[TS])</f>
        <v>19.579999999999998</v>
      </c>
      <c r="Y563" s="168">
        <f>IF(BetTable[Outcome]="","",BetTable[WBA1]+BetTable[WBA2]+BetTable[WBA3]-BetTable[TS])</f>
        <v>-22</v>
      </c>
      <c r="Z563" s="164">
        <f>(((BetTable[Odds]-1)*BetTable[Stake])*(1-(BetTable[Comm %]))+BetTable[Stake])</f>
        <v>41.58</v>
      </c>
      <c r="AA563" s="164">
        <f>(((BetTable[O2]-1)*BetTable[S2])*(1-(BetTable[C% 2]))+BetTable[S2])</f>
        <v>0</v>
      </c>
      <c r="AB563" s="164">
        <f>(((BetTable[O3]-1)*BetTable[S3])*(1-(BetTable[C% 3]))+BetTable[S3])</f>
        <v>0</v>
      </c>
      <c r="AC563" s="165">
        <f>IFERROR(IF(BetTable[Sport]="","",BetTable[R1]/BetTable[TS]),"")</f>
        <v>0.8899999999999999</v>
      </c>
      <c r="AD563" s="165" t="str">
        <f>IF(BetTable[O2]="","",#REF!/BetTable[TS])</f>
        <v/>
      </c>
      <c r="AE563" s="165" t="str">
        <f>IFERROR(IF(BetTable[Sport]="","",#REF!/BetTable[TS]),"")</f>
        <v/>
      </c>
      <c r="AF563" s="164">
        <f>IF(BetTable[Outcome]="Win",BetTable[WBA1-Commission],IF(BetTable[Outcome]="Win Half Stake",(BetTable[Stake]/2)+BetTable[WBA1-Commission]/2,IF(BetTable[Outcome]="Lose Half Stake",BetTable[Stake]/2,IF(BetTable[Outcome]="Lose",0,IF(BetTable[Outcome]="Void",BetTable[Stake],)))))</f>
        <v>0</v>
      </c>
      <c r="AG563" s="164">
        <f>IF(BetTable[Outcome2]="Win",BetTable[WBA2-Commission],IF(BetTable[Outcome2]="Win Half Stake",(BetTable[S2]/2)+BetTable[WBA2-Commission]/2,IF(BetTable[Outcome2]="Lose Half Stake",BetTable[S2]/2,IF(BetTable[Outcome2]="Lose",0,IF(BetTable[Outcome2]="Void",BetTable[S2],)))))</f>
        <v>0</v>
      </c>
      <c r="AH563" s="164">
        <f>IF(BetTable[Outcome3]="Win",BetTable[WBA3-Commission],IF(BetTable[Outcome3]="Win Half Stake",(BetTable[S3]/2)+BetTable[WBA3-Commission]/2,IF(BetTable[Outcome3]="Lose Half Stake",BetTable[S3]/2,IF(BetTable[Outcome3]="Lose",0,IF(BetTable[Outcome3]="Void",BetTable[S3],)))))</f>
        <v>0</v>
      </c>
      <c r="AI563" s="168">
        <f>IF(BetTable[Outcome]="",AI562,BetTable[Result]+AI562)</f>
        <v>751.24225000000047</v>
      </c>
      <c r="AJ563" s="160"/>
    </row>
    <row r="564" spans="1:36" x14ac:dyDescent="0.2">
      <c r="A564" s="159" t="s">
        <v>1416</v>
      </c>
      <c r="B564" s="160" t="s">
        <v>200</v>
      </c>
      <c r="C564" s="161" t="s">
        <v>234</v>
      </c>
      <c r="D564" s="161"/>
      <c r="E564" s="161"/>
      <c r="F564" s="162"/>
      <c r="G564" s="162"/>
      <c r="H564" s="162"/>
      <c r="I564" s="160" t="s">
        <v>1604</v>
      </c>
      <c r="J564" s="163">
        <v>2.09</v>
      </c>
      <c r="K564" s="163"/>
      <c r="L564" s="163"/>
      <c r="M564" s="164">
        <v>34</v>
      </c>
      <c r="N564" s="164"/>
      <c r="O564" s="164"/>
      <c r="P564" s="159" t="s">
        <v>354</v>
      </c>
      <c r="Q564" s="159" t="s">
        <v>503</v>
      </c>
      <c r="R564" s="159" t="s">
        <v>1605</v>
      </c>
      <c r="S564" s="165">
        <v>3.1048280500691999E-2</v>
      </c>
      <c r="T564" s="166" t="s">
        <v>372</v>
      </c>
      <c r="U564" s="166"/>
      <c r="V564" s="166"/>
      <c r="W564" s="167">
        <f>IF(BetTable[Sport]="","",BetTable[Stake]+BetTable[S2]+BetTable[S3])</f>
        <v>34</v>
      </c>
      <c r="X564" s="164">
        <f>IF(BetTable[Odds]="","",(BetTable[WBA1-Commission])-BetTable[TS])</f>
        <v>37.06</v>
      </c>
      <c r="Y564" s="168">
        <f>IF(BetTable[Outcome]="","",BetTable[WBA1]+BetTable[WBA2]+BetTable[WBA3]-BetTable[TS])</f>
        <v>37.06</v>
      </c>
      <c r="Z564" s="164">
        <f>(((BetTable[Odds]-1)*BetTable[Stake])*(1-(BetTable[Comm %]))+BetTable[Stake])</f>
        <v>71.06</v>
      </c>
      <c r="AA564" s="164">
        <f>(((BetTable[O2]-1)*BetTable[S2])*(1-(BetTable[C% 2]))+BetTable[S2])</f>
        <v>0</v>
      </c>
      <c r="AB564" s="164">
        <f>(((BetTable[O3]-1)*BetTable[S3])*(1-(BetTable[C% 3]))+BetTable[S3])</f>
        <v>0</v>
      </c>
      <c r="AC564" s="165">
        <f>IFERROR(IF(BetTable[Sport]="","",BetTable[R1]/BetTable[TS]),"")</f>
        <v>1.0900000000000001</v>
      </c>
      <c r="AD564" s="165" t="str">
        <f>IF(BetTable[O2]="","",#REF!/BetTable[TS])</f>
        <v/>
      </c>
      <c r="AE564" s="165" t="str">
        <f>IFERROR(IF(BetTable[Sport]="","",#REF!/BetTable[TS]),"")</f>
        <v/>
      </c>
      <c r="AF564" s="164">
        <f>IF(BetTable[Outcome]="Win",BetTable[WBA1-Commission],IF(BetTable[Outcome]="Win Half Stake",(BetTable[Stake]/2)+BetTable[WBA1-Commission]/2,IF(BetTable[Outcome]="Lose Half Stake",BetTable[Stake]/2,IF(BetTable[Outcome]="Lose",0,IF(BetTable[Outcome]="Void",BetTable[Stake],)))))</f>
        <v>71.06</v>
      </c>
      <c r="AG564" s="164">
        <f>IF(BetTable[Outcome2]="Win",BetTable[WBA2-Commission],IF(BetTable[Outcome2]="Win Half Stake",(BetTable[S2]/2)+BetTable[WBA2-Commission]/2,IF(BetTable[Outcome2]="Lose Half Stake",BetTable[S2]/2,IF(BetTable[Outcome2]="Lose",0,IF(BetTable[Outcome2]="Void",BetTable[S2],)))))</f>
        <v>0</v>
      </c>
      <c r="AH564" s="164">
        <f>IF(BetTable[Outcome3]="Win",BetTable[WBA3-Commission],IF(BetTable[Outcome3]="Win Half Stake",(BetTable[S3]/2)+BetTable[WBA3-Commission]/2,IF(BetTable[Outcome3]="Lose Half Stake",BetTable[S3]/2,IF(BetTable[Outcome3]="Lose",0,IF(BetTable[Outcome3]="Void",BetTable[S3],)))))</f>
        <v>0</v>
      </c>
      <c r="AI564" s="168">
        <f>IF(BetTable[Outcome]="",AI563,BetTable[Result]+AI563)</f>
        <v>788.30225000000041</v>
      </c>
      <c r="AJ564" s="160"/>
    </row>
    <row r="565" spans="1:36" x14ac:dyDescent="0.2">
      <c r="A565" s="159" t="s">
        <v>1416</v>
      </c>
      <c r="B565" s="160" t="s">
        <v>200</v>
      </c>
      <c r="C565" s="161" t="s">
        <v>234</v>
      </c>
      <c r="D565" s="161"/>
      <c r="E565" s="161"/>
      <c r="F565" s="162"/>
      <c r="G565" s="162"/>
      <c r="H565" s="162"/>
      <c r="I565" s="160" t="s">
        <v>1604</v>
      </c>
      <c r="J565" s="163">
        <v>1.81</v>
      </c>
      <c r="K565" s="163"/>
      <c r="L565" s="163"/>
      <c r="M565" s="164">
        <v>31</v>
      </c>
      <c r="N565" s="164"/>
      <c r="O565" s="164"/>
      <c r="P565" s="159" t="s">
        <v>336</v>
      </c>
      <c r="Q565" s="159" t="s">
        <v>503</v>
      </c>
      <c r="R565" s="159" t="s">
        <v>1606</v>
      </c>
      <c r="S565" s="165">
        <v>2.0706718585336299E-2</v>
      </c>
      <c r="T565" s="166" t="s">
        <v>372</v>
      </c>
      <c r="U565" s="166"/>
      <c r="V565" s="166"/>
      <c r="W565" s="167">
        <f>IF(BetTable[Sport]="","",BetTable[Stake]+BetTable[S2]+BetTable[S3])</f>
        <v>31</v>
      </c>
      <c r="X565" s="164">
        <f>IF(BetTable[Odds]="","",(BetTable[WBA1-Commission])-BetTable[TS])</f>
        <v>25.11</v>
      </c>
      <c r="Y565" s="168">
        <f>IF(BetTable[Outcome]="","",BetTable[WBA1]+BetTable[WBA2]+BetTable[WBA3]-BetTable[TS])</f>
        <v>25.11</v>
      </c>
      <c r="Z565" s="164">
        <f>(((BetTable[Odds]-1)*BetTable[Stake])*(1-(BetTable[Comm %]))+BetTable[Stake])</f>
        <v>56.11</v>
      </c>
      <c r="AA565" s="164">
        <f>(((BetTable[O2]-1)*BetTable[S2])*(1-(BetTable[C% 2]))+BetTable[S2])</f>
        <v>0</v>
      </c>
      <c r="AB565" s="164">
        <f>(((BetTable[O3]-1)*BetTable[S3])*(1-(BetTable[C% 3]))+BetTable[S3])</f>
        <v>0</v>
      </c>
      <c r="AC565" s="165">
        <f>IFERROR(IF(BetTable[Sport]="","",BetTable[R1]/BetTable[TS]),"")</f>
        <v>0.80999999999999994</v>
      </c>
      <c r="AD565" s="165" t="str">
        <f>IF(BetTable[O2]="","",#REF!/BetTable[TS])</f>
        <v/>
      </c>
      <c r="AE565" s="165" t="str">
        <f>IFERROR(IF(BetTable[Sport]="","",#REF!/BetTable[TS]),"")</f>
        <v/>
      </c>
      <c r="AF565" s="164">
        <f>IF(BetTable[Outcome]="Win",BetTable[WBA1-Commission],IF(BetTable[Outcome]="Win Half Stake",(BetTable[Stake]/2)+BetTable[WBA1-Commission]/2,IF(BetTable[Outcome]="Lose Half Stake",BetTable[Stake]/2,IF(BetTable[Outcome]="Lose",0,IF(BetTable[Outcome]="Void",BetTable[Stake],)))))</f>
        <v>56.11</v>
      </c>
      <c r="AG565" s="164">
        <f>IF(BetTable[Outcome2]="Win",BetTable[WBA2-Commission],IF(BetTable[Outcome2]="Win Half Stake",(BetTable[S2]/2)+BetTable[WBA2-Commission]/2,IF(BetTable[Outcome2]="Lose Half Stake",BetTable[S2]/2,IF(BetTable[Outcome2]="Lose",0,IF(BetTable[Outcome2]="Void",BetTable[S2],)))))</f>
        <v>0</v>
      </c>
      <c r="AH565" s="164">
        <f>IF(BetTable[Outcome3]="Win",BetTable[WBA3-Commission],IF(BetTable[Outcome3]="Win Half Stake",(BetTable[S3]/2)+BetTable[WBA3-Commission]/2,IF(BetTable[Outcome3]="Lose Half Stake",BetTable[S3]/2,IF(BetTable[Outcome3]="Lose",0,IF(BetTable[Outcome3]="Void",BetTable[S3],)))))</f>
        <v>0</v>
      </c>
      <c r="AI565" s="168">
        <f>IF(BetTable[Outcome]="",AI564,BetTable[Result]+AI564)</f>
        <v>813.41225000000043</v>
      </c>
      <c r="AJ565" s="160"/>
    </row>
    <row r="566" spans="1:36" x14ac:dyDescent="0.2">
      <c r="A566" s="159" t="s">
        <v>1416</v>
      </c>
      <c r="B566" s="160" t="s">
        <v>200</v>
      </c>
      <c r="C566" s="161" t="s">
        <v>234</v>
      </c>
      <c r="D566" s="161"/>
      <c r="E566" s="161"/>
      <c r="F566" s="162"/>
      <c r="G566" s="162"/>
      <c r="H566" s="162"/>
      <c r="I566" s="160" t="s">
        <v>1607</v>
      </c>
      <c r="J566" s="163">
        <v>1.75</v>
      </c>
      <c r="K566" s="163"/>
      <c r="L566" s="163"/>
      <c r="M566" s="164">
        <v>30</v>
      </c>
      <c r="N566" s="164"/>
      <c r="O566" s="164"/>
      <c r="P566" s="159" t="s">
        <v>354</v>
      </c>
      <c r="Q566" s="159" t="s">
        <v>1132</v>
      </c>
      <c r="R566" s="159" t="s">
        <v>1608</v>
      </c>
      <c r="S566" s="165">
        <v>1.31321168345394E-2</v>
      </c>
      <c r="T566" s="166" t="s">
        <v>372</v>
      </c>
      <c r="U566" s="166"/>
      <c r="V566" s="166"/>
      <c r="W566" s="167">
        <f>IF(BetTable[Sport]="","",BetTable[Stake]+BetTable[S2]+BetTable[S3])</f>
        <v>30</v>
      </c>
      <c r="X566" s="164">
        <f>IF(BetTable[Odds]="","",(BetTable[WBA1-Commission])-BetTable[TS])</f>
        <v>22.5</v>
      </c>
      <c r="Y566" s="168">
        <f>IF(BetTable[Outcome]="","",BetTable[WBA1]+BetTable[WBA2]+BetTable[WBA3]-BetTable[TS])</f>
        <v>22.5</v>
      </c>
      <c r="Z566" s="164">
        <f>(((BetTable[Odds]-1)*BetTable[Stake])*(1-(BetTable[Comm %]))+BetTable[Stake])</f>
        <v>52.5</v>
      </c>
      <c r="AA566" s="164">
        <f>(((BetTable[O2]-1)*BetTable[S2])*(1-(BetTable[C% 2]))+BetTable[S2])</f>
        <v>0</v>
      </c>
      <c r="AB566" s="164">
        <f>(((BetTable[O3]-1)*BetTable[S3])*(1-(BetTable[C% 3]))+BetTable[S3])</f>
        <v>0</v>
      </c>
      <c r="AC566" s="165">
        <f>IFERROR(IF(BetTable[Sport]="","",BetTable[R1]/BetTable[TS]),"")</f>
        <v>0.75</v>
      </c>
      <c r="AD566" s="165" t="str">
        <f>IF(BetTable[O2]="","",#REF!/BetTable[TS])</f>
        <v/>
      </c>
      <c r="AE566" s="165" t="str">
        <f>IFERROR(IF(BetTable[Sport]="","",#REF!/BetTable[TS]),"")</f>
        <v/>
      </c>
      <c r="AF566" s="164">
        <f>IF(BetTable[Outcome]="Win",BetTable[WBA1-Commission],IF(BetTable[Outcome]="Win Half Stake",(BetTable[Stake]/2)+BetTable[WBA1-Commission]/2,IF(BetTable[Outcome]="Lose Half Stake",BetTable[Stake]/2,IF(BetTable[Outcome]="Lose",0,IF(BetTable[Outcome]="Void",BetTable[Stake],)))))</f>
        <v>52.5</v>
      </c>
      <c r="AG566" s="164">
        <f>IF(BetTable[Outcome2]="Win",BetTable[WBA2-Commission],IF(BetTable[Outcome2]="Win Half Stake",(BetTable[S2]/2)+BetTable[WBA2-Commission]/2,IF(BetTable[Outcome2]="Lose Half Stake",BetTable[S2]/2,IF(BetTable[Outcome2]="Lose",0,IF(BetTable[Outcome2]="Void",BetTable[S2],)))))</f>
        <v>0</v>
      </c>
      <c r="AH566" s="164">
        <f>IF(BetTable[Outcome3]="Win",BetTable[WBA3-Commission],IF(BetTable[Outcome3]="Win Half Stake",(BetTable[S3]/2)+BetTable[WBA3-Commission]/2,IF(BetTable[Outcome3]="Lose Half Stake",BetTable[S3]/2,IF(BetTable[Outcome3]="Lose",0,IF(BetTable[Outcome3]="Void",BetTable[S3],)))))</f>
        <v>0</v>
      </c>
      <c r="AI566" s="168">
        <f>IF(BetTable[Outcome]="",AI565,BetTable[Result]+AI565)</f>
        <v>835.91225000000043</v>
      </c>
      <c r="AJ566" s="160"/>
    </row>
    <row r="567" spans="1:36" x14ac:dyDescent="0.2">
      <c r="A567" s="159" t="s">
        <v>1416</v>
      </c>
      <c r="B567" s="160" t="s">
        <v>200</v>
      </c>
      <c r="C567" s="161" t="s">
        <v>234</v>
      </c>
      <c r="D567" s="161"/>
      <c r="E567" s="161"/>
      <c r="F567" s="162"/>
      <c r="G567" s="162"/>
      <c r="H567" s="162"/>
      <c r="I567" s="160" t="s">
        <v>1609</v>
      </c>
      <c r="J567" s="163">
        <v>1.85</v>
      </c>
      <c r="K567" s="163"/>
      <c r="L567" s="163"/>
      <c r="M567" s="164">
        <v>31</v>
      </c>
      <c r="N567" s="164"/>
      <c r="O567" s="164"/>
      <c r="P567" s="159" t="s">
        <v>791</v>
      </c>
      <c r="Q567" s="159" t="s">
        <v>474</v>
      </c>
      <c r="R567" s="159" t="s">
        <v>1610</v>
      </c>
      <c r="S567" s="165">
        <v>2.1731357610064998E-2</v>
      </c>
      <c r="T567" s="166" t="s">
        <v>372</v>
      </c>
      <c r="U567" s="166"/>
      <c r="V567" s="166"/>
      <c r="W567" s="167">
        <f>IF(BetTable[Sport]="","",BetTable[Stake]+BetTable[S2]+BetTable[S3])</f>
        <v>31</v>
      </c>
      <c r="X567" s="164">
        <f>IF(BetTable[Odds]="","",(BetTable[WBA1-Commission])-BetTable[TS])</f>
        <v>26.35</v>
      </c>
      <c r="Y567" s="168">
        <f>IF(BetTable[Outcome]="","",BetTable[WBA1]+BetTable[WBA2]+BetTable[WBA3]-BetTable[TS])</f>
        <v>26.35</v>
      </c>
      <c r="Z567" s="164">
        <f>(((BetTable[Odds]-1)*BetTable[Stake])*(1-(BetTable[Comm %]))+BetTable[Stake])</f>
        <v>57.35</v>
      </c>
      <c r="AA567" s="164">
        <f>(((BetTable[O2]-1)*BetTable[S2])*(1-(BetTable[C% 2]))+BetTable[S2])</f>
        <v>0</v>
      </c>
      <c r="AB567" s="164">
        <f>(((BetTable[O3]-1)*BetTable[S3])*(1-(BetTable[C% 3]))+BetTable[S3])</f>
        <v>0</v>
      </c>
      <c r="AC567" s="165">
        <f>IFERROR(IF(BetTable[Sport]="","",BetTable[R1]/BetTable[TS]),"")</f>
        <v>0.85000000000000009</v>
      </c>
      <c r="AD567" s="165" t="str">
        <f>IF(BetTable[O2]="","",#REF!/BetTable[TS])</f>
        <v/>
      </c>
      <c r="AE567" s="165" t="str">
        <f>IFERROR(IF(BetTable[Sport]="","",#REF!/BetTable[TS]),"")</f>
        <v/>
      </c>
      <c r="AF567" s="164">
        <f>IF(BetTable[Outcome]="Win",BetTable[WBA1-Commission],IF(BetTable[Outcome]="Win Half Stake",(BetTable[Stake]/2)+BetTable[WBA1-Commission]/2,IF(BetTable[Outcome]="Lose Half Stake",BetTable[Stake]/2,IF(BetTable[Outcome]="Lose",0,IF(BetTable[Outcome]="Void",BetTable[Stake],)))))</f>
        <v>57.35</v>
      </c>
      <c r="AG567" s="164">
        <f>IF(BetTable[Outcome2]="Win",BetTable[WBA2-Commission],IF(BetTable[Outcome2]="Win Half Stake",(BetTable[S2]/2)+BetTable[WBA2-Commission]/2,IF(BetTable[Outcome2]="Lose Half Stake",BetTable[S2]/2,IF(BetTable[Outcome2]="Lose",0,IF(BetTable[Outcome2]="Void",BetTable[S2],)))))</f>
        <v>0</v>
      </c>
      <c r="AH567" s="164">
        <f>IF(BetTable[Outcome3]="Win",BetTable[WBA3-Commission],IF(BetTable[Outcome3]="Win Half Stake",(BetTable[S3]/2)+BetTable[WBA3-Commission]/2,IF(BetTable[Outcome3]="Lose Half Stake",BetTable[S3]/2,IF(BetTable[Outcome3]="Lose",0,IF(BetTable[Outcome3]="Void",BetTable[S3],)))))</f>
        <v>0</v>
      </c>
      <c r="AI567" s="168">
        <f>IF(BetTable[Outcome]="",AI566,BetTable[Result]+AI566)</f>
        <v>862.26225000000045</v>
      </c>
      <c r="AJ567" s="160"/>
    </row>
    <row r="568" spans="1:36" x14ac:dyDescent="0.2">
      <c r="A568" s="159" t="s">
        <v>1690</v>
      </c>
      <c r="B568" s="160" t="s">
        <v>200</v>
      </c>
      <c r="C568" s="161" t="s">
        <v>91</v>
      </c>
      <c r="D568" s="161"/>
      <c r="E568" s="161"/>
      <c r="F568" s="162"/>
      <c r="G568" s="162"/>
      <c r="H568" s="162"/>
      <c r="I568" s="160" t="s">
        <v>1611</v>
      </c>
      <c r="J568" s="163">
        <v>1.87</v>
      </c>
      <c r="K568" s="163"/>
      <c r="L568" s="163"/>
      <c r="M568" s="164">
        <v>29</v>
      </c>
      <c r="N568" s="164"/>
      <c r="O568" s="164"/>
      <c r="P568" s="159" t="s">
        <v>368</v>
      </c>
      <c r="Q568" s="159" t="s">
        <v>677</v>
      </c>
      <c r="R568" s="159" t="s">
        <v>1612</v>
      </c>
      <c r="S568" s="165">
        <v>2.13439336748611E-2</v>
      </c>
      <c r="T568" s="166" t="s">
        <v>372</v>
      </c>
      <c r="U568" s="166"/>
      <c r="V568" s="166"/>
      <c r="W568" s="167">
        <f>IF(BetTable[Sport]="","",BetTable[Stake]+BetTable[S2]+BetTable[S3])</f>
        <v>29</v>
      </c>
      <c r="X568" s="164">
        <f>IF(BetTable[Odds]="","",(BetTable[WBA1-Commission])-BetTable[TS])</f>
        <v>25.230000000000004</v>
      </c>
      <c r="Y568" s="168">
        <f>IF(BetTable[Outcome]="","",BetTable[WBA1]+BetTable[WBA2]+BetTable[WBA3]-BetTable[TS])</f>
        <v>25.230000000000004</v>
      </c>
      <c r="Z568" s="164">
        <f>(((BetTable[Odds]-1)*BetTable[Stake])*(1-(BetTable[Comm %]))+BetTable[Stake])</f>
        <v>54.230000000000004</v>
      </c>
      <c r="AA568" s="164">
        <f>(((BetTable[O2]-1)*BetTable[S2])*(1-(BetTable[C% 2]))+BetTable[S2])</f>
        <v>0</v>
      </c>
      <c r="AB568" s="164">
        <f>(((BetTable[O3]-1)*BetTable[S3])*(1-(BetTable[C% 3]))+BetTable[S3])</f>
        <v>0</v>
      </c>
      <c r="AC568" s="165">
        <f>IFERROR(IF(BetTable[Sport]="","",BetTable[R1]/BetTable[TS]),"")</f>
        <v>0.87000000000000011</v>
      </c>
      <c r="AD568" s="165" t="str">
        <f>IF(BetTable[O2]="","",#REF!/BetTable[TS])</f>
        <v/>
      </c>
      <c r="AE568" s="165" t="str">
        <f>IFERROR(IF(BetTable[Sport]="","",#REF!/BetTable[TS]),"")</f>
        <v/>
      </c>
      <c r="AF568" s="164">
        <f>IF(BetTable[Outcome]="Win",BetTable[WBA1-Commission],IF(BetTable[Outcome]="Win Half Stake",(BetTable[Stake]/2)+BetTable[WBA1-Commission]/2,IF(BetTable[Outcome]="Lose Half Stake",BetTable[Stake]/2,IF(BetTable[Outcome]="Lose",0,IF(BetTable[Outcome]="Void",BetTable[Stake],)))))</f>
        <v>54.230000000000004</v>
      </c>
      <c r="AG568" s="164">
        <f>IF(BetTable[Outcome2]="Win",BetTable[WBA2-Commission],IF(BetTable[Outcome2]="Win Half Stake",(BetTable[S2]/2)+BetTable[WBA2-Commission]/2,IF(BetTable[Outcome2]="Lose Half Stake",BetTable[S2]/2,IF(BetTable[Outcome2]="Lose",0,IF(BetTable[Outcome2]="Void",BetTable[S2],)))))</f>
        <v>0</v>
      </c>
      <c r="AH568" s="164">
        <f>IF(BetTable[Outcome3]="Win",BetTable[WBA3-Commission],IF(BetTable[Outcome3]="Win Half Stake",(BetTable[S3]/2)+BetTable[WBA3-Commission]/2,IF(BetTable[Outcome3]="Lose Half Stake",BetTable[S3]/2,IF(BetTable[Outcome3]="Lose",0,IF(BetTable[Outcome3]="Void",BetTable[S3],)))))</f>
        <v>0</v>
      </c>
      <c r="AI568" s="168">
        <f>IF(BetTable[Outcome]="",AI567,BetTable[Result]+AI567)</f>
        <v>887.49225000000047</v>
      </c>
      <c r="AJ568" s="160"/>
    </row>
    <row r="569" spans="1:36" x14ac:dyDescent="0.2">
      <c r="A569" s="159" t="s">
        <v>1416</v>
      </c>
      <c r="B569" s="160" t="s">
        <v>9</v>
      </c>
      <c r="C569" s="161" t="s">
        <v>216</v>
      </c>
      <c r="D569" s="161"/>
      <c r="E569" s="161"/>
      <c r="F569" s="162"/>
      <c r="G569" s="162"/>
      <c r="H569" s="162"/>
      <c r="I569" s="160" t="s">
        <v>1613</v>
      </c>
      <c r="J569" s="163">
        <v>2.0499999999999998</v>
      </c>
      <c r="K569" s="163"/>
      <c r="L569" s="163"/>
      <c r="M569" s="164">
        <v>29</v>
      </c>
      <c r="N569" s="164"/>
      <c r="O569" s="164"/>
      <c r="P569" s="159" t="s">
        <v>1614</v>
      </c>
      <c r="Q569" s="159" t="s">
        <v>458</v>
      </c>
      <c r="R569" s="159" t="s">
        <v>1615</v>
      </c>
      <c r="S569" s="165">
        <v>2.5000000000000001E-2</v>
      </c>
      <c r="T569" s="166" t="s">
        <v>372</v>
      </c>
      <c r="U569" s="166"/>
      <c r="V569" s="166"/>
      <c r="W569" s="167">
        <f>IF(BetTable[Sport]="","",BetTable[Stake]+BetTable[S2]+BetTable[S3])</f>
        <v>29</v>
      </c>
      <c r="X569" s="164">
        <f>IF(BetTable[Odds]="","",(BetTable[WBA1-Commission])-BetTable[TS])</f>
        <v>30.449999999999996</v>
      </c>
      <c r="Y569" s="168">
        <f>IF(BetTable[Outcome]="","",BetTable[WBA1]+BetTable[WBA2]+BetTable[WBA3]-BetTable[TS])</f>
        <v>30.449999999999996</v>
      </c>
      <c r="Z569" s="164">
        <f>(((BetTable[Odds]-1)*BetTable[Stake])*(1-(BetTable[Comm %]))+BetTable[Stake])</f>
        <v>59.449999999999996</v>
      </c>
      <c r="AA569" s="164">
        <f>(((BetTable[O2]-1)*BetTable[S2])*(1-(BetTable[C% 2]))+BetTable[S2])</f>
        <v>0</v>
      </c>
      <c r="AB569" s="164">
        <f>(((BetTable[O3]-1)*BetTable[S3])*(1-(BetTable[C% 3]))+BetTable[S3])</f>
        <v>0</v>
      </c>
      <c r="AC569" s="165">
        <f>IFERROR(IF(BetTable[Sport]="","",BetTable[R1]/BetTable[TS]),"")</f>
        <v>1.0499999999999998</v>
      </c>
      <c r="AD569" s="165" t="str">
        <f>IF(BetTable[O2]="","",#REF!/BetTable[TS])</f>
        <v/>
      </c>
      <c r="AE569" s="165" t="str">
        <f>IFERROR(IF(BetTable[Sport]="","",#REF!/BetTable[TS]),"")</f>
        <v/>
      </c>
      <c r="AF569" s="164">
        <f>IF(BetTable[Outcome]="Win",BetTable[WBA1-Commission],IF(BetTable[Outcome]="Win Half Stake",(BetTable[Stake]/2)+BetTable[WBA1-Commission]/2,IF(BetTable[Outcome]="Lose Half Stake",BetTable[Stake]/2,IF(BetTable[Outcome]="Lose",0,IF(BetTable[Outcome]="Void",BetTable[Stake],)))))</f>
        <v>59.449999999999996</v>
      </c>
      <c r="AG569" s="164">
        <f>IF(BetTable[Outcome2]="Win",BetTable[WBA2-Commission],IF(BetTable[Outcome2]="Win Half Stake",(BetTable[S2]/2)+BetTable[WBA2-Commission]/2,IF(BetTable[Outcome2]="Lose Half Stake",BetTable[S2]/2,IF(BetTable[Outcome2]="Lose",0,IF(BetTable[Outcome2]="Void",BetTable[S2],)))))</f>
        <v>0</v>
      </c>
      <c r="AH569" s="164">
        <f>IF(BetTable[Outcome3]="Win",BetTable[WBA3-Commission],IF(BetTable[Outcome3]="Win Half Stake",(BetTable[S3]/2)+BetTable[WBA3-Commission]/2,IF(BetTable[Outcome3]="Lose Half Stake",BetTable[S3]/2,IF(BetTable[Outcome3]="Lose",0,IF(BetTable[Outcome3]="Void",BetTable[S3],)))))</f>
        <v>0</v>
      </c>
      <c r="AI569" s="168">
        <f>IF(BetTable[Outcome]="",AI568,BetTable[Result]+AI568)</f>
        <v>917.94225000000051</v>
      </c>
      <c r="AJ569" s="160"/>
    </row>
    <row r="570" spans="1:36" x14ac:dyDescent="0.2">
      <c r="A570" s="159" t="s">
        <v>1416</v>
      </c>
      <c r="B570" s="160" t="s">
        <v>7</v>
      </c>
      <c r="C570" s="161" t="s">
        <v>216</v>
      </c>
      <c r="D570" s="161"/>
      <c r="E570" s="161"/>
      <c r="F570" s="162"/>
      <c r="G570" s="162"/>
      <c r="H570" s="162"/>
      <c r="I570" s="160" t="s">
        <v>1616</v>
      </c>
      <c r="J570" s="163">
        <v>1.909</v>
      </c>
      <c r="K570" s="163"/>
      <c r="L570" s="163"/>
      <c r="M570" s="164">
        <v>24</v>
      </c>
      <c r="N570" s="164"/>
      <c r="O570" s="164"/>
      <c r="P570" s="159" t="s">
        <v>1617</v>
      </c>
      <c r="Q570" s="159" t="s">
        <v>1379</v>
      </c>
      <c r="R570" s="159" t="s">
        <v>1618</v>
      </c>
      <c r="S570" s="165">
        <v>1.8204252627522399E-2</v>
      </c>
      <c r="T570" s="166" t="s">
        <v>372</v>
      </c>
      <c r="U570" s="166"/>
      <c r="V570" s="166"/>
      <c r="W570" s="167">
        <f>IF(BetTable[Sport]="","",BetTable[Stake]+BetTable[S2]+BetTable[S3])</f>
        <v>24</v>
      </c>
      <c r="X570" s="164">
        <f>IF(BetTable[Odds]="","",(BetTable[WBA1-Commission])-BetTable[TS])</f>
        <v>21.816000000000003</v>
      </c>
      <c r="Y570" s="168">
        <f>IF(BetTable[Outcome]="","",BetTable[WBA1]+BetTable[WBA2]+BetTable[WBA3]-BetTable[TS])</f>
        <v>21.816000000000003</v>
      </c>
      <c r="Z570" s="164">
        <f>(((BetTable[Odds]-1)*BetTable[Stake])*(1-(BetTable[Comm %]))+BetTable[Stake])</f>
        <v>45.816000000000003</v>
      </c>
      <c r="AA570" s="164">
        <f>(((BetTable[O2]-1)*BetTable[S2])*(1-(BetTable[C% 2]))+BetTable[S2])</f>
        <v>0</v>
      </c>
      <c r="AB570" s="164">
        <f>(((BetTable[O3]-1)*BetTable[S3])*(1-(BetTable[C% 3]))+BetTable[S3])</f>
        <v>0</v>
      </c>
      <c r="AC570" s="165">
        <f>IFERROR(IF(BetTable[Sport]="","",BetTable[R1]/BetTable[TS]),"")</f>
        <v>0.90900000000000014</v>
      </c>
      <c r="AD570" s="165" t="str">
        <f>IF(BetTable[O2]="","",#REF!/BetTable[TS])</f>
        <v/>
      </c>
      <c r="AE570" s="165" t="str">
        <f>IFERROR(IF(BetTable[Sport]="","",#REF!/BetTable[TS]),"")</f>
        <v/>
      </c>
      <c r="AF570" s="164">
        <f>IF(BetTable[Outcome]="Win",BetTable[WBA1-Commission],IF(BetTable[Outcome]="Win Half Stake",(BetTable[Stake]/2)+BetTable[WBA1-Commission]/2,IF(BetTable[Outcome]="Lose Half Stake",BetTable[Stake]/2,IF(BetTable[Outcome]="Lose",0,IF(BetTable[Outcome]="Void",BetTable[Stake],)))))</f>
        <v>45.816000000000003</v>
      </c>
      <c r="AG570" s="164">
        <f>IF(BetTable[Outcome2]="Win",BetTable[WBA2-Commission],IF(BetTable[Outcome2]="Win Half Stake",(BetTable[S2]/2)+BetTable[WBA2-Commission]/2,IF(BetTable[Outcome2]="Lose Half Stake",BetTable[S2]/2,IF(BetTable[Outcome2]="Lose",0,IF(BetTable[Outcome2]="Void",BetTable[S2],)))))</f>
        <v>0</v>
      </c>
      <c r="AH570" s="164">
        <f>IF(BetTable[Outcome3]="Win",BetTable[WBA3-Commission],IF(BetTable[Outcome3]="Win Half Stake",(BetTable[S3]/2)+BetTable[WBA3-Commission]/2,IF(BetTable[Outcome3]="Lose Half Stake",BetTable[S3]/2,IF(BetTable[Outcome3]="Lose",0,IF(BetTable[Outcome3]="Void",BetTable[S3],)))))</f>
        <v>0</v>
      </c>
      <c r="AI570" s="168">
        <f>IF(BetTable[Outcome]="",AI569,BetTable[Result]+AI569)</f>
        <v>939.75825000000054</v>
      </c>
      <c r="AJ570" s="160"/>
    </row>
    <row r="571" spans="1:36" x14ac:dyDescent="0.2">
      <c r="A571" s="159" t="s">
        <v>1416</v>
      </c>
      <c r="B571" s="160" t="s">
        <v>8</v>
      </c>
      <c r="C571" s="161" t="s">
        <v>216</v>
      </c>
      <c r="D571" s="161"/>
      <c r="E571" s="161"/>
      <c r="F571" s="162"/>
      <c r="G571" s="162"/>
      <c r="H571" s="162"/>
      <c r="I571" s="160" t="s">
        <v>1619</v>
      </c>
      <c r="J571" s="163">
        <v>2.5</v>
      </c>
      <c r="K571" s="163"/>
      <c r="L571" s="163"/>
      <c r="M571" s="164">
        <v>18</v>
      </c>
      <c r="N571" s="164"/>
      <c r="O571" s="164"/>
      <c r="P571" s="159" t="s">
        <v>428</v>
      </c>
      <c r="Q571" s="159" t="s">
        <v>488</v>
      </c>
      <c r="R571" s="159" t="s">
        <v>1620</v>
      </c>
      <c r="S571" s="165">
        <v>2.1894771894771799E-2</v>
      </c>
      <c r="T571" s="166" t="s">
        <v>372</v>
      </c>
      <c r="U571" s="166"/>
      <c r="V571" s="166"/>
      <c r="W571" s="167">
        <f>IF(BetTable[Sport]="","",BetTable[Stake]+BetTable[S2]+BetTable[S3])</f>
        <v>18</v>
      </c>
      <c r="X571" s="164">
        <f>IF(BetTable[Odds]="","",(BetTable[WBA1-Commission])-BetTable[TS])</f>
        <v>27</v>
      </c>
      <c r="Y571" s="168">
        <f>IF(BetTable[Outcome]="","",BetTable[WBA1]+BetTable[WBA2]+BetTable[WBA3]-BetTable[TS])</f>
        <v>27</v>
      </c>
      <c r="Z571" s="164">
        <f>(((BetTable[Odds]-1)*BetTable[Stake])*(1-(BetTable[Comm %]))+BetTable[Stake])</f>
        <v>45</v>
      </c>
      <c r="AA571" s="164">
        <f>(((BetTable[O2]-1)*BetTable[S2])*(1-(BetTable[C% 2]))+BetTable[S2])</f>
        <v>0</v>
      </c>
      <c r="AB571" s="164">
        <f>(((BetTable[O3]-1)*BetTable[S3])*(1-(BetTable[C% 3]))+BetTable[S3])</f>
        <v>0</v>
      </c>
      <c r="AC571" s="165">
        <f>IFERROR(IF(BetTable[Sport]="","",BetTable[R1]/BetTable[TS]),"")</f>
        <v>1.5</v>
      </c>
      <c r="AD571" s="165" t="str">
        <f>IF(BetTable[O2]="","",#REF!/BetTable[TS])</f>
        <v/>
      </c>
      <c r="AE571" s="165" t="str">
        <f>IFERROR(IF(BetTable[Sport]="","",#REF!/BetTable[TS]),"")</f>
        <v/>
      </c>
      <c r="AF571" s="164">
        <f>IF(BetTable[Outcome]="Win",BetTable[WBA1-Commission],IF(BetTable[Outcome]="Win Half Stake",(BetTable[Stake]/2)+BetTable[WBA1-Commission]/2,IF(BetTable[Outcome]="Lose Half Stake",BetTable[Stake]/2,IF(BetTable[Outcome]="Lose",0,IF(BetTable[Outcome]="Void",BetTable[Stake],)))))</f>
        <v>45</v>
      </c>
      <c r="AG571" s="164">
        <f>IF(BetTable[Outcome2]="Win",BetTable[WBA2-Commission],IF(BetTable[Outcome2]="Win Half Stake",(BetTable[S2]/2)+BetTable[WBA2-Commission]/2,IF(BetTable[Outcome2]="Lose Half Stake",BetTable[S2]/2,IF(BetTable[Outcome2]="Lose",0,IF(BetTable[Outcome2]="Void",BetTable[S2],)))))</f>
        <v>0</v>
      </c>
      <c r="AH571" s="164">
        <f>IF(BetTable[Outcome3]="Win",BetTable[WBA3-Commission],IF(BetTable[Outcome3]="Win Half Stake",(BetTable[S3]/2)+BetTable[WBA3-Commission]/2,IF(BetTable[Outcome3]="Lose Half Stake",BetTable[S3]/2,IF(BetTable[Outcome3]="Lose",0,IF(BetTable[Outcome3]="Void",BetTable[S3],)))))</f>
        <v>0</v>
      </c>
      <c r="AI571" s="168">
        <f>IF(BetTable[Outcome]="",AI570,BetTable[Result]+AI570)</f>
        <v>966.75825000000054</v>
      </c>
      <c r="AJ571" s="160"/>
    </row>
    <row r="572" spans="1:36" x14ac:dyDescent="0.2">
      <c r="A572" s="159" t="s">
        <v>1690</v>
      </c>
      <c r="B572" s="160" t="s">
        <v>8</v>
      </c>
      <c r="C572" s="161" t="s">
        <v>216</v>
      </c>
      <c r="D572" s="161"/>
      <c r="E572" s="161"/>
      <c r="F572" s="162"/>
      <c r="G572" s="162"/>
      <c r="H572" s="162"/>
      <c r="I572" s="160" t="s">
        <v>1621</v>
      </c>
      <c r="J572" s="163">
        <v>2.25</v>
      </c>
      <c r="K572" s="163"/>
      <c r="L572" s="163"/>
      <c r="M572" s="164">
        <v>25</v>
      </c>
      <c r="N572" s="164"/>
      <c r="O572" s="164"/>
      <c r="P572" s="159" t="s">
        <v>435</v>
      </c>
      <c r="Q572" s="159" t="s">
        <v>461</v>
      </c>
      <c r="R572" s="159" t="s">
        <v>1622</v>
      </c>
      <c r="S572" s="165">
        <v>2.7878813523832102E-2</v>
      </c>
      <c r="T572" s="166" t="s">
        <v>382</v>
      </c>
      <c r="U572" s="166"/>
      <c r="V572" s="166"/>
      <c r="W572" s="167">
        <f>IF(BetTable[Sport]="","",BetTable[Stake]+BetTable[S2]+BetTable[S3])</f>
        <v>25</v>
      </c>
      <c r="X572" s="164">
        <f>IF(BetTable[Odds]="","",(BetTable[WBA1-Commission])-BetTable[TS])</f>
        <v>31.25</v>
      </c>
      <c r="Y572" s="168">
        <f>IF(BetTable[Outcome]="","",BetTable[WBA1]+BetTable[WBA2]+BetTable[WBA3]-BetTable[TS])</f>
        <v>-25</v>
      </c>
      <c r="Z572" s="164">
        <f>(((BetTable[Odds]-1)*BetTable[Stake])*(1-(BetTable[Comm %]))+BetTable[Stake])</f>
        <v>56.25</v>
      </c>
      <c r="AA572" s="164">
        <f>(((BetTable[O2]-1)*BetTable[S2])*(1-(BetTable[C% 2]))+BetTable[S2])</f>
        <v>0</v>
      </c>
      <c r="AB572" s="164">
        <f>(((BetTable[O3]-1)*BetTable[S3])*(1-(BetTable[C% 3]))+BetTable[S3])</f>
        <v>0</v>
      </c>
      <c r="AC572" s="165">
        <f>IFERROR(IF(BetTable[Sport]="","",BetTable[R1]/BetTable[TS]),"")</f>
        <v>1.25</v>
      </c>
      <c r="AD572" s="165" t="str">
        <f>IF(BetTable[O2]="","",#REF!/BetTable[TS])</f>
        <v/>
      </c>
      <c r="AE572" s="165" t="str">
        <f>IFERROR(IF(BetTable[Sport]="","",#REF!/BetTable[TS]),"")</f>
        <v/>
      </c>
      <c r="AF572" s="164">
        <f>IF(BetTable[Outcome]="Win",BetTable[WBA1-Commission],IF(BetTable[Outcome]="Win Half Stake",(BetTable[Stake]/2)+BetTable[WBA1-Commission]/2,IF(BetTable[Outcome]="Lose Half Stake",BetTable[Stake]/2,IF(BetTable[Outcome]="Lose",0,IF(BetTable[Outcome]="Void",BetTable[Stake],)))))</f>
        <v>0</v>
      </c>
      <c r="AG572" s="164">
        <f>IF(BetTable[Outcome2]="Win",BetTable[WBA2-Commission],IF(BetTable[Outcome2]="Win Half Stake",(BetTable[S2]/2)+BetTable[WBA2-Commission]/2,IF(BetTable[Outcome2]="Lose Half Stake",BetTable[S2]/2,IF(BetTable[Outcome2]="Lose",0,IF(BetTable[Outcome2]="Void",BetTable[S2],)))))</f>
        <v>0</v>
      </c>
      <c r="AH572" s="164">
        <f>IF(BetTable[Outcome3]="Win",BetTable[WBA3-Commission],IF(BetTable[Outcome3]="Win Half Stake",(BetTable[S3]/2)+BetTable[WBA3-Commission]/2,IF(BetTable[Outcome3]="Lose Half Stake",BetTable[S3]/2,IF(BetTable[Outcome3]="Lose",0,IF(BetTable[Outcome3]="Void",BetTable[S3],)))))</f>
        <v>0</v>
      </c>
      <c r="AI572" s="168">
        <f>IF(BetTable[Outcome]="",AI571,BetTable[Result]+AI571)</f>
        <v>941.75825000000054</v>
      </c>
      <c r="AJ572" s="160"/>
    </row>
    <row r="573" spans="1:36" x14ac:dyDescent="0.2">
      <c r="A573" s="159" t="s">
        <v>1416</v>
      </c>
      <c r="B573" s="160" t="s">
        <v>200</v>
      </c>
      <c r="C573" s="161" t="s">
        <v>216</v>
      </c>
      <c r="D573" s="161"/>
      <c r="E573" s="161"/>
      <c r="F573" s="162"/>
      <c r="G573" s="162"/>
      <c r="H573" s="162"/>
      <c r="I573" s="160" t="s">
        <v>1623</v>
      </c>
      <c r="J573" s="163">
        <v>1.6619999999999999</v>
      </c>
      <c r="K573" s="163"/>
      <c r="L573" s="163"/>
      <c r="M573" s="164">
        <v>54</v>
      </c>
      <c r="N573" s="164"/>
      <c r="O573" s="164"/>
      <c r="P573" s="159" t="s">
        <v>791</v>
      </c>
      <c r="Q573" s="159" t="s">
        <v>470</v>
      </c>
      <c r="R573" s="159" t="s">
        <v>1624</v>
      </c>
      <c r="S573" s="165">
        <v>2.9600594260592802E-2</v>
      </c>
      <c r="T573" s="166" t="s">
        <v>372</v>
      </c>
      <c r="U573" s="166"/>
      <c r="V573" s="166"/>
      <c r="W573" s="167">
        <f>IF(BetTable[Sport]="","",BetTable[Stake]+BetTable[S2]+BetTable[S3])</f>
        <v>54</v>
      </c>
      <c r="X573" s="164">
        <f>IF(BetTable[Odds]="","",(BetTable[WBA1-Commission])-BetTable[TS])</f>
        <v>35.74799999999999</v>
      </c>
      <c r="Y573" s="168">
        <f>IF(BetTable[Outcome]="","",BetTable[WBA1]+BetTable[WBA2]+BetTable[WBA3]-BetTable[TS])</f>
        <v>35.74799999999999</v>
      </c>
      <c r="Z573" s="164">
        <f>(((BetTable[Odds]-1)*BetTable[Stake])*(1-(BetTable[Comm %]))+BetTable[Stake])</f>
        <v>89.74799999999999</v>
      </c>
      <c r="AA573" s="164">
        <f>(((BetTable[O2]-1)*BetTable[S2])*(1-(BetTable[C% 2]))+BetTable[S2])</f>
        <v>0</v>
      </c>
      <c r="AB573" s="164">
        <f>(((BetTable[O3]-1)*BetTable[S3])*(1-(BetTable[C% 3]))+BetTable[S3])</f>
        <v>0</v>
      </c>
      <c r="AC573" s="165">
        <f>IFERROR(IF(BetTable[Sport]="","",BetTable[R1]/BetTable[TS]),"")</f>
        <v>0.66199999999999981</v>
      </c>
      <c r="AD573" s="165" t="str">
        <f>IF(BetTable[O2]="","",#REF!/BetTable[TS])</f>
        <v/>
      </c>
      <c r="AE573" s="165" t="str">
        <f>IFERROR(IF(BetTable[Sport]="","",#REF!/BetTable[TS]),"")</f>
        <v/>
      </c>
      <c r="AF573" s="164">
        <f>IF(BetTable[Outcome]="Win",BetTable[WBA1-Commission],IF(BetTable[Outcome]="Win Half Stake",(BetTable[Stake]/2)+BetTable[WBA1-Commission]/2,IF(BetTable[Outcome]="Lose Half Stake",BetTable[Stake]/2,IF(BetTable[Outcome]="Lose",0,IF(BetTable[Outcome]="Void",BetTable[Stake],)))))</f>
        <v>89.74799999999999</v>
      </c>
      <c r="AG573" s="164">
        <f>IF(BetTable[Outcome2]="Win",BetTable[WBA2-Commission],IF(BetTable[Outcome2]="Win Half Stake",(BetTable[S2]/2)+BetTable[WBA2-Commission]/2,IF(BetTable[Outcome2]="Lose Half Stake",BetTable[S2]/2,IF(BetTable[Outcome2]="Lose",0,IF(BetTable[Outcome2]="Void",BetTable[S2],)))))</f>
        <v>0</v>
      </c>
      <c r="AH573" s="164">
        <f>IF(BetTable[Outcome3]="Win",BetTable[WBA3-Commission],IF(BetTable[Outcome3]="Win Half Stake",(BetTable[S3]/2)+BetTable[WBA3-Commission]/2,IF(BetTable[Outcome3]="Lose Half Stake",BetTable[S3]/2,IF(BetTable[Outcome3]="Lose",0,IF(BetTable[Outcome3]="Void",BetTable[S3],)))))</f>
        <v>0</v>
      </c>
      <c r="AI573" s="168">
        <f>IF(BetTable[Outcome]="",AI572,BetTable[Result]+AI572)</f>
        <v>977.50625000000059</v>
      </c>
      <c r="AJ573" s="160"/>
    </row>
    <row r="574" spans="1:36" x14ac:dyDescent="0.2">
      <c r="A574" s="159" t="s">
        <v>1416</v>
      </c>
      <c r="B574" s="160" t="s">
        <v>7</v>
      </c>
      <c r="C574" s="161" t="s">
        <v>91</v>
      </c>
      <c r="D574" s="161"/>
      <c r="E574" s="161"/>
      <c r="F574" s="162"/>
      <c r="G574" s="162"/>
      <c r="H574" s="162"/>
      <c r="I574" s="160" t="s">
        <v>1626</v>
      </c>
      <c r="J574" s="163">
        <v>2</v>
      </c>
      <c r="K574" s="163"/>
      <c r="L574" s="163"/>
      <c r="M574" s="164">
        <v>30</v>
      </c>
      <c r="N574" s="164"/>
      <c r="O574" s="164"/>
      <c r="P574" s="159" t="s">
        <v>1627</v>
      </c>
      <c r="Q574" s="159" t="s">
        <v>503</v>
      </c>
      <c r="R574" s="159" t="s">
        <v>1628</v>
      </c>
      <c r="S574" s="165">
        <v>2.4841366880672899E-2</v>
      </c>
      <c r="T574" s="166" t="s">
        <v>382</v>
      </c>
      <c r="U574" s="166"/>
      <c r="V574" s="166"/>
      <c r="W574" s="167">
        <f>IF(BetTable[Sport]="","",BetTable[Stake]+BetTable[S2]+BetTable[S3])</f>
        <v>30</v>
      </c>
      <c r="X574" s="164">
        <f>IF(BetTable[Odds]="","",(BetTable[WBA1-Commission])-BetTable[TS])</f>
        <v>30</v>
      </c>
      <c r="Y574" s="168">
        <f>IF(BetTable[Outcome]="","",BetTable[WBA1]+BetTable[WBA2]+BetTable[WBA3]-BetTable[TS])</f>
        <v>-30</v>
      </c>
      <c r="Z574" s="164">
        <f>(((BetTable[Odds]-1)*BetTable[Stake])*(1-(BetTable[Comm %]))+BetTable[Stake])</f>
        <v>60</v>
      </c>
      <c r="AA574" s="164">
        <f>(((BetTable[O2]-1)*BetTable[S2])*(1-(BetTable[C% 2]))+BetTable[S2])</f>
        <v>0</v>
      </c>
      <c r="AB574" s="164">
        <f>(((BetTable[O3]-1)*BetTable[S3])*(1-(BetTable[C% 3]))+BetTable[S3])</f>
        <v>0</v>
      </c>
      <c r="AC574" s="165">
        <f>IFERROR(IF(BetTable[Sport]="","",BetTable[R1]/BetTable[TS]),"")</f>
        <v>1</v>
      </c>
      <c r="AD574" s="165" t="str">
        <f>IF(BetTable[O2]="","",#REF!/BetTable[TS])</f>
        <v/>
      </c>
      <c r="AE574" s="165" t="str">
        <f>IFERROR(IF(BetTable[Sport]="","",#REF!/BetTable[TS]),"")</f>
        <v/>
      </c>
      <c r="AF574" s="164">
        <f>IF(BetTable[Outcome]="Win",BetTable[WBA1-Commission],IF(BetTable[Outcome]="Win Half Stake",(BetTable[Stake]/2)+BetTable[WBA1-Commission]/2,IF(BetTable[Outcome]="Lose Half Stake",BetTable[Stake]/2,IF(BetTable[Outcome]="Lose",0,IF(BetTable[Outcome]="Void",BetTable[Stake],)))))</f>
        <v>0</v>
      </c>
      <c r="AG574" s="164">
        <f>IF(BetTable[Outcome2]="Win",BetTable[WBA2-Commission],IF(BetTable[Outcome2]="Win Half Stake",(BetTable[S2]/2)+BetTable[WBA2-Commission]/2,IF(BetTable[Outcome2]="Lose Half Stake",BetTable[S2]/2,IF(BetTable[Outcome2]="Lose",0,IF(BetTable[Outcome2]="Void",BetTable[S2],)))))</f>
        <v>0</v>
      </c>
      <c r="AH574" s="164">
        <f>IF(BetTable[Outcome3]="Win",BetTable[WBA3-Commission],IF(BetTable[Outcome3]="Win Half Stake",(BetTable[S3]/2)+BetTable[WBA3-Commission]/2,IF(BetTable[Outcome3]="Lose Half Stake",BetTable[S3]/2,IF(BetTable[Outcome3]="Lose",0,IF(BetTable[Outcome3]="Void",BetTable[S3],)))))</f>
        <v>0</v>
      </c>
      <c r="AI574" s="168">
        <f>IF(BetTable[Outcome]="",AI573,BetTable[Result]+AI573)</f>
        <v>947.50625000000059</v>
      </c>
      <c r="AJ574" s="160"/>
    </row>
    <row r="575" spans="1:36" x14ac:dyDescent="0.2">
      <c r="A575" s="159" t="s">
        <v>1416</v>
      </c>
      <c r="B575" s="160" t="s">
        <v>200</v>
      </c>
      <c r="C575" s="161" t="s">
        <v>91</v>
      </c>
      <c r="D575" s="161"/>
      <c r="E575" s="161"/>
      <c r="F575" s="162"/>
      <c r="G575" s="162"/>
      <c r="H575" s="162"/>
      <c r="I575" s="160" t="s">
        <v>1533</v>
      </c>
      <c r="J575" s="163">
        <v>2.06</v>
      </c>
      <c r="K575" s="163"/>
      <c r="L575" s="163"/>
      <c r="M575" s="164">
        <v>42</v>
      </c>
      <c r="N575" s="164"/>
      <c r="O575" s="164"/>
      <c r="P575" s="159" t="s">
        <v>1501</v>
      </c>
      <c r="Q575" s="159" t="s">
        <v>491</v>
      </c>
      <c r="R575" s="159" t="s">
        <v>1625</v>
      </c>
      <c r="S575" s="165">
        <v>3.7042037046389899E-2</v>
      </c>
      <c r="T575" s="166" t="s">
        <v>382</v>
      </c>
      <c r="U575" s="166"/>
      <c r="V575" s="166"/>
      <c r="W575" s="167">
        <f>IF(BetTable[Sport]="","",BetTable[Stake]+BetTable[S2]+BetTable[S3])</f>
        <v>42</v>
      </c>
      <c r="X575" s="164">
        <f>IF(BetTable[Odds]="","",(BetTable[WBA1-Commission])-BetTable[TS])</f>
        <v>44.52000000000001</v>
      </c>
      <c r="Y575" s="168">
        <f>IF(BetTable[Outcome]="","",BetTable[WBA1]+BetTable[WBA2]+BetTable[WBA3]-BetTable[TS])</f>
        <v>-42</v>
      </c>
      <c r="Z575" s="164">
        <f>(((BetTable[Odds]-1)*BetTable[Stake])*(1-(BetTable[Comm %]))+BetTable[Stake])</f>
        <v>86.52000000000001</v>
      </c>
      <c r="AA575" s="164">
        <f>(((BetTable[O2]-1)*BetTable[S2])*(1-(BetTable[C% 2]))+BetTable[S2])</f>
        <v>0</v>
      </c>
      <c r="AB575" s="164">
        <f>(((BetTable[O3]-1)*BetTable[S3])*(1-(BetTable[C% 3]))+BetTable[S3])</f>
        <v>0</v>
      </c>
      <c r="AC575" s="165">
        <f>IFERROR(IF(BetTable[Sport]="","",BetTable[R1]/BetTable[TS]),"")</f>
        <v>1.0600000000000003</v>
      </c>
      <c r="AD575" s="165" t="str">
        <f>IF(BetTable[O2]="","",#REF!/BetTable[TS])</f>
        <v/>
      </c>
      <c r="AE575" s="165" t="str">
        <f>IFERROR(IF(BetTable[Sport]="","",#REF!/BetTable[TS]),"")</f>
        <v/>
      </c>
      <c r="AF575" s="164">
        <f>IF(BetTable[Outcome]="Win",BetTable[WBA1-Commission],IF(BetTable[Outcome]="Win Half Stake",(BetTable[Stake]/2)+BetTable[WBA1-Commission]/2,IF(BetTable[Outcome]="Lose Half Stake",BetTable[Stake]/2,IF(BetTable[Outcome]="Lose",0,IF(BetTable[Outcome]="Void",BetTable[Stake],)))))</f>
        <v>0</v>
      </c>
      <c r="AG575" s="164">
        <f>IF(BetTable[Outcome2]="Win",BetTable[WBA2-Commission],IF(BetTable[Outcome2]="Win Half Stake",(BetTable[S2]/2)+BetTable[WBA2-Commission]/2,IF(BetTable[Outcome2]="Lose Half Stake",BetTable[S2]/2,IF(BetTable[Outcome2]="Lose",0,IF(BetTable[Outcome2]="Void",BetTable[S2],)))))</f>
        <v>0</v>
      </c>
      <c r="AH575" s="164">
        <f>IF(BetTable[Outcome3]="Win",BetTable[WBA3-Commission],IF(BetTable[Outcome3]="Win Half Stake",(BetTable[S3]/2)+BetTable[WBA3-Commission]/2,IF(BetTable[Outcome3]="Lose Half Stake",BetTable[S3]/2,IF(BetTable[Outcome3]="Lose",0,IF(BetTable[Outcome3]="Void",BetTable[S3],)))))</f>
        <v>0</v>
      </c>
      <c r="AI575" s="168">
        <f>IF(BetTable[Outcome]="",AI574,BetTable[Result]+AI574)</f>
        <v>905.50625000000059</v>
      </c>
      <c r="AJ575" s="160"/>
    </row>
    <row r="576" spans="1:36" x14ac:dyDescent="0.2">
      <c r="A576" s="159" t="s">
        <v>1416</v>
      </c>
      <c r="B576" s="160" t="s">
        <v>7</v>
      </c>
      <c r="C576" s="161" t="s">
        <v>216</v>
      </c>
      <c r="D576" s="161"/>
      <c r="E576" s="161"/>
      <c r="F576" s="162"/>
      <c r="G576" s="162"/>
      <c r="H576" s="162"/>
      <c r="I576" s="160" t="s">
        <v>1629</v>
      </c>
      <c r="J576" s="163">
        <v>1.87</v>
      </c>
      <c r="K576" s="163"/>
      <c r="L576" s="163"/>
      <c r="M576" s="164">
        <v>25</v>
      </c>
      <c r="N576" s="164"/>
      <c r="O576" s="164"/>
      <c r="P576" s="159" t="s">
        <v>1630</v>
      </c>
      <c r="Q576" s="159" t="s">
        <v>1631</v>
      </c>
      <c r="R576" s="159" t="s">
        <v>1632</v>
      </c>
      <c r="S576" s="165">
        <v>4.02262403617972E-2</v>
      </c>
      <c r="T576" s="166" t="s">
        <v>382</v>
      </c>
      <c r="U576" s="166"/>
      <c r="V576" s="166"/>
      <c r="W576" s="167">
        <f>IF(BetTable[Sport]="","",BetTable[Stake]+BetTable[S2]+BetTable[S3])</f>
        <v>25</v>
      </c>
      <c r="X576" s="164">
        <f>IF(BetTable[Odds]="","",(BetTable[WBA1-Commission])-BetTable[TS])</f>
        <v>21.75</v>
      </c>
      <c r="Y576" s="168">
        <f>IF(BetTable[Outcome]="","",BetTable[WBA1]+BetTable[WBA2]+BetTable[WBA3]-BetTable[TS])</f>
        <v>-25</v>
      </c>
      <c r="Z576" s="164">
        <f>(((BetTable[Odds]-1)*BetTable[Stake])*(1-(BetTable[Comm %]))+BetTable[Stake])</f>
        <v>46.75</v>
      </c>
      <c r="AA576" s="164">
        <f>(((BetTable[O2]-1)*BetTable[S2])*(1-(BetTable[C% 2]))+BetTable[S2])</f>
        <v>0</v>
      </c>
      <c r="AB576" s="164">
        <f>(((BetTable[O3]-1)*BetTable[S3])*(1-(BetTable[C% 3]))+BetTable[S3])</f>
        <v>0</v>
      </c>
      <c r="AC576" s="165">
        <f>IFERROR(IF(BetTable[Sport]="","",BetTable[R1]/BetTable[TS]),"")</f>
        <v>0.87</v>
      </c>
      <c r="AD576" s="165" t="str">
        <f>IF(BetTable[O2]="","",#REF!/BetTable[TS])</f>
        <v/>
      </c>
      <c r="AE576" s="165" t="str">
        <f>IFERROR(IF(BetTable[Sport]="","",#REF!/BetTable[TS]),"")</f>
        <v/>
      </c>
      <c r="AF576" s="164">
        <f>IF(BetTable[Outcome]="Win",BetTable[WBA1-Commission],IF(BetTable[Outcome]="Win Half Stake",(BetTable[Stake]/2)+BetTable[WBA1-Commission]/2,IF(BetTable[Outcome]="Lose Half Stake",BetTable[Stake]/2,IF(BetTable[Outcome]="Lose",0,IF(BetTable[Outcome]="Void",BetTable[Stake],)))))</f>
        <v>0</v>
      </c>
      <c r="AG576" s="164">
        <f>IF(BetTable[Outcome2]="Win",BetTable[WBA2-Commission],IF(BetTable[Outcome2]="Win Half Stake",(BetTable[S2]/2)+BetTable[WBA2-Commission]/2,IF(BetTable[Outcome2]="Lose Half Stake",BetTable[S2]/2,IF(BetTable[Outcome2]="Lose",0,IF(BetTable[Outcome2]="Void",BetTable[S2],)))))</f>
        <v>0</v>
      </c>
      <c r="AH576" s="164">
        <f>IF(BetTable[Outcome3]="Win",BetTable[WBA3-Commission],IF(BetTable[Outcome3]="Win Half Stake",(BetTable[S3]/2)+BetTable[WBA3-Commission]/2,IF(BetTable[Outcome3]="Lose Half Stake",BetTable[S3]/2,IF(BetTable[Outcome3]="Lose",0,IF(BetTable[Outcome3]="Void",BetTable[S3],)))))</f>
        <v>0</v>
      </c>
      <c r="AI576" s="168">
        <f>IF(BetTable[Outcome]="",AI575,BetTable[Result]+AI575)</f>
        <v>880.50625000000059</v>
      </c>
      <c r="AJ576" s="160"/>
    </row>
    <row r="577" spans="1:36" x14ac:dyDescent="0.2">
      <c r="A577" s="159" t="s">
        <v>1416</v>
      </c>
      <c r="B577" s="160" t="s">
        <v>200</v>
      </c>
      <c r="C577" s="161" t="s">
        <v>91</v>
      </c>
      <c r="D577" s="161"/>
      <c r="E577" s="161"/>
      <c r="F577" s="162"/>
      <c r="G577" s="162"/>
      <c r="H577" s="162"/>
      <c r="I577" s="160" t="s">
        <v>1633</v>
      </c>
      <c r="J577" s="163">
        <v>2.02</v>
      </c>
      <c r="K577" s="163"/>
      <c r="L577" s="163"/>
      <c r="M577" s="164">
        <v>20</v>
      </c>
      <c r="N577" s="164"/>
      <c r="O577" s="164"/>
      <c r="P577" s="159" t="s">
        <v>448</v>
      </c>
      <c r="Q577" s="159" t="s">
        <v>491</v>
      </c>
      <c r="R577" s="159" t="s">
        <v>1634</v>
      </c>
      <c r="S577" s="165">
        <v>1.6905298462964801E-2</v>
      </c>
      <c r="T577" s="166" t="s">
        <v>372</v>
      </c>
      <c r="U577" s="166"/>
      <c r="V577" s="166"/>
      <c r="W577" s="167">
        <f>IF(BetTable[Sport]="","",BetTable[Stake]+BetTable[S2]+BetTable[S3])</f>
        <v>20</v>
      </c>
      <c r="X577" s="164">
        <f>IF(BetTable[Odds]="","",(BetTable[WBA1-Commission])-BetTable[TS])</f>
        <v>20.399999999999999</v>
      </c>
      <c r="Y577" s="168">
        <f>IF(BetTable[Outcome]="","",BetTable[WBA1]+BetTable[WBA2]+BetTable[WBA3]-BetTable[TS])</f>
        <v>20.399999999999999</v>
      </c>
      <c r="Z577" s="164">
        <f>(((BetTable[Odds]-1)*BetTable[Stake])*(1-(BetTable[Comm %]))+BetTable[Stake])</f>
        <v>40.4</v>
      </c>
      <c r="AA577" s="164">
        <f>(((BetTable[O2]-1)*BetTable[S2])*(1-(BetTable[C% 2]))+BetTable[S2])</f>
        <v>0</v>
      </c>
      <c r="AB577" s="164">
        <f>(((BetTable[O3]-1)*BetTable[S3])*(1-(BetTable[C% 3]))+BetTable[S3])</f>
        <v>0</v>
      </c>
      <c r="AC577" s="165">
        <f>IFERROR(IF(BetTable[Sport]="","",BetTable[R1]/BetTable[TS]),"")</f>
        <v>1.02</v>
      </c>
      <c r="AD577" s="165" t="str">
        <f>IF(BetTable[O2]="","",#REF!/BetTable[TS])</f>
        <v/>
      </c>
      <c r="AE577" s="165" t="str">
        <f>IFERROR(IF(BetTable[Sport]="","",#REF!/BetTable[TS]),"")</f>
        <v/>
      </c>
      <c r="AF577" s="164">
        <f>IF(BetTable[Outcome]="Win",BetTable[WBA1-Commission],IF(BetTable[Outcome]="Win Half Stake",(BetTable[Stake]/2)+BetTable[WBA1-Commission]/2,IF(BetTable[Outcome]="Lose Half Stake",BetTable[Stake]/2,IF(BetTable[Outcome]="Lose",0,IF(BetTable[Outcome]="Void",BetTable[Stake],)))))</f>
        <v>40.4</v>
      </c>
      <c r="AG577" s="164">
        <f>IF(BetTable[Outcome2]="Win",BetTable[WBA2-Commission],IF(BetTable[Outcome2]="Win Half Stake",(BetTable[S2]/2)+BetTable[WBA2-Commission]/2,IF(BetTable[Outcome2]="Lose Half Stake",BetTable[S2]/2,IF(BetTable[Outcome2]="Lose",0,IF(BetTable[Outcome2]="Void",BetTable[S2],)))))</f>
        <v>0</v>
      </c>
      <c r="AH577" s="164">
        <f>IF(BetTable[Outcome3]="Win",BetTable[WBA3-Commission],IF(BetTable[Outcome3]="Win Half Stake",(BetTable[S3]/2)+BetTable[WBA3-Commission]/2,IF(BetTable[Outcome3]="Lose Half Stake",BetTable[S3]/2,IF(BetTable[Outcome3]="Lose",0,IF(BetTable[Outcome3]="Void",BetTable[S3],)))))</f>
        <v>0</v>
      </c>
      <c r="AI577" s="168">
        <f>IF(BetTable[Outcome]="",AI576,BetTable[Result]+AI576)</f>
        <v>900.90625000000057</v>
      </c>
      <c r="AJ577" s="160"/>
    </row>
    <row r="578" spans="1:36" x14ac:dyDescent="0.2">
      <c r="A578" s="159" t="s">
        <v>1416</v>
      </c>
      <c r="B578" s="160" t="s">
        <v>200</v>
      </c>
      <c r="C578" s="161" t="s">
        <v>91</v>
      </c>
      <c r="D578" s="161"/>
      <c r="E578" s="161"/>
      <c r="F578" s="162"/>
      <c r="G578" s="162"/>
      <c r="H578" s="162"/>
      <c r="I578" s="160" t="s">
        <v>1635</v>
      </c>
      <c r="J578" s="163">
        <v>1.99</v>
      </c>
      <c r="K578" s="163"/>
      <c r="L578" s="163"/>
      <c r="M578" s="164">
        <v>29</v>
      </c>
      <c r="N578" s="164"/>
      <c r="O578" s="164"/>
      <c r="P578" s="159" t="s">
        <v>1636</v>
      </c>
      <c r="Q578" s="159" t="s">
        <v>491</v>
      </c>
      <c r="R578" s="159" t="s">
        <v>1637</v>
      </c>
      <c r="S578" s="165">
        <v>2.3942894957121201E-2</v>
      </c>
      <c r="T578" s="166" t="s">
        <v>549</v>
      </c>
      <c r="U578" s="166"/>
      <c r="V578" s="166"/>
      <c r="W578" s="167">
        <f>IF(BetTable[Sport]="","",BetTable[Stake]+BetTable[S2]+BetTable[S3])</f>
        <v>29</v>
      </c>
      <c r="X578" s="164">
        <f>IF(BetTable[Odds]="","",(BetTable[WBA1-Commission])-BetTable[TS])</f>
        <v>28.71</v>
      </c>
      <c r="Y578" s="168">
        <f>IF(BetTable[Outcome]="","",BetTable[WBA1]+BetTable[WBA2]+BetTable[WBA3]-BetTable[TS])</f>
        <v>-14.5</v>
      </c>
      <c r="Z578" s="164">
        <f>(((BetTable[Odds]-1)*BetTable[Stake])*(1-(BetTable[Comm %]))+BetTable[Stake])</f>
        <v>57.71</v>
      </c>
      <c r="AA578" s="164">
        <f>(((BetTable[O2]-1)*BetTable[S2])*(1-(BetTable[C% 2]))+BetTable[S2])</f>
        <v>0</v>
      </c>
      <c r="AB578" s="164">
        <f>(((BetTable[O3]-1)*BetTable[S3])*(1-(BetTable[C% 3]))+BetTable[S3])</f>
        <v>0</v>
      </c>
      <c r="AC578" s="165">
        <f>IFERROR(IF(BetTable[Sport]="","",BetTable[R1]/BetTable[TS]),"")</f>
        <v>0.99</v>
      </c>
      <c r="AD578" s="165" t="str">
        <f>IF(BetTable[O2]="","",#REF!/BetTable[TS])</f>
        <v/>
      </c>
      <c r="AE578" s="165" t="str">
        <f>IFERROR(IF(BetTable[Sport]="","",#REF!/BetTable[TS]),"")</f>
        <v/>
      </c>
      <c r="AF578" s="164">
        <f>IF(BetTable[Outcome]="Win",BetTable[WBA1-Commission],IF(BetTable[Outcome]="Win Half Stake",(BetTable[Stake]/2)+BetTable[WBA1-Commission]/2,IF(BetTable[Outcome]="Lose Half Stake",BetTable[Stake]/2,IF(BetTable[Outcome]="Lose",0,IF(BetTable[Outcome]="Void",BetTable[Stake],)))))</f>
        <v>14.5</v>
      </c>
      <c r="AG578" s="164">
        <f>IF(BetTable[Outcome2]="Win",BetTable[WBA2-Commission],IF(BetTable[Outcome2]="Win Half Stake",(BetTable[S2]/2)+BetTable[WBA2-Commission]/2,IF(BetTable[Outcome2]="Lose Half Stake",BetTable[S2]/2,IF(BetTable[Outcome2]="Lose",0,IF(BetTable[Outcome2]="Void",BetTable[S2],)))))</f>
        <v>0</v>
      </c>
      <c r="AH578" s="164">
        <f>IF(BetTable[Outcome3]="Win",BetTable[WBA3-Commission],IF(BetTable[Outcome3]="Win Half Stake",(BetTable[S3]/2)+BetTable[WBA3-Commission]/2,IF(BetTable[Outcome3]="Lose Half Stake",BetTable[S3]/2,IF(BetTable[Outcome3]="Lose",0,IF(BetTable[Outcome3]="Void",BetTable[S3],)))))</f>
        <v>0</v>
      </c>
      <c r="AI578" s="168">
        <f>IF(BetTable[Outcome]="",AI577,BetTable[Result]+AI577)</f>
        <v>886.40625000000057</v>
      </c>
      <c r="AJ578" s="160"/>
    </row>
    <row r="579" spans="1:36" x14ac:dyDescent="0.2">
      <c r="A579" s="159" t="s">
        <v>1416</v>
      </c>
      <c r="B579" s="160" t="s">
        <v>8</v>
      </c>
      <c r="C579" s="161" t="s">
        <v>216</v>
      </c>
      <c r="D579" s="161"/>
      <c r="E579" s="161"/>
      <c r="F579" s="162"/>
      <c r="G579" s="162"/>
      <c r="H579" s="162"/>
      <c r="I579" s="160" t="s">
        <v>1638</v>
      </c>
      <c r="J579" s="163">
        <v>2.2999999999999998</v>
      </c>
      <c r="K579" s="163"/>
      <c r="L579" s="163"/>
      <c r="M579" s="164">
        <v>17</v>
      </c>
      <c r="N579" s="164"/>
      <c r="O579" s="164"/>
      <c r="P579" s="159" t="s">
        <v>435</v>
      </c>
      <c r="Q579" s="159" t="s">
        <v>474</v>
      </c>
      <c r="R579" s="159" t="s">
        <v>1639</v>
      </c>
      <c r="S579" s="165">
        <v>1.85529906465959E-2</v>
      </c>
      <c r="T579" s="166" t="s">
        <v>382</v>
      </c>
      <c r="U579" s="166"/>
      <c r="V579" s="166"/>
      <c r="W579" s="167">
        <f>IF(BetTable[Sport]="","",BetTable[Stake]+BetTable[S2]+BetTable[S3])</f>
        <v>17</v>
      </c>
      <c r="X579" s="164">
        <f>IF(BetTable[Odds]="","",(BetTable[WBA1-Commission])-BetTable[TS])</f>
        <v>22.099999999999994</v>
      </c>
      <c r="Y579" s="168">
        <f>IF(BetTable[Outcome]="","",BetTable[WBA1]+BetTable[WBA2]+BetTable[WBA3]-BetTable[TS])</f>
        <v>-17</v>
      </c>
      <c r="Z579" s="164">
        <f>(((BetTable[Odds]-1)*BetTable[Stake])*(1-(BetTable[Comm %]))+BetTable[Stake])</f>
        <v>39.099999999999994</v>
      </c>
      <c r="AA579" s="164">
        <f>(((BetTable[O2]-1)*BetTable[S2])*(1-(BetTable[C% 2]))+BetTable[S2])</f>
        <v>0</v>
      </c>
      <c r="AB579" s="164">
        <f>(((BetTable[O3]-1)*BetTable[S3])*(1-(BetTable[C% 3]))+BetTable[S3])</f>
        <v>0</v>
      </c>
      <c r="AC579" s="165">
        <f>IFERROR(IF(BetTable[Sport]="","",BetTable[R1]/BetTable[TS]),"")</f>
        <v>1.2999999999999996</v>
      </c>
      <c r="AD579" s="165" t="str">
        <f>IF(BetTable[O2]="","",#REF!/BetTable[TS])</f>
        <v/>
      </c>
      <c r="AE579" s="165" t="str">
        <f>IFERROR(IF(BetTable[Sport]="","",#REF!/BetTable[TS]),"")</f>
        <v/>
      </c>
      <c r="AF579" s="164">
        <f>IF(BetTable[Outcome]="Win",BetTable[WBA1-Commission],IF(BetTable[Outcome]="Win Half Stake",(BetTable[Stake]/2)+BetTable[WBA1-Commission]/2,IF(BetTable[Outcome]="Lose Half Stake",BetTable[Stake]/2,IF(BetTable[Outcome]="Lose",0,IF(BetTable[Outcome]="Void",BetTable[Stake],)))))</f>
        <v>0</v>
      </c>
      <c r="AG579" s="164">
        <f>IF(BetTable[Outcome2]="Win",BetTable[WBA2-Commission],IF(BetTable[Outcome2]="Win Half Stake",(BetTable[S2]/2)+BetTable[WBA2-Commission]/2,IF(BetTable[Outcome2]="Lose Half Stake",BetTable[S2]/2,IF(BetTable[Outcome2]="Lose",0,IF(BetTable[Outcome2]="Void",BetTable[S2],)))))</f>
        <v>0</v>
      </c>
      <c r="AH579" s="164">
        <f>IF(BetTable[Outcome3]="Win",BetTable[WBA3-Commission],IF(BetTable[Outcome3]="Win Half Stake",(BetTable[S3]/2)+BetTable[WBA3-Commission]/2,IF(BetTable[Outcome3]="Lose Half Stake",BetTable[S3]/2,IF(BetTable[Outcome3]="Lose",0,IF(BetTable[Outcome3]="Void",BetTable[S3],)))))</f>
        <v>0</v>
      </c>
      <c r="AI579" s="168">
        <f>IF(BetTable[Outcome]="",AI578,BetTable[Result]+AI578)</f>
        <v>869.40625000000057</v>
      </c>
      <c r="AJ579" s="160"/>
    </row>
    <row r="580" spans="1:36" x14ac:dyDescent="0.2">
      <c r="A580" s="159" t="s">
        <v>1416</v>
      </c>
      <c r="B580" s="160" t="s">
        <v>200</v>
      </c>
      <c r="C580" s="161" t="s">
        <v>216</v>
      </c>
      <c r="D580" s="161"/>
      <c r="E580" s="161"/>
      <c r="F580" s="162"/>
      <c r="G580" s="162"/>
      <c r="H580" s="162"/>
      <c r="I580" s="160" t="s">
        <v>1640</v>
      </c>
      <c r="J580" s="163">
        <v>1.5129999999999999</v>
      </c>
      <c r="K580" s="163"/>
      <c r="L580" s="163"/>
      <c r="M580" s="164">
        <v>41</v>
      </c>
      <c r="N580" s="164"/>
      <c r="O580" s="164"/>
      <c r="P580" s="159" t="s">
        <v>1041</v>
      </c>
      <c r="Q580" s="159" t="s">
        <v>458</v>
      </c>
      <c r="R580" s="159" t="s">
        <v>1641</v>
      </c>
      <c r="S580" s="165">
        <v>1.7562096412176601E-2</v>
      </c>
      <c r="T580" s="166" t="s">
        <v>372</v>
      </c>
      <c r="U580" s="166"/>
      <c r="V580" s="166"/>
      <c r="W580" s="167">
        <f>IF(BetTable[Sport]="","",BetTable[Stake]+BetTable[S2]+BetTable[S3])</f>
        <v>41</v>
      </c>
      <c r="X580" s="164">
        <f>IF(BetTable[Odds]="","",(BetTable[WBA1-Commission])-BetTable[TS])</f>
        <v>21.032999999999994</v>
      </c>
      <c r="Y580" s="168">
        <f>IF(BetTable[Outcome]="","",BetTable[WBA1]+BetTable[WBA2]+BetTable[WBA3]-BetTable[TS])</f>
        <v>21.032999999999994</v>
      </c>
      <c r="Z580" s="164">
        <f>(((BetTable[Odds]-1)*BetTable[Stake])*(1-(BetTable[Comm %]))+BetTable[Stake])</f>
        <v>62.032999999999994</v>
      </c>
      <c r="AA580" s="164">
        <f>(((BetTable[O2]-1)*BetTable[S2])*(1-(BetTable[C% 2]))+BetTable[S2])</f>
        <v>0</v>
      </c>
      <c r="AB580" s="164">
        <f>(((BetTable[O3]-1)*BetTable[S3])*(1-(BetTable[C% 3]))+BetTable[S3])</f>
        <v>0</v>
      </c>
      <c r="AC580" s="165">
        <f>IFERROR(IF(BetTable[Sport]="","",BetTable[R1]/BetTable[TS]),"")</f>
        <v>0.5129999999999999</v>
      </c>
      <c r="AD580" s="165" t="str">
        <f>IF(BetTable[O2]="","",#REF!/BetTable[TS])</f>
        <v/>
      </c>
      <c r="AE580" s="165" t="str">
        <f>IFERROR(IF(BetTable[Sport]="","",#REF!/BetTable[TS]),"")</f>
        <v/>
      </c>
      <c r="AF580" s="164">
        <f>IF(BetTable[Outcome]="Win",BetTable[WBA1-Commission],IF(BetTable[Outcome]="Win Half Stake",(BetTable[Stake]/2)+BetTable[WBA1-Commission]/2,IF(BetTable[Outcome]="Lose Half Stake",BetTable[Stake]/2,IF(BetTable[Outcome]="Lose",0,IF(BetTable[Outcome]="Void",BetTable[Stake],)))))</f>
        <v>62.032999999999994</v>
      </c>
      <c r="AG580" s="164">
        <f>IF(BetTable[Outcome2]="Win",BetTable[WBA2-Commission],IF(BetTable[Outcome2]="Win Half Stake",(BetTable[S2]/2)+BetTable[WBA2-Commission]/2,IF(BetTable[Outcome2]="Lose Half Stake",BetTable[S2]/2,IF(BetTable[Outcome2]="Lose",0,IF(BetTable[Outcome2]="Void",BetTable[S2],)))))</f>
        <v>0</v>
      </c>
      <c r="AH580" s="164">
        <f>IF(BetTable[Outcome3]="Win",BetTable[WBA3-Commission],IF(BetTable[Outcome3]="Win Half Stake",(BetTable[S3]/2)+BetTable[WBA3-Commission]/2,IF(BetTable[Outcome3]="Lose Half Stake",BetTable[S3]/2,IF(BetTable[Outcome3]="Lose",0,IF(BetTable[Outcome3]="Void",BetTable[S3],)))))</f>
        <v>0</v>
      </c>
      <c r="AI580" s="168">
        <f>IF(BetTable[Outcome]="",AI579,BetTable[Result]+AI579)</f>
        <v>890.43925000000058</v>
      </c>
      <c r="AJ580" s="160"/>
    </row>
    <row r="581" spans="1:36" x14ac:dyDescent="0.2">
      <c r="A581" s="159" t="s">
        <v>1416</v>
      </c>
      <c r="B581" s="160" t="s">
        <v>7</v>
      </c>
      <c r="C581" s="161" t="s">
        <v>216</v>
      </c>
      <c r="D581" s="161"/>
      <c r="E581" s="161"/>
      <c r="F581" s="162"/>
      <c r="G581" s="162"/>
      <c r="H581" s="162"/>
      <c r="I581" s="160" t="s">
        <v>1642</v>
      </c>
      <c r="J581" s="163">
        <v>1.9710000000000001</v>
      </c>
      <c r="K581" s="163"/>
      <c r="L581" s="163"/>
      <c r="M581" s="164">
        <v>25</v>
      </c>
      <c r="N581" s="164"/>
      <c r="O581" s="164"/>
      <c r="P581" s="159" t="s">
        <v>1643</v>
      </c>
      <c r="Q581" s="159" t="s">
        <v>1590</v>
      </c>
      <c r="R581" s="159" t="s">
        <v>1644</v>
      </c>
      <c r="S581" s="165">
        <v>2.0451478341111402E-2</v>
      </c>
      <c r="T581" s="166" t="s">
        <v>382</v>
      </c>
      <c r="U581" s="166"/>
      <c r="V581" s="166"/>
      <c r="W581" s="167">
        <f>IF(BetTable[Sport]="","",BetTable[Stake]+BetTable[S2]+BetTable[S3])</f>
        <v>25</v>
      </c>
      <c r="X581" s="164">
        <f>IF(BetTable[Odds]="","",(BetTable[WBA1-Commission])-BetTable[TS])</f>
        <v>24.275000000000006</v>
      </c>
      <c r="Y581" s="168">
        <f>IF(BetTable[Outcome]="","",BetTable[WBA1]+BetTable[WBA2]+BetTable[WBA3]-BetTable[TS])</f>
        <v>-25</v>
      </c>
      <c r="Z581" s="164">
        <f>(((BetTable[Odds]-1)*BetTable[Stake])*(1-(BetTable[Comm %]))+BetTable[Stake])</f>
        <v>49.275000000000006</v>
      </c>
      <c r="AA581" s="164">
        <f>(((BetTable[O2]-1)*BetTable[S2])*(1-(BetTable[C% 2]))+BetTable[S2])</f>
        <v>0</v>
      </c>
      <c r="AB581" s="164">
        <f>(((BetTable[O3]-1)*BetTable[S3])*(1-(BetTable[C% 3]))+BetTable[S3])</f>
        <v>0</v>
      </c>
      <c r="AC581" s="165">
        <f>IFERROR(IF(BetTable[Sport]="","",BetTable[R1]/BetTable[TS]),"")</f>
        <v>0.9710000000000002</v>
      </c>
      <c r="AD581" s="165" t="str">
        <f>IF(BetTable[O2]="","",#REF!/BetTable[TS])</f>
        <v/>
      </c>
      <c r="AE581" s="165" t="str">
        <f>IFERROR(IF(BetTable[Sport]="","",#REF!/BetTable[TS]),"")</f>
        <v/>
      </c>
      <c r="AF581" s="164">
        <f>IF(BetTable[Outcome]="Win",BetTable[WBA1-Commission],IF(BetTable[Outcome]="Win Half Stake",(BetTable[Stake]/2)+BetTable[WBA1-Commission]/2,IF(BetTable[Outcome]="Lose Half Stake",BetTable[Stake]/2,IF(BetTable[Outcome]="Lose",0,IF(BetTable[Outcome]="Void",BetTable[Stake],)))))</f>
        <v>0</v>
      </c>
      <c r="AG581" s="164">
        <f>IF(BetTable[Outcome2]="Win",BetTable[WBA2-Commission],IF(BetTable[Outcome2]="Win Half Stake",(BetTable[S2]/2)+BetTable[WBA2-Commission]/2,IF(BetTable[Outcome2]="Lose Half Stake",BetTable[S2]/2,IF(BetTable[Outcome2]="Lose",0,IF(BetTable[Outcome2]="Void",BetTable[S2],)))))</f>
        <v>0</v>
      </c>
      <c r="AH581" s="164">
        <f>IF(BetTable[Outcome3]="Win",BetTable[WBA3-Commission],IF(BetTable[Outcome3]="Win Half Stake",(BetTable[S3]/2)+BetTable[WBA3-Commission]/2,IF(BetTable[Outcome3]="Lose Half Stake",BetTable[S3]/2,IF(BetTable[Outcome3]="Lose",0,IF(BetTable[Outcome3]="Void",BetTable[S3],)))))</f>
        <v>0</v>
      </c>
      <c r="AI581" s="168">
        <f>IF(BetTable[Outcome]="",AI580,BetTable[Result]+AI580)</f>
        <v>865.43925000000058</v>
      </c>
      <c r="AJ581" s="160"/>
    </row>
    <row r="582" spans="1:36" x14ac:dyDescent="0.2">
      <c r="A582" s="159" t="s">
        <v>1416</v>
      </c>
      <c r="B582" s="160" t="s">
        <v>7</v>
      </c>
      <c r="C582" s="161" t="s">
        <v>91</v>
      </c>
      <c r="D582" s="161"/>
      <c r="E582" s="161"/>
      <c r="F582" s="162"/>
      <c r="G582" s="162"/>
      <c r="H582" s="162"/>
      <c r="I582" s="160" t="s">
        <v>1645</v>
      </c>
      <c r="J582" s="163">
        <v>1.94</v>
      </c>
      <c r="K582" s="163"/>
      <c r="L582" s="163"/>
      <c r="M582" s="164">
        <v>47</v>
      </c>
      <c r="N582" s="164"/>
      <c r="O582" s="164"/>
      <c r="P582" s="159" t="s">
        <v>1646</v>
      </c>
      <c r="Q582" s="159" t="s">
        <v>1205</v>
      </c>
      <c r="R582" s="159" t="s">
        <v>1647</v>
      </c>
      <c r="S582" s="165">
        <v>3.6895219563263103E-2</v>
      </c>
      <c r="T582" s="166" t="s">
        <v>372</v>
      </c>
      <c r="U582" s="166"/>
      <c r="V582" s="166"/>
      <c r="W582" s="167">
        <f>IF(BetTable[Sport]="","",BetTable[Stake]+BetTable[S2]+BetTable[S3])</f>
        <v>47</v>
      </c>
      <c r="X582" s="164">
        <f>IF(BetTable[Odds]="","",(BetTable[WBA1-Commission])-BetTable[TS])</f>
        <v>44.180000000000007</v>
      </c>
      <c r="Y582" s="168">
        <f>IF(BetTable[Outcome]="","",BetTable[WBA1]+BetTable[WBA2]+BetTable[WBA3]-BetTable[TS])</f>
        <v>44.180000000000007</v>
      </c>
      <c r="Z582" s="164">
        <f>(((BetTable[Odds]-1)*BetTable[Stake])*(1-(BetTable[Comm %]))+BetTable[Stake])</f>
        <v>91.18</v>
      </c>
      <c r="AA582" s="164">
        <f>(((BetTable[O2]-1)*BetTable[S2])*(1-(BetTable[C% 2]))+BetTable[S2])</f>
        <v>0</v>
      </c>
      <c r="AB582" s="164">
        <f>(((BetTable[O3]-1)*BetTable[S3])*(1-(BetTable[C% 3]))+BetTable[S3])</f>
        <v>0</v>
      </c>
      <c r="AC582" s="165">
        <f>IFERROR(IF(BetTable[Sport]="","",BetTable[R1]/BetTable[TS]),"")</f>
        <v>0.94000000000000017</v>
      </c>
      <c r="AD582" s="165" t="str">
        <f>IF(BetTable[O2]="","",#REF!/BetTable[TS])</f>
        <v/>
      </c>
      <c r="AE582" s="165" t="str">
        <f>IFERROR(IF(BetTable[Sport]="","",#REF!/BetTable[TS]),"")</f>
        <v/>
      </c>
      <c r="AF582" s="164">
        <f>IF(BetTable[Outcome]="Win",BetTable[WBA1-Commission],IF(BetTable[Outcome]="Win Half Stake",(BetTable[Stake]/2)+BetTable[WBA1-Commission]/2,IF(BetTable[Outcome]="Lose Half Stake",BetTable[Stake]/2,IF(BetTable[Outcome]="Lose",0,IF(BetTable[Outcome]="Void",BetTable[Stake],)))))</f>
        <v>91.18</v>
      </c>
      <c r="AG582" s="164">
        <f>IF(BetTable[Outcome2]="Win",BetTable[WBA2-Commission],IF(BetTable[Outcome2]="Win Half Stake",(BetTable[S2]/2)+BetTable[WBA2-Commission]/2,IF(BetTable[Outcome2]="Lose Half Stake",BetTable[S2]/2,IF(BetTable[Outcome2]="Lose",0,IF(BetTable[Outcome2]="Void",BetTable[S2],)))))</f>
        <v>0</v>
      </c>
      <c r="AH582" s="164">
        <f>IF(BetTable[Outcome3]="Win",BetTable[WBA3-Commission],IF(BetTable[Outcome3]="Win Half Stake",(BetTable[S3]/2)+BetTable[WBA3-Commission]/2,IF(BetTable[Outcome3]="Lose Half Stake",BetTable[S3]/2,IF(BetTable[Outcome3]="Lose",0,IF(BetTable[Outcome3]="Void",BetTable[S3],)))))</f>
        <v>0</v>
      </c>
      <c r="AI582" s="168">
        <f>IF(BetTable[Outcome]="",AI581,BetTable[Result]+AI581)</f>
        <v>909.61925000000065</v>
      </c>
      <c r="AJ582" s="160"/>
    </row>
    <row r="583" spans="1:36" x14ac:dyDescent="0.2">
      <c r="A583" s="159" t="s">
        <v>1416</v>
      </c>
      <c r="B583" s="160" t="s">
        <v>200</v>
      </c>
      <c r="C583" s="161" t="s">
        <v>234</v>
      </c>
      <c r="D583" s="161"/>
      <c r="E583" s="161"/>
      <c r="F583" s="162"/>
      <c r="G583" s="162"/>
      <c r="H583" s="162"/>
      <c r="I583" s="160" t="s">
        <v>1412</v>
      </c>
      <c r="J583" s="163">
        <v>1.79</v>
      </c>
      <c r="K583" s="163"/>
      <c r="L583" s="163"/>
      <c r="M583" s="164">
        <v>22</v>
      </c>
      <c r="N583" s="164"/>
      <c r="O583" s="164"/>
      <c r="P583" s="159" t="s">
        <v>360</v>
      </c>
      <c r="Q583" s="159" t="s">
        <v>547</v>
      </c>
      <c r="R583" s="159" t="s">
        <v>1648</v>
      </c>
      <c r="S583" s="165">
        <v>1.42834803480481E-2</v>
      </c>
      <c r="T583" s="166" t="s">
        <v>382</v>
      </c>
      <c r="U583" s="166"/>
      <c r="V583" s="166"/>
      <c r="W583" s="167">
        <f>IF(BetTable[Sport]="","",BetTable[Stake]+BetTable[S2]+BetTable[S3])</f>
        <v>22</v>
      </c>
      <c r="X583" s="164">
        <f>IF(BetTable[Odds]="","",(BetTable[WBA1-Commission])-BetTable[TS])</f>
        <v>17.380000000000003</v>
      </c>
      <c r="Y583" s="168">
        <f>IF(BetTable[Outcome]="","",BetTable[WBA1]+BetTable[WBA2]+BetTable[WBA3]-BetTable[TS])</f>
        <v>-22</v>
      </c>
      <c r="Z583" s="164">
        <f>(((BetTable[Odds]-1)*BetTable[Stake])*(1-(BetTable[Comm %]))+BetTable[Stake])</f>
        <v>39.380000000000003</v>
      </c>
      <c r="AA583" s="164">
        <f>(((BetTable[O2]-1)*BetTable[S2])*(1-(BetTable[C% 2]))+BetTable[S2])</f>
        <v>0</v>
      </c>
      <c r="AB583" s="164">
        <f>(((BetTable[O3]-1)*BetTable[S3])*(1-(BetTable[C% 3]))+BetTable[S3])</f>
        <v>0</v>
      </c>
      <c r="AC583" s="165">
        <f>IFERROR(IF(BetTable[Sport]="","",BetTable[R1]/BetTable[TS]),"")</f>
        <v>0.79000000000000015</v>
      </c>
      <c r="AD583" s="165" t="str">
        <f>IF(BetTable[O2]="","",#REF!/BetTable[TS])</f>
        <v/>
      </c>
      <c r="AE583" s="165" t="str">
        <f>IFERROR(IF(BetTable[Sport]="","",#REF!/BetTable[TS]),"")</f>
        <v/>
      </c>
      <c r="AF583" s="164">
        <f>IF(BetTable[Outcome]="Win",BetTable[WBA1-Commission],IF(BetTable[Outcome]="Win Half Stake",(BetTable[Stake]/2)+BetTable[WBA1-Commission]/2,IF(BetTable[Outcome]="Lose Half Stake",BetTable[Stake]/2,IF(BetTable[Outcome]="Lose",0,IF(BetTable[Outcome]="Void",BetTable[Stake],)))))</f>
        <v>0</v>
      </c>
      <c r="AG583" s="164">
        <f>IF(BetTable[Outcome2]="Win",BetTable[WBA2-Commission],IF(BetTable[Outcome2]="Win Half Stake",(BetTable[S2]/2)+BetTable[WBA2-Commission]/2,IF(BetTable[Outcome2]="Lose Half Stake",BetTable[S2]/2,IF(BetTable[Outcome2]="Lose",0,IF(BetTable[Outcome2]="Void",BetTable[S2],)))))</f>
        <v>0</v>
      </c>
      <c r="AH583" s="164">
        <f>IF(BetTable[Outcome3]="Win",BetTable[WBA3-Commission],IF(BetTable[Outcome3]="Win Half Stake",(BetTable[S3]/2)+BetTable[WBA3-Commission]/2,IF(BetTable[Outcome3]="Lose Half Stake",BetTable[S3]/2,IF(BetTable[Outcome3]="Lose",0,IF(BetTable[Outcome3]="Void",BetTable[S3],)))))</f>
        <v>0</v>
      </c>
      <c r="AI583" s="168">
        <f>IF(BetTable[Outcome]="",AI582,BetTable[Result]+AI582)</f>
        <v>887.61925000000065</v>
      </c>
      <c r="AJ583" s="160"/>
    </row>
    <row r="584" spans="1:36" x14ac:dyDescent="0.2">
      <c r="A584" s="159" t="s">
        <v>1416</v>
      </c>
      <c r="B584" s="160" t="s">
        <v>175</v>
      </c>
      <c r="C584" s="161" t="s">
        <v>91</v>
      </c>
      <c r="D584" s="161"/>
      <c r="E584" s="161"/>
      <c r="F584" s="162"/>
      <c r="G584" s="162"/>
      <c r="H584" s="162"/>
      <c r="I584" s="160" t="s">
        <v>1649</v>
      </c>
      <c r="J584" s="163">
        <v>2.08</v>
      </c>
      <c r="K584" s="163"/>
      <c r="L584" s="163"/>
      <c r="M584" s="164">
        <v>39</v>
      </c>
      <c r="N584" s="164"/>
      <c r="O584" s="164"/>
      <c r="P584" s="159" t="s">
        <v>1650</v>
      </c>
      <c r="Q584" s="159" t="s">
        <v>569</v>
      </c>
      <c r="R584" s="159" t="s">
        <v>1651</v>
      </c>
      <c r="S584" s="165">
        <v>3.5501363576171202E-2</v>
      </c>
      <c r="T584" s="166" t="s">
        <v>382</v>
      </c>
      <c r="U584" s="166"/>
      <c r="V584" s="166"/>
      <c r="W584" s="167">
        <f>IF(BetTable[Sport]="","",BetTable[Stake]+BetTable[S2]+BetTable[S3])</f>
        <v>39</v>
      </c>
      <c r="X584" s="164">
        <f>IF(BetTable[Odds]="","",(BetTable[WBA1-Commission])-BetTable[TS])</f>
        <v>42.120000000000005</v>
      </c>
      <c r="Y584" s="168">
        <f>IF(BetTable[Outcome]="","",BetTable[WBA1]+BetTable[WBA2]+BetTable[WBA3]-BetTable[TS])</f>
        <v>-39</v>
      </c>
      <c r="Z584" s="164">
        <f>(((BetTable[Odds]-1)*BetTable[Stake])*(1-(BetTable[Comm %]))+BetTable[Stake])</f>
        <v>81.12</v>
      </c>
      <c r="AA584" s="164">
        <f>(((BetTable[O2]-1)*BetTable[S2])*(1-(BetTable[C% 2]))+BetTable[S2])</f>
        <v>0</v>
      </c>
      <c r="AB584" s="164">
        <f>(((BetTable[O3]-1)*BetTable[S3])*(1-(BetTable[C% 3]))+BetTable[S3])</f>
        <v>0</v>
      </c>
      <c r="AC584" s="165">
        <f>IFERROR(IF(BetTable[Sport]="","",BetTable[R1]/BetTable[TS]),"")</f>
        <v>1.08</v>
      </c>
      <c r="AD584" s="165" t="str">
        <f>IF(BetTable[O2]="","",#REF!/BetTable[TS])</f>
        <v/>
      </c>
      <c r="AE584" s="165" t="str">
        <f>IFERROR(IF(BetTable[Sport]="","",#REF!/BetTable[TS]),"")</f>
        <v/>
      </c>
      <c r="AF584" s="164">
        <f>IF(BetTable[Outcome]="Win",BetTable[WBA1-Commission],IF(BetTable[Outcome]="Win Half Stake",(BetTable[Stake]/2)+BetTable[WBA1-Commission]/2,IF(BetTable[Outcome]="Lose Half Stake",BetTable[Stake]/2,IF(BetTable[Outcome]="Lose",0,IF(BetTable[Outcome]="Void",BetTable[Stake],)))))</f>
        <v>0</v>
      </c>
      <c r="AG584" s="164">
        <f>IF(BetTable[Outcome2]="Win",BetTable[WBA2-Commission],IF(BetTable[Outcome2]="Win Half Stake",(BetTable[S2]/2)+BetTable[WBA2-Commission]/2,IF(BetTable[Outcome2]="Lose Half Stake",BetTable[S2]/2,IF(BetTable[Outcome2]="Lose",0,IF(BetTable[Outcome2]="Void",BetTable[S2],)))))</f>
        <v>0</v>
      </c>
      <c r="AH584" s="164">
        <f>IF(BetTable[Outcome3]="Win",BetTable[WBA3-Commission],IF(BetTable[Outcome3]="Win Half Stake",(BetTable[S3]/2)+BetTable[WBA3-Commission]/2,IF(BetTable[Outcome3]="Lose Half Stake",BetTable[S3]/2,IF(BetTable[Outcome3]="Lose",0,IF(BetTable[Outcome3]="Void",BetTable[S3],)))))</f>
        <v>0</v>
      </c>
      <c r="AI584" s="168">
        <f>IF(BetTable[Outcome]="",AI583,BetTable[Result]+AI583)</f>
        <v>848.61925000000065</v>
      </c>
      <c r="AJ584" s="160"/>
    </row>
    <row r="585" spans="1:36" x14ac:dyDescent="0.2">
      <c r="A585" s="159" t="s">
        <v>1690</v>
      </c>
      <c r="B585" s="160" t="s">
        <v>200</v>
      </c>
      <c r="C585" s="161" t="s">
        <v>91</v>
      </c>
      <c r="D585" s="161"/>
      <c r="E585" s="161"/>
      <c r="F585" s="162"/>
      <c r="G585" s="162"/>
      <c r="H585" s="162"/>
      <c r="I585" s="160" t="s">
        <v>1652</v>
      </c>
      <c r="J585" s="163">
        <v>1.75</v>
      </c>
      <c r="K585" s="163"/>
      <c r="L585" s="163"/>
      <c r="M585" s="164">
        <v>19</v>
      </c>
      <c r="N585" s="164"/>
      <c r="O585" s="164"/>
      <c r="P585" s="159" t="s">
        <v>368</v>
      </c>
      <c r="Q585" s="159" t="s">
        <v>488</v>
      </c>
      <c r="R585" s="159" t="s">
        <v>1653</v>
      </c>
      <c r="S585" s="165">
        <v>1.76230167839511E-2</v>
      </c>
      <c r="T585" s="166" t="s">
        <v>372</v>
      </c>
      <c r="U585" s="166"/>
      <c r="V585" s="166"/>
      <c r="W585" s="167">
        <f>IF(BetTable[Sport]="","",BetTable[Stake]+BetTable[S2]+BetTable[S3])</f>
        <v>19</v>
      </c>
      <c r="X585" s="164">
        <f>IF(BetTable[Odds]="","",(BetTable[WBA1-Commission])-BetTable[TS])</f>
        <v>14.25</v>
      </c>
      <c r="Y585" s="168">
        <f>IF(BetTable[Outcome]="","",BetTable[WBA1]+BetTable[WBA2]+BetTable[WBA3]-BetTable[TS])</f>
        <v>14.25</v>
      </c>
      <c r="Z585" s="164">
        <f>(((BetTable[Odds]-1)*BetTable[Stake])*(1-(BetTable[Comm %]))+BetTable[Stake])</f>
        <v>33.25</v>
      </c>
      <c r="AA585" s="164">
        <f>(((BetTable[O2]-1)*BetTable[S2])*(1-(BetTable[C% 2]))+BetTable[S2])</f>
        <v>0</v>
      </c>
      <c r="AB585" s="164">
        <f>(((BetTable[O3]-1)*BetTable[S3])*(1-(BetTable[C% 3]))+BetTable[S3])</f>
        <v>0</v>
      </c>
      <c r="AC585" s="165">
        <f>IFERROR(IF(BetTable[Sport]="","",BetTable[R1]/BetTable[TS]),"")</f>
        <v>0.75</v>
      </c>
      <c r="AD585" s="165" t="str">
        <f>IF(BetTable[O2]="","",#REF!/BetTable[TS])</f>
        <v/>
      </c>
      <c r="AE585" s="165" t="str">
        <f>IFERROR(IF(BetTable[Sport]="","",#REF!/BetTable[TS]),"")</f>
        <v/>
      </c>
      <c r="AF585" s="164">
        <f>IF(BetTable[Outcome]="Win",BetTable[WBA1-Commission],IF(BetTable[Outcome]="Win Half Stake",(BetTable[Stake]/2)+BetTable[WBA1-Commission]/2,IF(BetTable[Outcome]="Lose Half Stake",BetTable[Stake]/2,IF(BetTable[Outcome]="Lose",0,IF(BetTable[Outcome]="Void",BetTable[Stake],)))))</f>
        <v>33.25</v>
      </c>
      <c r="AG585" s="164">
        <f>IF(BetTable[Outcome2]="Win",BetTable[WBA2-Commission],IF(BetTable[Outcome2]="Win Half Stake",(BetTable[S2]/2)+BetTable[WBA2-Commission]/2,IF(BetTable[Outcome2]="Lose Half Stake",BetTable[S2]/2,IF(BetTable[Outcome2]="Lose",0,IF(BetTable[Outcome2]="Void",BetTable[S2],)))))</f>
        <v>0</v>
      </c>
      <c r="AH585" s="164">
        <f>IF(BetTable[Outcome3]="Win",BetTable[WBA3-Commission],IF(BetTable[Outcome3]="Win Half Stake",(BetTable[S3]/2)+BetTable[WBA3-Commission]/2,IF(BetTable[Outcome3]="Lose Half Stake",BetTable[S3]/2,IF(BetTable[Outcome3]="Lose",0,IF(BetTable[Outcome3]="Void",BetTable[S3],)))))</f>
        <v>0</v>
      </c>
      <c r="AI585" s="168">
        <f>IF(BetTable[Outcome]="",AI584,BetTable[Result]+AI584)</f>
        <v>862.86925000000065</v>
      </c>
      <c r="AJ585" s="160"/>
    </row>
    <row r="586" spans="1:36" x14ac:dyDescent="0.2">
      <c r="A586" s="159" t="s">
        <v>1416</v>
      </c>
      <c r="B586" s="160" t="s">
        <v>200</v>
      </c>
      <c r="C586" s="161" t="s">
        <v>234</v>
      </c>
      <c r="D586" s="161"/>
      <c r="E586" s="161"/>
      <c r="F586" s="162"/>
      <c r="G586" s="162"/>
      <c r="H586" s="162"/>
      <c r="I586" s="160" t="s">
        <v>1596</v>
      </c>
      <c r="J586" s="163">
        <v>1.96</v>
      </c>
      <c r="K586" s="163"/>
      <c r="L586" s="163"/>
      <c r="M586" s="164">
        <v>24</v>
      </c>
      <c r="N586" s="164"/>
      <c r="O586" s="164"/>
      <c r="P586" s="159" t="s">
        <v>1654</v>
      </c>
      <c r="Q586" s="159" t="s">
        <v>547</v>
      </c>
      <c r="R586" s="159" t="s">
        <v>1655</v>
      </c>
      <c r="S586" s="165">
        <v>1.93176588263776E-2</v>
      </c>
      <c r="T586" s="166" t="s">
        <v>510</v>
      </c>
      <c r="U586" s="166"/>
      <c r="V586" s="166"/>
      <c r="W586" s="167">
        <f>IF(BetTable[Sport]="","",BetTable[Stake]+BetTable[S2]+BetTable[S3])</f>
        <v>24</v>
      </c>
      <c r="X586" s="164">
        <f>IF(BetTable[Odds]="","",(BetTable[WBA1-Commission])-BetTable[TS])</f>
        <v>23.04</v>
      </c>
      <c r="Y586" s="168">
        <f>IF(BetTable[Outcome]="","",BetTable[WBA1]+BetTable[WBA2]+BetTable[WBA3]-BetTable[TS])</f>
        <v>11.519999999999996</v>
      </c>
      <c r="Z586" s="164">
        <f>(((BetTable[Odds]-1)*BetTable[Stake])*(1-(BetTable[Comm %]))+BetTable[Stake])</f>
        <v>47.04</v>
      </c>
      <c r="AA586" s="164">
        <f>(((BetTable[O2]-1)*BetTable[S2])*(1-(BetTable[C% 2]))+BetTable[S2])</f>
        <v>0</v>
      </c>
      <c r="AB586" s="164">
        <f>(((BetTable[O3]-1)*BetTable[S3])*(1-(BetTable[C% 3]))+BetTable[S3])</f>
        <v>0</v>
      </c>
      <c r="AC586" s="165">
        <f>IFERROR(IF(BetTable[Sport]="","",BetTable[R1]/BetTable[TS]),"")</f>
        <v>0.96</v>
      </c>
      <c r="AD586" s="165" t="str">
        <f>IF(BetTable[O2]="","",#REF!/BetTable[TS])</f>
        <v/>
      </c>
      <c r="AE586" s="165" t="str">
        <f>IFERROR(IF(BetTable[Sport]="","",#REF!/BetTable[TS]),"")</f>
        <v/>
      </c>
      <c r="AF586" s="164">
        <f>IF(BetTable[Outcome]="Win",BetTable[WBA1-Commission],IF(BetTable[Outcome]="Win Half Stake",(BetTable[Stake]/2)+BetTable[WBA1-Commission]/2,IF(BetTable[Outcome]="Lose Half Stake",BetTable[Stake]/2,IF(BetTable[Outcome]="Lose",0,IF(BetTable[Outcome]="Void",BetTable[Stake],)))))</f>
        <v>35.519999999999996</v>
      </c>
      <c r="AG586" s="164">
        <f>IF(BetTable[Outcome2]="Win",BetTable[WBA2-Commission],IF(BetTable[Outcome2]="Win Half Stake",(BetTable[S2]/2)+BetTable[WBA2-Commission]/2,IF(BetTable[Outcome2]="Lose Half Stake",BetTable[S2]/2,IF(BetTable[Outcome2]="Lose",0,IF(BetTable[Outcome2]="Void",BetTable[S2],)))))</f>
        <v>0</v>
      </c>
      <c r="AH586" s="164">
        <f>IF(BetTable[Outcome3]="Win",BetTable[WBA3-Commission],IF(BetTable[Outcome3]="Win Half Stake",(BetTable[S3]/2)+BetTable[WBA3-Commission]/2,IF(BetTable[Outcome3]="Lose Half Stake",BetTable[S3]/2,IF(BetTable[Outcome3]="Lose",0,IF(BetTable[Outcome3]="Void",BetTable[S3],)))))</f>
        <v>0</v>
      </c>
      <c r="AI586" s="168">
        <f>IF(BetTable[Outcome]="",AI585,BetTable[Result]+AI585)</f>
        <v>874.38925000000063</v>
      </c>
      <c r="AJ586" s="160"/>
    </row>
    <row r="587" spans="1:36" x14ac:dyDescent="0.2">
      <c r="A587" s="159" t="s">
        <v>1416</v>
      </c>
      <c r="B587" s="160" t="s">
        <v>8</v>
      </c>
      <c r="C587" s="161" t="s">
        <v>234</v>
      </c>
      <c r="D587" s="161"/>
      <c r="E587" s="161"/>
      <c r="F587" s="162"/>
      <c r="G587" s="162"/>
      <c r="H587" s="162"/>
      <c r="I587" s="160" t="s">
        <v>1656</v>
      </c>
      <c r="J587" s="163">
        <v>1.78</v>
      </c>
      <c r="K587" s="163"/>
      <c r="L587" s="163"/>
      <c r="M587" s="164">
        <v>26</v>
      </c>
      <c r="N587" s="164"/>
      <c r="O587" s="164"/>
      <c r="P587" s="159" t="s">
        <v>435</v>
      </c>
      <c r="Q587" s="159" t="s">
        <v>1657</v>
      </c>
      <c r="R587" s="159" t="s">
        <v>1658</v>
      </c>
      <c r="S587" s="165">
        <v>1.6961846010150199E-2</v>
      </c>
      <c r="T587" s="166" t="s">
        <v>382</v>
      </c>
      <c r="U587" s="166"/>
      <c r="V587" s="166"/>
      <c r="W587" s="167">
        <f>IF(BetTable[Sport]="","",BetTable[Stake]+BetTable[S2]+BetTable[S3])</f>
        <v>26</v>
      </c>
      <c r="X587" s="164">
        <f>IF(BetTable[Odds]="","",(BetTable[WBA1-Commission])-BetTable[TS])</f>
        <v>20.28</v>
      </c>
      <c r="Y587" s="168">
        <f>IF(BetTable[Outcome]="","",BetTable[WBA1]+BetTable[WBA2]+BetTable[WBA3]-BetTable[TS])</f>
        <v>-26</v>
      </c>
      <c r="Z587" s="164">
        <f>(((BetTable[Odds]-1)*BetTable[Stake])*(1-(BetTable[Comm %]))+BetTable[Stake])</f>
        <v>46.28</v>
      </c>
      <c r="AA587" s="164">
        <f>(((BetTable[O2]-1)*BetTable[S2])*(1-(BetTable[C% 2]))+BetTable[S2])</f>
        <v>0</v>
      </c>
      <c r="AB587" s="164">
        <f>(((BetTable[O3]-1)*BetTable[S3])*(1-(BetTable[C% 3]))+BetTable[S3])</f>
        <v>0</v>
      </c>
      <c r="AC587" s="165">
        <f>IFERROR(IF(BetTable[Sport]="","",BetTable[R1]/BetTable[TS]),"")</f>
        <v>0.78</v>
      </c>
      <c r="AD587" s="165" t="str">
        <f>IF(BetTable[O2]="","",#REF!/BetTable[TS])</f>
        <v/>
      </c>
      <c r="AE587" s="165" t="str">
        <f>IFERROR(IF(BetTable[Sport]="","",#REF!/BetTable[TS]),"")</f>
        <v/>
      </c>
      <c r="AF587" s="164">
        <f>IF(BetTable[Outcome]="Win",BetTable[WBA1-Commission],IF(BetTable[Outcome]="Win Half Stake",(BetTable[Stake]/2)+BetTable[WBA1-Commission]/2,IF(BetTable[Outcome]="Lose Half Stake",BetTable[Stake]/2,IF(BetTable[Outcome]="Lose",0,IF(BetTable[Outcome]="Void",BetTable[Stake],)))))</f>
        <v>0</v>
      </c>
      <c r="AG587" s="164">
        <f>IF(BetTable[Outcome2]="Win",BetTable[WBA2-Commission],IF(BetTable[Outcome2]="Win Half Stake",(BetTable[S2]/2)+BetTable[WBA2-Commission]/2,IF(BetTable[Outcome2]="Lose Half Stake",BetTable[S2]/2,IF(BetTable[Outcome2]="Lose",0,IF(BetTable[Outcome2]="Void",BetTable[S2],)))))</f>
        <v>0</v>
      </c>
      <c r="AH587" s="164">
        <f>IF(BetTable[Outcome3]="Win",BetTable[WBA3-Commission],IF(BetTable[Outcome3]="Win Half Stake",(BetTable[S3]/2)+BetTable[WBA3-Commission]/2,IF(BetTable[Outcome3]="Lose Half Stake",BetTable[S3]/2,IF(BetTable[Outcome3]="Lose",0,IF(BetTable[Outcome3]="Void",BetTable[S3],)))))</f>
        <v>0</v>
      </c>
      <c r="AI587" s="168">
        <f>IF(BetTable[Outcome]="",AI586,BetTable[Result]+AI586)</f>
        <v>848.38925000000063</v>
      </c>
      <c r="AJ587" s="160"/>
    </row>
    <row r="588" spans="1:36" x14ac:dyDescent="0.2">
      <c r="A588" s="159" t="s">
        <v>1416</v>
      </c>
      <c r="B588" s="160" t="s">
        <v>7</v>
      </c>
      <c r="C588" s="161" t="s">
        <v>91</v>
      </c>
      <c r="D588" s="161"/>
      <c r="E588" s="161"/>
      <c r="F588" s="162"/>
      <c r="G588" s="162"/>
      <c r="H588" s="162"/>
      <c r="I588" s="160" t="s">
        <v>1576</v>
      </c>
      <c r="J588" s="163">
        <v>2.0299999999999998</v>
      </c>
      <c r="K588" s="163"/>
      <c r="L588" s="163"/>
      <c r="M588" s="164">
        <v>33</v>
      </c>
      <c r="N588" s="164"/>
      <c r="O588" s="164"/>
      <c r="P588" s="159" t="s">
        <v>1506</v>
      </c>
      <c r="Q588" s="159" t="s">
        <v>1291</v>
      </c>
      <c r="R588" s="159" t="s">
        <v>1659</v>
      </c>
      <c r="S588" s="165">
        <v>2.8177358372388401E-2</v>
      </c>
      <c r="T588" s="166" t="s">
        <v>372</v>
      </c>
      <c r="U588" s="166"/>
      <c r="V588" s="166"/>
      <c r="W588" s="167">
        <f>IF(BetTable[Sport]="","",BetTable[Stake]+BetTable[S2]+BetTable[S3])</f>
        <v>33</v>
      </c>
      <c r="X588" s="164">
        <f>IF(BetTable[Odds]="","",(BetTable[WBA1-Commission])-BetTable[TS])</f>
        <v>33.989999999999995</v>
      </c>
      <c r="Y588" s="168">
        <f>IF(BetTable[Outcome]="","",BetTable[WBA1]+BetTable[WBA2]+BetTable[WBA3]-BetTable[TS])</f>
        <v>33.989999999999995</v>
      </c>
      <c r="Z588" s="164">
        <f>(((BetTable[Odds]-1)*BetTable[Stake])*(1-(BetTable[Comm %]))+BetTable[Stake])</f>
        <v>66.989999999999995</v>
      </c>
      <c r="AA588" s="164">
        <f>(((BetTable[O2]-1)*BetTable[S2])*(1-(BetTable[C% 2]))+BetTable[S2])</f>
        <v>0</v>
      </c>
      <c r="AB588" s="164">
        <f>(((BetTable[O3]-1)*BetTable[S3])*(1-(BetTable[C% 3]))+BetTable[S3])</f>
        <v>0</v>
      </c>
      <c r="AC588" s="165">
        <f>IFERROR(IF(BetTable[Sport]="","",BetTable[R1]/BetTable[TS]),"")</f>
        <v>1.0299999999999998</v>
      </c>
      <c r="AD588" s="165" t="str">
        <f>IF(BetTable[O2]="","",#REF!/BetTable[TS])</f>
        <v/>
      </c>
      <c r="AE588" s="165" t="str">
        <f>IFERROR(IF(BetTable[Sport]="","",#REF!/BetTable[TS]),"")</f>
        <v/>
      </c>
      <c r="AF588" s="164">
        <f>IF(BetTable[Outcome]="Win",BetTable[WBA1-Commission],IF(BetTable[Outcome]="Win Half Stake",(BetTable[Stake]/2)+BetTable[WBA1-Commission]/2,IF(BetTable[Outcome]="Lose Half Stake",BetTable[Stake]/2,IF(BetTable[Outcome]="Lose",0,IF(BetTable[Outcome]="Void",BetTable[Stake],)))))</f>
        <v>66.989999999999995</v>
      </c>
      <c r="AG588" s="164">
        <f>IF(BetTable[Outcome2]="Win",BetTable[WBA2-Commission],IF(BetTable[Outcome2]="Win Half Stake",(BetTable[S2]/2)+BetTable[WBA2-Commission]/2,IF(BetTable[Outcome2]="Lose Half Stake",BetTable[S2]/2,IF(BetTable[Outcome2]="Lose",0,IF(BetTable[Outcome2]="Void",BetTable[S2],)))))</f>
        <v>0</v>
      </c>
      <c r="AH588" s="164">
        <f>IF(BetTable[Outcome3]="Win",BetTable[WBA3-Commission],IF(BetTable[Outcome3]="Win Half Stake",(BetTable[S3]/2)+BetTable[WBA3-Commission]/2,IF(BetTable[Outcome3]="Lose Half Stake",BetTable[S3]/2,IF(BetTable[Outcome3]="Lose",0,IF(BetTable[Outcome3]="Void",BetTable[S3],)))))</f>
        <v>0</v>
      </c>
      <c r="AI588" s="168">
        <f>IF(BetTable[Outcome]="",AI587,BetTable[Result]+AI587)</f>
        <v>882.37925000000064</v>
      </c>
      <c r="AJ588" s="160"/>
    </row>
    <row r="589" spans="1:36" x14ac:dyDescent="0.2">
      <c r="A589" s="159" t="s">
        <v>1416</v>
      </c>
      <c r="B589" s="160" t="s">
        <v>7</v>
      </c>
      <c r="C589" s="161" t="s">
        <v>91</v>
      </c>
      <c r="D589" s="161"/>
      <c r="E589" s="161"/>
      <c r="F589" s="162"/>
      <c r="G589" s="162"/>
      <c r="H589" s="162"/>
      <c r="I589" s="160" t="s">
        <v>1660</v>
      </c>
      <c r="J589" s="163">
        <v>2.02</v>
      </c>
      <c r="K589" s="163"/>
      <c r="L589" s="163"/>
      <c r="M589" s="164">
        <v>22</v>
      </c>
      <c r="N589" s="164"/>
      <c r="O589" s="164"/>
      <c r="P589" s="159" t="s">
        <v>1406</v>
      </c>
      <c r="Q589" s="159" t="s">
        <v>1291</v>
      </c>
      <c r="R589" s="159" t="s">
        <v>1661</v>
      </c>
      <c r="S589" s="165">
        <v>1.8742074170445301E-2</v>
      </c>
      <c r="T589" s="166" t="s">
        <v>372</v>
      </c>
      <c r="U589" s="166"/>
      <c r="V589" s="166"/>
      <c r="W589" s="167">
        <f>IF(BetTable[Sport]="","",BetTable[Stake]+BetTable[S2]+BetTable[S3])</f>
        <v>22</v>
      </c>
      <c r="X589" s="164">
        <f>IF(BetTable[Odds]="","",(BetTable[WBA1-Commission])-BetTable[TS])</f>
        <v>22.439999999999998</v>
      </c>
      <c r="Y589" s="168">
        <f>IF(BetTable[Outcome]="","",BetTable[WBA1]+BetTable[WBA2]+BetTable[WBA3]-BetTable[TS])</f>
        <v>22.439999999999998</v>
      </c>
      <c r="Z589" s="164">
        <f>(((BetTable[Odds]-1)*BetTable[Stake])*(1-(BetTable[Comm %]))+BetTable[Stake])</f>
        <v>44.44</v>
      </c>
      <c r="AA589" s="164">
        <f>(((BetTable[O2]-1)*BetTable[S2])*(1-(BetTable[C% 2]))+BetTable[S2])</f>
        <v>0</v>
      </c>
      <c r="AB589" s="164">
        <f>(((BetTable[O3]-1)*BetTable[S3])*(1-(BetTable[C% 3]))+BetTable[S3])</f>
        <v>0</v>
      </c>
      <c r="AC589" s="165">
        <f>IFERROR(IF(BetTable[Sport]="","",BetTable[R1]/BetTable[TS]),"")</f>
        <v>1.0199999999999998</v>
      </c>
      <c r="AD589" s="165" t="str">
        <f>IF(BetTable[O2]="","",#REF!/BetTable[TS])</f>
        <v/>
      </c>
      <c r="AE589" s="165" t="str">
        <f>IFERROR(IF(BetTable[Sport]="","",#REF!/BetTable[TS]),"")</f>
        <v/>
      </c>
      <c r="AF589" s="164">
        <f>IF(BetTable[Outcome]="Win",BetTable[WBA1-Commission],IF(BetTable[Outcome]="Win Half Stake",(BetTable[Stake]/2)+BetTable[WBA1-Commission]/2,IF(BetTable[Outcome]="Lose Half Stake",BetTable[Stake]/2,IF(BetTable[Outcome]="Lose",0,IF(BetTable[Outcome]="Void",BetTable[Stake],)))))</f>
        <v>44.44</v>
      </c>
      <c r="AG589" s="164">
        <f>IF(BetTable[Outcome2]="Win",BetTable[WBA2-Commission],IF(BetTable[Outcome2]="Win Half Stake",(BetTable[S2]/2)+BetTable[WBA2-Commission]/2,IF(BetTable[Outcome2]="Lose Half Stake",BetTable[S2]/2,IF(BetTable[Outcome2]="Lose",0,IF(BetTable[Outcome2]="Void",BetTable[S2],)))))</f>
        <v>0</v>
      </c>
      <c r="AH589" s="164">
        <f>IF(BetTable[Outcome3]="Win",BetTable[WBA3-Commission],IF(BetTable[Outcome3]="Win Half Stake",(BetTable[S3]/2)+BetTable[WBA3-Commission]/2,IF(BetTable[Outcome3]="Lose Half Stake",BetTable[S3]/2,IF(BetTable[Outcome3]="Lose",0,IF(BetTable[Outcome3]="Void",BetTable[S3],)))))</f>
        <v>0</v>
      </c>
      <c r="AI589" s="168">
        <f>IF(BetTable[Outcome]="",AI588,BetTable[Result]+AI588)</f>
        <v>904.81925000000069</v>
      </c>
      <c r="AJ589" s="160"/>
    </row>
    <row r="590" spans="1:36" x14ac:dyDescent="0.2">
      <c r="A590" s="159" t="s">
        <v>1416</v>
      </c>
      <c r="B590" s="160" t="s">
        <v>200</v>
      </c>
      <c r="C590" s="161" t="s">
        <v>91</v>
      </c>
      <c r="D590" s="161"/>
      <c r="E590" s="161"/>
      <c r="F590" s="162"/>
      <c r="G590" s="162"/>
      <c r="H590" s="162"/>
      <c r="I590" s="160" t="s">
        <v>1662</v>
      </c>
      <c r="J590" s="163">
        <v>2.67</v>
      </c>
      <c r="K590" s="163"/>
      <c r="L590" s="163"/>
      <c r="M590" s="164">
        <v>17</v>
      </c>
      <c r="N590" s="164"/>
      <c r="O590" s="164"/>
      <c r="P590" s="159" t="s">
        <v>435</v>
      </c>
      <c r="Q590" s="159" t="s">
        <v>581</v>
      </c>
      <c r="R590" s="159" t="s">
        <v>1663</v>
      </c>
      <c r="S590" s="165">
        <v>2.4326155327687199E-2</v>
      </c>
      <c r="T590" s="166" t="s">
        <v>382</v>
      </c>
      <c r="U590" s="166"/>
      <c r="V590" s="166"/>
      <c r="W590" s="167">
        <f>IF(BetTable[Sport]="","",BetTable[Stake]+BetTable[S2]+BetTable[S3])</f>
        <v>17</v>
      </c>
      <c r="X590" s="164">
        <f>IF(BetTable[Odds]="","",(BetTable[WBA1-Commission])-BetTable[TS])</f>
        <v>28.39</v>
      </c>
      <c r="Y590" s="168">
        <f>IF(BetTable[Outcome]="","",BetTable[WBA1]+BetTable[WBA2]+BetTable[WBA3]-BetTable[TS])</f>
        <v>-17</v>
      </c>
      <c r="Z590" s="164">
        <f>(((BetTable[Odds]-1)*BetTable[Stake])*(1-(BetTable[Comm %]))+BetTable[Stake])</f>
        <v>45.39</v>
      </c>
      <c r="AA590" s="164">
        <f>(((BetTable[O2]-1)*BetTable[S2])*(1-(BetTable[C% 2]))+BetTable[S2])</f>
        <v>0</v>
      </c>
      <c r="AB590" s="164">
        <f>(((BetTable[O3]-1)*BetTable[S3])*(1-(BetTable[C% 3]))+BetTable[S3])</f>
        <v>0</v>
      </c>
      <c r="AC590" s="165">
        <f>IFERROR(IF(BetTable[Sport]="","",BetTable[R1]/BetTable[TS]),"")</f>
        <v>1.67</v>
      </c>
      <c r="AD590" s="165" t="str">
        <f>IF(BetTable[O2]="","",#REF!/BetTable[TS])</f>
        <v/>
      </c>
      <c r="AE590" s="165" t="str">
        <f>IFERROR(IF(BetTable[Sport]="","",#REF!/BetTable[TS]),"")</f>
        <v/>
      </c>
      <c r="AF590" s="164">
        <f>IF(BetTable[Outcome]="Win",BetTable[WBA1-Commission],IF(BetTable[Outcome]="Win Half Stake",(BetTable[Stake]/2)+BetTable[WBA1-Commission]/2,IF(BetTable[Outcome]="Lose Half Stake",BetTable[Stake]/2,IF(BetTable[Outcome]="Lose",0,IF(BetTable[Outcome]="Void",BetTable[Stake],)))))</f>
        <v>0</v>
      </c>
      <c r="AG590" s="164">
        <f>IF(BetTable[Outcome2]="Win",BetTable[WBA2-Commission],IF(BetTable[Outcome2]="Win Half Stake",(BetTable[S2]/2)+BetTable[WBA2-Commission]/2,IF(BetTable[Outcome2]="Lose Half Stake",BetTable[S2]/2,IF(BetTable[Outcome2]="Lose",0,IF(BetTable[Outcome2]="Void",BetTable[S2],)))))</f>
        <v>0</v>
      </c>
      <c r="AH590" s="164">
        <f>IF(BetTable[Outcome3]="Win",BetTable[WBA3-Commission],IF(BetTable[Outcome3]="Win Half Stake",(BetTable[S3]/2)+BetTable[WBA3-Commission]/2,IF(BetTable[Outcome3]="Lose Half Stake",BetTable[S3]/2,IF(BetTable[Outcome3]="Lose",0,IF(BetTable[Outcome3]="Void",BetTable[S3],)))))</f>
        <v>0</v>
      </c>
      <c r="AI590" s="168">
        <f>IF(BetTable[Outcome]="",AI589,BetTable[Result]+AI589)</f>
        <v>887.81925000000069</v>
      </c>
      <c r="AJ590" s="160"/>
    </row>
    <row r="591" spans="1:36" x14ac:dyDescent="0.2">
      <c r="A591" s="159" t="s">
        <v>1690</v>
      </c>
      <c r="B591" s="160" t="s">
        <v>7</v>
      </c>
      <c r="C591" s="161" t="s">
        <v>91</v>
      </c>
      <c r="D591" s="161"/>
      <c r="E591" s="161"/>
      <c r="F591" s="162"/>
      <c r="G591" s="162"/>
      <c r="H591" s="162"/>
      <c r="I591" s="160" t="s">
        <v>1664</v>
      </c>
      <c r="J591" s="163">
        <v>1.8</v>
      </c>
      <c r="K591" s="163"/>
      <c r="L591" s="163"/>
      <c r="M591" s="164">
        <v>30</v>
      </c>
      <c r="N591" s="164"/>
      <c r="O591" s="164"/>
      <c r="P591" s="159" t="s">
        <v>1524</v>
      </c>
      <c r="Q591" s="159" t="s">
        <v>470</v>
      </c>
      <c r="R591" s="159" t="s">
        <v>1665</v>
      </c>
      <c r="S591" s="165">
        <v>2.01900300515497E-2</v>
      </c>
      <c r="T591" s="166" t="s">
        <v>372</v>
      </c>
      <c r="U591" s="166"/>
      <c r="V591" s="166"/>
      <c r="W591" s="167">
        <f>IF(BetTable[Sport]="","",BetTable[Stake]+BetTable[S2]+BetTable[S3])</f>
        <v>30</v>
      </c>
      <c r="X591" s="164">
        <f>IF(BetTable[Odds]="","",(BetTable[WBA1-Commission])-BetTable[TS])</f>
        <v>24</v>
      </c>
      <c r="Y591" s="168">
        <f>IF(BetTable[Outcome]="","",BetTable[WBA1]+BetTable[WBA2]+BetTable[WBA3]-BetTable[TS])</f>
        <v>24</v>
      </c>
      <c r="Z591" s="164">
        <f>(((BetTable[Odds]-1)*BetTable[Stake])*(1-(BetTable[Comm %]))+BetTable[Stake])</f>
        <v>54</v>
      </c>
      <c r="AA591" s="164">
        <f>(((BetTable[O2]-1)*BetTable[S2])*(1-(BetTable[C% 2]))+BetTable[S2])</f>
        <v>0</v>
      </c>
      <c r="AB591" s="164">
        <f>(((BetTable[O3]-1)*BetTable[S3])*(1-(BetTable[C% 3]))+BetTable[S3])</f>
        <v>0</v>
      </c>
      <c r="AC591" s="165">
        <f>IFERROR(IF(BetTable[Sport]="","",BetTable[R1]/BetTable[TS]),"")</f>
        <v>0.8</v>
      </c>
      <c r="AD591" s="165" t="str">
        <f>IF(BetTable[O2]="","",#REF!/BetTable[TS])</f>
        <v/>
      </c>
      <c r="AE591" s="165" t="str">
        <f>IFERROR(IF(BetTable[Sport]="","",#REF!/BetTable[TS]),"")</f>
        <v/>
      </c>
      <c r="AF591" s="164">
        <f>IF(BetTable[Outcome]="Win",BetTable[WBA1-Commission],IF(BetTable[Outcome]="Win Half Stake",(BetTable[Stake]/2)+BetTable[WBA1-Commission]/2,IF(BetTable[Outcome]="Lose Half Stake",BetTable[Stake]/2,IF(BetTable[Outcome]="Lose",0,IF(BetTable[Outcome]="Void",BetTable[Stake],)))))</f>
        <v>54</v>
      </c>
      <c r="AG591" s="164">
        <f>IF(BetTable[Outcome2]="Win",BetTable[WBA2-Commission],IF(BetTable[Outcome2]="Win Half Stake",(BetTable[S2]/2)+BetTable[WBA2-Commission]/2,IF(BetTable[Outcome2]="Lose Half Stake",BetTable[S2]/2,IF(BetTable[Outcome2]="Lose",0,IF(BetTable[Outcome2]="Void",BetTable[S2],)))))</f>
        <v>0</v>
      </c>
      <c r="AH591" s="164">
        <f>IF(BetTable[Outcome3]="Win",BetTable[WBA3-Commission],IF(BetTable[Outcome3]="Win Half Stake",(BetTable[S3]/2)+BetTable[WBA3-Commission]/2,IF(BetTable[Outcome3]="Lose Half Stake",BetTable[S3]/2,IF(BetTable[Outcome3]="Lose",0,IF(BetTable[Outcome3]="Void",BetTable[S3],)))))</f>
        <v>0</v>
      </c>
      <c r="AI591" s="168">
        <f>IF(BetTable[Outcome]="",AI590,BetTable[Result]+AI590)</f>
        <v>911.81925000000069</v>
      </c>
      <c r="AJ591" s="160"/>
    </row>
    <row r="592" spans="1:36" x14ac:dyDescent="0.2">
      <c r="A592" s="159" t="s">
        <v>1690</v>
      </c>
      <c r="B592" s="160" t="s">
        <v>200</v>
      </c>
      <c r="C592" s="161" t="s">
        <v>91</v>
      </c>
      <c r="D592" s="161"/>
      <c r="E592" s="161"/>
      <c r="F592" s="162"/>
      <c r="G592" s="162"/>
      <c r="H592" s="162"/>
      <c r="I592" s="160" t="s">
        <v>1666</v>
      </c>
      <c r="J592" s="163">
        <v>2.19</v>
      </c>
      <c r="K592" s="163"/>
      <c r="L592" s="163"/>
      <c r="M592" s="164">
        <v>24</v>
      </c>
      <c r="N592" s="164"/>
      <c r="O592" s="164"/>
      <c r="P592" s="159" t="s">
        <v>864</v>
      </c>
      <c r="Q592" s="159" t="s">
        <v>1667</v>
      </c>
      <c r="R592" s="159" t="s">
        <v>1668</v>
      </c>
      <c r="S592" s="165">
        <v>2.3921871204367701E-2</v>
      </c>
      <c r="T592" s="166" t="s">
        <v>372</v>
      </c>
      <c r="U592" s="166"/>
      <c r="V592" s="166"/>
      <c r="W592" s="167">
        <f>IF(BetTable[Sport]="","",BetTable[Stake]+BetTable[S2]+BetTable[S3])</f>
        <v>24</v>
      </c>
      <c r="X592" s="164">
        <f>IF(BetTable[Odds]="","",(BetTable[WBA1-Commission])-BetTable[TS])</f>
        <v>28.560000000000002</v>
      </c>
      <c r="Y592" s="168">
        <f>IF(BetTable[Outcome]="","",BetTable[WBA1]+BetTable[WBA2]+BetTable[WBA3]-BetTable[TS])</f>
        <v>28.560000000000002</v>
      </c>
      <c r="Z592" s="164">
        <f>(((BetTable[Odds]-1)*BetTable[Stake])*(1-(BetTable[Comm %]))+BetTable[Stake])</f>
        <v>52.56</v>
      </c>
      <c r="AA592" s="164">
        <f>(((BetTable[O2]-1)*BetTable[S2])*(1-(BetTable[C% 2]))+BetTable[S2])</f>
        <v>0</v>
      </c>
      <c r="AB592" s="164">
        <f>(((BetTable[O3]-1)*BetTable[S3])*(1-(BetTable[C% 3]))+BetTable[S3])</f>
        <v>0</v>
      </c>
      <c r="AC592" s="165">
        <f>IFERROR(IF(BetTable[Sport]="","",BetTable[R1]/BetTable[TS]),"")</f>
        <v>1.1900000000000002</v>
      </c>
      <c r="AD592" s="165" t="str">
        <f>IF(BetTable[O2]="","",#REF!/BetTable[TS])</f>
        <v/>
      </c>
      <c r="AE592" s="165" t="str">
        <f>IFERROR(IF(BetTable[Sport]="","",#REF!/BetTable[TS]),"")</f>
        <v/>
      </c>
      <c r="AF592" s="164">
        <f>IF(BetTable[Outcome]="Win",BetTable[WBA1-Commission],IF(BetTable[Outcome]="Win Half Stake",(BetTable[Stake]/2)+BetTable[WBA1-Commission]/2,IF(BetTable[Outcome]="Lose Half Stake",BetTable[Stake]/2,IF(BetTable[Outcome]="Lose",0,IF(BetTable[Outcome]="Void",BetTable[Stake],)))))</f>
        <v>52.56</v>
      </c>
      <c r="AG592" s="164">
        <f>IF(BetTable[Outcome2]="Win",BetTable[WBA2-Commission],IF(BetTable[Outcome2]="Win Half Stake",(BetTable[S2]/2)+BetTable[WBA2-Commission]/2,IF(BetTable[Outcome2]="Lose Half Stake",BetTable[S2]/2,IF(BetTable[Outcome2]="Lose",0,IF(BetTable[Outcome2]="Void",BetTable[S2],)))))</f>
        <v>0</v>
      </c>
      <c r="AH592" s="164">
        <f>IF(BetTable[Outcome3]="Win",BetTable[WBA3-Commission],IF(BetTable[Outcome3]="Win Half Stake",(BetTable[S3]/2)+BetTable[WBA3-Commission]/2,IF(BetTable[Outcome3]="Lose Half Stake",BetTable[S3]/2,IF(BetTable[Outcome3]="Lose",0,IF(BetTable[Outcome3]="Void",BetTable[S3],)))))</f>
        <v>0</v>
      </c>
      <c r="AI592" s="168">
        <f>IF(BetTable[Outcome]="",AI591,BetTable[Result]+AI591)</f>
        <v>940.37925000000064</v>
      </c>
      <c r="AJ592" s="160"/>
    </row>
    <row r="593" spans="1:36" x14ac:dyDescent="0.2">
      <c r="A593" s="159" t="s">
        <v>1690</v>
      </c>
      <c r="B593" s="160" t="s">
        <v>200</v>
      </c>
      <c r="C593" s="161" t="s">
        <v>91</v>
      </c>
      <c r="D593" s="161"/>
      <c r="E593" s="161"/>
      <c r="F593" s="162"/>
      <c r="G593" s="162"/>
      <c r="H593" s="162"/>
      <c r="I593" s="160" t="s">
        <v>1669</v>
      </c>
      <c r="J593" s="163">
        <v>1.93</v>
      </c>
      <c r="K593" s="163"/>
      <c r="L593" s="163"/>
      <c r="M593" s="164">
        <v>39</v>
      </c>
      <c r="N593" s="164"/>
      <c r="O593" s="164"/>
      <c r="P593" s="159" t="s">
        <v>354</v>
      </c>
      <c r="Q593" s="159" t="s">
        <v>458</v>
      </c>
      <c r="R593" s="159" t="s">
        <v>1670</v>
      </c>
      <c r="S593" s="165">
        <v>3.0335517266794201E-2</v>
      </c>
      <c r="T593" s="166" t="s">
        <v>382</v>
      </c>
      <c r="U593" s="166"/>
      <c r="V593" s="166"/>
      <c r="W593" s="167">
        <f>IF(BetTable[Sport]="","",BetTable[Stake]+BetTable[S2]+BetTable[S3])</f>
        <v>39</v>
      </c>
      <c r="X593" s="164">
        <f>IF(BetTable[Odds]="","",(BetTable[WBA1-Commission])-BetTable[TS])</f>
        <v>36.269999999999996</v>
      </c>
      <c r="Y593" s="168">
        <f>IF(BetTable[Outcome]="","",BetTable[WBA1]+BetTable[WBA2]+BetTable[WBA3]-BetTable[TS])</f>
        <v>-39</v>
      </c>
      <c r="Z593" s="164">
        <f>(((BetTable[Odds]-1)*BetTable[Stake])*(1-(BetTable[Comm %]))+BetTable[Stake])</f>
        <v>75.27</v>
      </c>
      <c r="AA593" s="164">
        <f>(((BetTable[O2]-1)*BetTable[S2])*(1-(BetTable[C% 2]))+BetTable[S2])</f>
        <v>0</v>
      </c>
      <c r="AB593" s="164">
        <f>(((BetTable[O3]-1)*BetTable[S3])*(1-(BetTable[C% 3]))+BetTable[S3])</f>
        <v>0</v>
      </c>
      <c r="AC593" s="165">
        <f>IFERROR(IF(BetTable[Sport]="","",BetTable[R1]/BetTable[TS]),"")</f>
        <v>0.92999999999999994</v>
      </c>
      <c r="AD593" s="165" t="str">
        <f>IF(BetTable[O2]="","",#REF!/BetTable[TS])</f>
        <v/>
      </c>
      <c r="AE593" s="165" t="str">
        <f>IFERROR(IF(BetTable[Sport]="","",#REF!/BetTable[TS]),"")</f>
        <v/>
      </c>
      <c r="AF593" s="164">
        <f>IF(BetTable[Outcome]="Win",BetTable[WBA1-Commission],IF(BetTable[Outcome]="Win Half Stake",(BetTable[Stake]/2)+BetTable[WBA1-Commission]/2,IF(BetTable[Outcome]="Lose Half Stake",BetTable[Stake]/2,IF(BetTable[Outcome]="Lose",0,IF(BetTable[Outcome]="Void",BetTable[Stake],)))))</f>
        <v>0</v>
      </c>
      <c r="AG593" s="164">
        <f>IF(BetTable[Outcome2]="Win",BetTable[WBA2-Commission],IF(BetTable[Outcome2]="Win Half Stake",(BetTable[S2]/2)+BetTable[WBA2-Commission]/2,IF(BetTable[Outcome2]="Lose Half Stake",BetTable[S2]/2,IF(BetTable[Outcome2]="Lose",0,IF(BetTable[Outcome2]="Void",BetTable[S2],)))))</f>
        <v>0</v>
      </c>
      <c r="AH593" s="164">
        <f>IF(BetTable[Outcome3]="Win",BetTable[WBA3-Commission],IF(BetTable[Outcome3]="Win Half Stake",(BetTable[S3]/2)+BetTable[WBA3-Commission]/2,IF(BetTable[Outcome3]="Lose Half Stake",BetTable[S3]/2,IF(BetTable[Outcome3]="Lose",0,IF(BetTable[Outcome3]="Void",BetTable[S3],)))))</f>
        <v>0</v>
      </c>
      <c r="AI593" s="168">
        <f>IF(BetTable[Outcome]="",AI592,BetTable[Result]+AI592)</f>
        <v>901.37925000000064</v>
      </c>
      <c r="AJ593" s="160"/>
    </row>
    <row r="594" spans="1:36" x14ac:dyDescent="0.2">
      <c r="A594" s="159" t="s">
        <v>1690</v>
      </c>
      <c r="B594" s="160" t="s">
        <v>7</v>
      </c>
      <c r="C594" s="161" t="s">
        <v>91</v>
      </c>
      <c r="D594" s="161"/>
      <c r="E594" s="161"/>
      <c r="F594" s="162"/>
      <c r="G594" s="162"/>
      <c r="H594" s="162"/>
      <c r="I594" s="160" t="s">
        <v>1671</v>
      </c>
      <c r="J594" s="163">
        <v>1.94</v>
      </c>
      <c r="K594" s="163"/>
      <c r="L594" s="163"/>
      <c r="M594" s="164">
        <v>22</v>
      </c>
      <c r="N594" s="164"/>
      <c r="O594" s="164"/>
      <c r="P594" s="159" t="s">
        <v>1672</v>
      </c>
      <c r="Q594" s="159" t="s">
        <v>581</v>
      </c>
      <c r="R594" s="159" t="s">
        <v>1673</v>
      </c>
      <c r="S594" s="165">
        <v>1.6878498667433E-2</v>
      </c>
      <c r="T594" s="166" t="s">
        <v>382</v>
      </c>
      <c r="U594" s="166"/>
      <c r="V594" s="166"/>
      <c r="W594" s="167">
        <f>IF(BetTable[Sport]="","",BetTable[Stake]+BetTable[S2]+BetTable[S3])</f>
        <v>22</v>
      </c>
      <c r="X594" s="164">
        <f>IF(BetTable[Odds]="","",(BetTable[WBA1-Commission])-BetTable[TS])</f>
        <v>20.68</v>
      </c>
      <c r="Y594" s="168">
        <f>IF(BetTable[Outcome]="","",BetTable[WBA1]+BetTable[WBA2]+BetTable[WBA3]-BetTable[TS])</f>
        <v>-22</v>
      </c>
      <c r="Z594" s="164">
        <f>(((BetTable[Odds]-1)*BetTable[Stake])*(1-(BetTable[Comm %]))+BetTable[Stake])</f>
        <v>42.68</v>
      </c>
      <c r="AA594" s="164">
        <f>(((BetTable[O2]-1)*BetTable[S2])*(1-(BetTable[C% 2]))+BetTable[S2])</f>
        <v>0</v>
      </c>
      <c r="AB594" s="164">
        <f>(((BetTable[O3]-1)*BetTable[S3])*(1-(BetTable[C% 3]))+BetTable[S3])</f>
        <v>0</v>
      </c>
      <c r="AC594" s="165">
        <f>IFERROR(IF(BetTable[Sport]="","",BetTable[R1]/BetTable[TS]),"")</f>
        <v>0.94</v>
      </c>
      <c r="AD594" s="165" t="str">
        <f>IF(BetTable[O2]="","",#REF!/BetTable[TS])</f>
        <v/>
      </c>
      <c r="AE594" s="165" t="str">
        <f>IFERROR(IF(BetTable[Sport]="","",#REF!/BetTable[TS]),"")</f>
        <v/>
      </c>
      <c r="AF594" s="164">
        <f>IF(BetTable[Outcome]="Win",BetTable[WBA1-Commission],IF(BetTable[Outcome]="Win Half Stake",(BetTable[Stake]/2)+BetTable[WBA1-Commission]/2,IF(BetTable[Outcome]="Lose Half Stake",BetTable[Stake]/2,IF(BetTable[Outcome]="Lose",0,IF(BetTable[Outcome]="Void",BetTable[Stake],)))))</f>
        <v>0</v>
      </c>
      <c r="AG594" s="164">
        <f>IF(BetTable[Outcome2]="Win",BetTable[WBA2-Commission],IF(BetTable[Outcome2]="Win Half Stake",(BetTable[S2]/2)+BetTable[WBA2-Commission]/2,IF(BetTable[Outcome2]="Lose Half Stake",BetTable[S2]/2,IF(BetTable[Outcome2]="Lose",0,IF(BetTable[Outcome2]="Void",BetTable[S2],)))))</f>
        <v>0</v>
      </c>
      <c r="AH594" s="164">
        <f>IF(BetTable[Outcome3]="Win",BetTable[WBA3-Commission],IF(BetTable[Outcome3]="Win Half Stake",(BetTable[S3]/2)+BetTable[WBA3-Commission]/2,IF(BetTable[Outcome3]="Lose Half Stake",BetTable[S3]/2,IF(BetTable[Outcome3]="Lose",0,IF(BetTable[Outcome3]="Void",BetTable[S3],)))))</f>
        <v>0</v>
      </c>
      <c r="AI594" s="168">
        <f>IF(BetTable[Outcome]="",AI593,BetTable[Result]+AI593)</f>
        <v>879.37925000000064</v>
      </c>
      <c r="AJ594" s="160"/>
    </row>
    <row r="595" spans="1:36" x14ac:dyDescent="0.2">
      <c r="A595" s="159" t="s">
        <v>1690</v>
      </c>
      <c r="B595" s="160" t="s">
        <v>7</v>
      </c>
      <c r="C595" s="161" t="s">
        <v>91</v>
      </c>
      <c r="D595" s="161"/>
      <c r="E595" s="161"/>
      <c r="F595" s="162"/>
      <c r="G595" s="162"/>
      <c r="H595" s="162"/>
      <c r="I595" s="160" t="s">
        <v>1674</v>
      </c>
      <c r="J595" s="163">
        <v>2.11</v>
      </c>
      <c r="K595" s="163"/>
      <c r="L595" s="163"/>
      <c r="M595" s="164">
        <v>18</v>
      </c>
      <c r="N595" s="164"/>
      <c r="O595" s="164"/>
      <c r="P595" s="159" t="s">
        <v>1675</v>
      </c>
      <c r="Q595" s="159" t="s">
        <v>488</v>
      </c>
      <c r="R595" s="159" t="s">
        <v>1676</v>
      </c>
      <c r="S595" s="165">
        <v>1.6319627594382401E-2</v>
      </c>
      <c r="T595" s="166" t="s">
        <v>382</v>
      </c>
      <c r="U595" s="166"/>
      <c r="V595" s="166"/>
      <c r="W595" s="167">
        <f>IF(BetTable[Sport]="","",BetTable[Stake]+BetTable[S2]+BetTable[S3])</f>
        <v>18</v>
      </c>
      <c r="X595" s="164">
        <f>IF(BetTable[Odds]="","",(BetTable[WBA1-Commission])-BetTable[TS])</f>
        <v>19.979999999999997</v>
      </c>
      <c r="Y595" s="168">
        <f>IF(BetTable[Outcome]="","",BetTable[WBA1]+BetTable[WBA2]+BetTable[WBA3]-BetTable[TS])</f>
        <v>-18</v>
      </c>
      <c r="Z595" s="164">
        <f>(((BetTable[Odds]-1)*BetTable[Stake])*(1-(BetTable[Comm %]))+BetTable[Stake])</f>
        <v>37.979999999999997</v>
      </c>
      <c r="AA595" s="164">
        <f>(((BetTable[O2]-1)*BetTable[S2])*(1-(BetTable[C% 2]))+BetTable[S2])</f>
        <v>0</v>
      </c>
      <c r="AB595" s="164">
        <f>(((BetTable[O3]-1)*BetTable[S3])*(1-(BetTable[C% 3]))+BetTable[S3])</f>
        <v>0</v>
      </c>
      <c r="AC595" s="165">
        <f>IFERROR(IF(BetTable[Sport]="","",BetTable[R1]/BetTable[TS]),"")</f>
        <v>1.1099999999999999</v>
      </c>
      <c r="AD595" s="165" t="str">
        <f>IF(BetTable[O2]="","",#REF!/BetTable[TS])</f>
        <v/>
      </c>
      <c r="AE595" s="165" t="str">
        <f>IFERROR(IF(BetTable[Sport]="","",#REF!/BetTable[TS]),"")</f>
        <v/>
      </c>
      <c r="AF595" s="164">
        <f>IF(BetTable[Outcome]="Win",BetTable[WBA1-Commission],IF(BetTable[Outcome]="Win Half Stake",(BetTable[Stake]/2)+BetTable[WBA1-Commission]/2,IF(BetTable[Outcome]="Lose Half Stake",BetTable[Stake]/2,IF(BetTable[Outcome]="Lose",0,IF(BetTable[Outcome]="Void",BetTable[Stake],)))))</f>
        <v>0</v>
      </c>
      <c r="AG595" s="164">
        <f>IF(BetTable[Outcome2]="Win",BetTable[WBA2-Commission],IF(BetTable[Outcome2]="Win Half Stake",(BetTable[S2]/2)+BetTable[WBA2-Commission]/2,IF(BetTable[Outcome2]="Lose Half Stake",BetTable[S2]/2,IF(BetTable[Outcome2]="Lose",0,IF(BetTable[Outcome2]="Void",BetTable[S2],)))))</f>
        <v>0</v>
      </c>
      <c r="AH595" s="164">
        <f>IF(BetTable[Outcome3]="Win",BetTable[WBA3-Commission],IF(BetTable[Outcome3]="Win Half Stake",(BetTable[S3]/2)+BetTable[WBA3-Commission]/2,IF(BetTable[Outcome3]="Lose Half Stake",BetTable[S3]/2,IF(BetTable[Outcome3]="Lose",0,IF(BetTable[Outcome3]="Void",BetTable[S3],)))))</f>
        <v>0</v>
      </c>
      <c r="AI595" s="168">
        <f>IF(BetTable[Outcome]="",AI594,BetTable[Result]+AI594)</f>
        <v>861.37925000000064</v>
      </c>
      <c r="AJ595" s="160"/>
    </row>
    <row r="596" spans="1:36" x14ac:dyDescent="0.2">
      <c r="A596" s="159" t="s">
        <v>1690</v>
      </c>
      <c r="B596" s="160" t="s">
        <v>7</v>
      </c>
      <c r="C596" s="161" t="s">
        <v>216</v>
      </c>
      <c r="D596" s="161"/>
      <c r="E596" s="161"/>
      <c r="F596" s="162"/>
      <c r="G596" s="162"/>
      <c r="H596" s="162"/>
      <c r="I596" s="160" t="s">
        <v>1664</v>
      </c>
      <c r="J596" s="163">
        <v>1.87</v>
      </c>
      <c r="K596" s="163"/>
      <c r="L596" s="163"/>
      <c r="M596" s="164">
        <v>29</v>
      </c>
      <c r="N596" s="164"/>
      <c r="O596" s="164"/>
      <c r="P596" s="159" t="s">
        <v>1677</v>
      </c>
      <c r="Q596" s="159" t="s">
        <v>470</v>
      </c>
      <c r="R596" s="159" t="s">
        <v>1678</v>
      </c>
      <c r="S596" s="165">
        <v>2.7298976475166499E-2</v>
      </c>
      <c r="T596" s="166" t="s">
        <v>383</v>
      </c>
      <c r="U596" s="166"/>
      <c r="V596" s="166"/>
      <c r="W596" s="167">
        <f>IF(BetTable[Sport]="","",BetTable[Stake]+BetTable[S2]+BetTable[S3])</f>
        <v>29</v>
      </c>
      <c r="X596" s="164">
        <f>IF(BetTable[Odds]="","",(BetTable[WBA1-Commission])-BetTable[TS])</f>
        <v>25.230000000000004</v>
      </c>
      <c r="Y596" s="168">
        <f>IF(BetTable[Outcome]="","",BetTable[WBA1]+BetTable[WBA2]+BetTable[WBA3]-BetTable[TS])</f>
        <v>0</v>
      </c>
      <c r="Z596" s="164">
        <f>(((BetTable[Odds]-1)*BetTable[Stake])*(1-(BetTable[Comm %]))+BetTable[Stake])</f>
        <v>54.230000000000004</v>
      </c>
      <c r="AA596" s="164">
        <f>(((BetTable[O2]-1)*BetTable[S2])*(1-(BetTable[C% 2]))+BetTable[S2])</f>
        <v>0</v>
      </c>
      <c r="AB596" s="164">
        <f>(((BetTable[O3]-1)*BetTable[S3])*(1-(BetTable[C% 3]))+BetTable[S3])</f>
        <v>0</v>
      </c>
      <c r="AC596" s="165">
        <f>IFERROR(IF(BetTable[Sport]="","",BetTable[R1]/BetTable[TS]),"")</f>
        <v>0.87000000000000011</v>
      </c>
      <c r="AD596" s="165" t="str">
        <f>IF(BetTable[O2]="","",#REF!/BetTable[TS])</f>
        <v/>
      </c>
      <c r="AE596" s="165" t="str">
        <f>IFERROR(IF(BetTable[Sport]="","",#REF!/BetTable[TS]),"")</f>
        <v/>
      </c>
      <c r="AF596" s="164">
        <f>IF(BetTable[Outcome]="Win",BetTable[WBA1-Commission],IF(BetTable[Outcome]="Win Half Stake",(BetTable[Stake]/2)+BetTable[WBA1-Commission]/2,IF(BetTable[Outcome]="Lose Half Stake",BetTable[Stake]/2,IF(BetTable[Outcome]="Lose",0,IF(BetTable[Outcome]="Void",BetTable[Stake],)))))</f>
        <v>29</v>
      </c>
      <c r="AG596" s="164">
        <f>IF(BetTable[Outcome2]="Win",BetTable[WBA2-Commission],IF(BetTable[Outcome2]="Win Half Stake",(BetTable[S2]/2)+BetTable[WBA2-Commission]/2,IF(BetTable[Outcome2]="Lose Half Stake",BetTable[S2]/2,IF(BetTable[Outcome2]="Lose",0,IF(BetTable[Outcome2]="Void",BetTable[S2],)))))</f>
        <v>0</v>
      </c>
      <c r="AH596" s="164">
        <f>IF(BetTable[Outcome3]="Win",BetTable[WBA3-Commission],IF(BetTable[Outcome3]="Win Half Stake",(BetTable[S3]/2)+BetTable[WBA3-Commission]/2,IF(BetTable[Outcome3]="Lose Half Stake",BetTable[S3]/2,IF(BetTable[Outcome3]="Lose",0,IF(BetTable[Outcome3]="Void",BetTable[S3],)))))</f>
        <v>0</v>
      </c>
      <c r="AI596" s="168">
        <f>IF(BetTable[Outcome]="",AI595,BetTable[Result]+AI595)</f>
        <v>861.37925000000064</v>
      </c>
      <c r="AJ596" s="160"/>
    </row>
    <row r="597" spans="1:36" x14ac:dyDescent="0.2">
      <c r="A597" s="159" t="s">
        <v>1690</v>
      </c>
      <c r="B597" s="160" t="s">
        <v>8</v>
      </c>
      <c r="C597" s="161" t="s">
        <v>216</v>
      </c>
      <c r="D597" s="161"/>
      <c r="E597" s="161"/>
      <c r="F597" s="162"/>
      <c r="G597" s="162"/>
      <c r="H597" s="162"/>
      <c r="I597" s="160" t="s">
        <v>1679</v>
      </c>
      <c r="J597" s="163">
        <v>1.952</v>
      </c>
      <c r="K597" s="163"/>
      <c r="L597" s="163"/>
      <c r="M597" s="164">
        <v>25</v>
      </c>
      <c r="N597" s="164"/>
      <c r="O597" s="164"/>
      <c r="P597" s="159" t="s">
        <v>428</v>
      </c>
      <c r="Q597" s="159" t="s">
        <v>1680</v>
      </c>
      <c r="R597" s="159" t="s">
        <v>1681</v>
      </c>
      <c r="S597" s="165">
        <v>2.67888492274048E-2</v>
      </c>
      <c r="T597" s="166" t="s">
        <v>372</v>
      </c>
      <c r="U597" s="166"/>
      <c r="V597" s="166"/>
      <c r="W597" s="167">
        <f>IF(BetTable[Sport]="","",BetTable[Stake]+BetTable[S2]+BetTable[S3])</f>
        <v>25</v>
      </c>
      <c r="X597" s="164">
        <f>IF(BetTable[Odds]="","",(BetTable[WBA1-Commission])-BetTable[TS])</f>
        <v>23.799999999999997</v>
      </c>
      <c r="Y597" s="168">
        <f>IF(BetTable[Outcome]="","",BetTable[WBA1]+BetTable[WBA2]+BetTable[WBA3]-BetTable[TS])</f>
        <v>23.799999999999997</v>
      </c>
      <c r="Z597" s="164">
        <f>(((BetTable[Odds]-1)*BetTable[Stake])*(1-(BetTable[Comm %]))+BetTable[Stake])</f>
        <v>48.8</v>
      </c>
      <c r="AA597" s="164">
        <f>(((BetTable[O2]-1)*BetTable[S2])*(1-(BetTable[C% 2]))+BetTable[S2])</f>
        <v>0</v>
      </c>
      <c r="AB597" s="164">
        <f>(((BetTable[O3]-1)*BetTable[S3])*(1-(BetTable[C% 3]))+BetTable[S3])</f>
        <v>0</v>
      </c>
      <c r="AC597" s="165">
        <f>IFERROR(IF(BetTable[Sport]="","",BetTable[R1]/BetTable[TS]),"")</f>
        <v>0.95199999999999985</v>
      </c>
      <c r="AD597" s="165" t="str">
        <f>IF(BetTable[O2]="","",#REF!/BetTable[TS])</f>
        <v/>
      </c>
      <c r="AE597" s="165" t="str">
        <f>IFERROR(IF(BetTable[Sport]="","",#REF!/BetTable[TS]),"")</f>
        <v/>
      </c>
      <c r="AF597" s="164">
        <f>IF(BetTable[Outcome]="Win",BetTable[WBA1-Commission],IF(BetTable[Outcome]="Win Half Stake",(BetTable[Stake]/2)+BetTable[WBA1-Commission]/2,IF(BetTable[Outcome]="Lose Half Stake",BetTable[Stake]/2,IF(BetTable[Outcome]="Lose",0,IF(BetTable[Outcome]="Void",BetTable[Stake],)))))</f>
        <v>48.8</v>
      </c>
      <c r="AG597" s="164">
        <f>IF(BetTable[Outcome2]="Win",BetTable[WBA2-Commission],IF(BetTable[Outcome2]="Win Half Stake",(BetTable[S2]/2)+BetTable[WBA2-Commission]/2,IF(BetTable[Outcome2]="Lose Half Stake",BetTable[S2]/2,IF(BetTable[Outcome2]="Lose",0,IF(BetTable[Outcome2]="Void",BetTable[S2],)))))</f>
        <v>0</v>
      </c>
      <c r="AH597" s="164">
        <f>IF(BetTable[Outcome3]="Win",BetTable[WBA3-Commission],IF(BetTable[Outcome3]="Win Half Stake",(BetTable[S3]/2)+BetTable[WBA3-Commission]/2,IF(BetTable[Outcome3]="Lose Half Stake",BetTable[S3]/2,IF(BetTable[Outcome3]="Lose",0,IF(BetTable[Outcome3]="Void",BetTable[S3],)))))</f>
        <v>0</v>
      </c>
      <c r="AI597" s="168">
        <f>IF(BetTable[Outcome]="",AI596,BetTable[Result]+AI596)</f>
        <v>885.17925000000059</v>
      </c>
      <c r="AJ597" s="160"/>
    </row>
    <row r="598" spans="1:36" x14ac:dyDescent="0.2">
      <c r="A598" s="159" t="s">
        <v>1690</v>
      </c>
      <c r="B598" s="160" t="s">
        <v>8</v>
      </c>
      <c r="C598" s="161" t="s">
        <v>216</v>
      </c>
      <c r="D598" s="161"/>
      <c r="E598" s="161"/>
      <c r="F598" s="162"/>
      <c r="G598" s="162"/>
      <c r="H598" s="162"/>
      <c r="I598" s="160" t="s">
        <v>1682</v>
      </c>
      <c r="J598" s="163">
        <v>2.5</v>
      </c>
      <c r="K598" s="163"/>
      <c r="L598" s="163"/>
      <c r="M598" s="164">
        <v>25</v>
      </c>
      <c r="N598" s="164"/>
      <c r="O598" s="164"/>
      <c r="P598" s="159" t="s">
        <v>435</v>
      </c>
      <c r="Q598" s="159" t="s">
        <v>439</v>
      </c>
      <c r="R598" s="159" t="s">
        <v>1683</v>
      </c>
      <c r="S598" s="165">
        <v>4.0856275457802599E-2</v>
      </c>
      <c r="T598" s="166" t="s">
        <v>372</v>
      </c>
      <c r="U598" s="166"/>
      <c r="V598" s="166"/>
      <c r="W598" s="167">
        <f>IF(BetTable[Sport]="","",BetTable[Stake]+BetTable[S2]+BetTable[S3])</f>
        <v>25</v>
      </c>
      <c r="X598" s="164">
        <f>IF(BetTable[Odds]="","",(BetTable[WBA1-Commission])-BetTable[TS])</f>
        <v>37.5</v>
      </c>
      <c r="Y598" s="168">
        <f>IF(BetTable[Outcome]="","",BetTable[WBA1]+BetTable[WBA2]+BetTable[WBA3]-BetTable[TS])</f>
        <v>37.5</v>
      </c>
      <c r="Z598" s="164">
        <f>(((BetTable[Odds]-1)*BetTable[Stake])*(1-(BetTable[Comm %]))+BetTable[Stake])</f>
        <v>62.5</v>
      </c>
      <c r="AA598" s="164">
        <f>(((BetTable[O2]-1)*BetTable[S2])*(1-(BetTable[C% 2]))+BetTable[S2])</f>
        <v>0</v>
      </c>
      <c r="AB598" s="164">
        <f>(((BetTable[O3]-1)*BetTable[S3])*(1-(BetTable[C% 3]))+BetTable[S3])</f>
        <v>0</v>
      </c>
      <c r="AC598" s="165">
        <f>IFERROR(IF(BetTable[Sport]="","",BetTable[R1]/BetTable[TS]),"")</f>
        <v>1.5</v>
      </c>
      <c r="AD598" s="165" t="str">
        <f>IF(BetTable[O2]="","",#REF!/BetTable[TS])</f>
        <v/>
      </c>
      <c r="AE598" s="165" t="str">
        <f>IFERROR(IF(BetTable[Sport]="","",#REF!/BetTable[TS]),"")</f>
        <v/>
      </c>
      <c r="AF598" s="164">
        <f>IF(BetTable[Outcome]="Win",BetTable[WBA1-Commission],IF(BetTable[Outcome]="Win Half Stake",(BetTable[Stake]/2)+BetTable[WBA1-Commission]/2,IF(BetTable[Outcome]="Lose Half Stake",BetTable[Stake]/2,IF(BetTable[Outcome]="Lose",0,IF(BetTable[Outcome]="Void",BetTable[Stake],)))))</f>
        <v>62.5</v>
      </c>
      <c r="AG598" s="164">
        <f>IF(BetTable[Outcome2]="Win",BetTable[WBA2-Commission],IF(BetTable[Outcome2]="Win Half Stake",(BetTable[S2]/2)+BetTable[WBA2-Commission]/2,IF(BetTable[Outcome2]="Lose Half Stake",BetTable[S2]/2,IF(BetTable[Outcome2]="Lose",0,IF(BetTable[Outcome2]="Void",BetTable[S2],)))))</f>
        <v>0</v>
      </c>
      <c r="AH598" s="164">
        <f>IF(BetTable[Outcome3]="Win",BetTable[WBA3-Commission],IF(BetTable[Outcome3]="Win Half Stake",(BetTable[S3]/2)+BetTable[WBA3-Commission]/2,IF(BetTable[Outcome3]="Lose Half Stake",BetTable[S3]/2,IF(BetTable[Outcome3]="Lose",0,IF(BetTable[Outcome3]="Void",BetTable[S3],)))))</f>
        <v>0</v>
      </c>
      <c r="AI598" s="168">
        <f>IF(BetTable[Outcome]="",AI597,BetTable[Result]+AI597)</f>
        <v>922.67925000000059</v>
      </c>
      <c r="AJ598" s="160"/>
    </row>
    <row r="599" spans="1:36" x14ac:dyDescent="0.2">
      <c r="A599" s="159" t="s">
        <v>1416</v>
      </c>
      <c r="B599" s="160" t="s">
        <v>8</v>
      </c>
      <c r="C599" s="161" t="s">
        <v>216</v>
      </c>
      <c r="D599" s="161"/>
      <c r="E599" s="161"/>
      <c r="F599" s="162"/>
      <c r="G599" s="162"/>
      <c r="H599" s="162"/>
      <c r="I599" s="160" t="s">
        <v>1567</v>
      </c>
      <c r="J599" s="163">
        <v>4</v>
      </c>
      <c r="K599" s="163"/>
      <c r="L599" s="163"/>
      <c r="M599" s="164">
        <v>11</v>
      </c>
      <c r="N599" s="164"/>
      <c r="O599" s="164"/>
      <c r="P599" s="159" t="s">
        <v>428</v>
      </c>
      <c r="Q599" s="159" t="s">
        <v>560</v>
      </c>
      <c r="R599" s="159" t="s">
        <v>1684</v>
      </c>
      <c r="S599" s="165">
        <v>2.7996610127137399E-2</v>
      </c>
      <c r="T599" s="166" t="s">
        <v>382</v>
      </c>
      <c r="U599" s="166"/>
      <c r="V599" s="166"/>
      <c r="W599" s="167">
        <f>IF(BetTable[Sport]="","",BetTable[Stake]+BetTable[S2]+BetTable[S3])</f>
        <v>11</v>
      </c>
      <c r="X599" s="164">
        <f>IF(BetTable[Odds]="","",(BetTable[WBA1-Commission])-BetTable[TS])</f>
        <v>33</v>
      </c>
      <c r="Y599" s="168">
        <f>IF(BetTable[Outcome]="","",BetTable[WBA1]+BetTable[WBA2]+BetTable[WBA3]-BetTable[TS])</f>
        <v>-11</v>
      </c>
      <c r="Z599" s="164">
        <f>(((BetTable[Odds]-1)*BetTable[Stake])*(1-(BetTable[Comm %]))+BetTable[Stake])</f>
        <v>44</v>
      </c>
      <c r="AA599" s="164">
        <f>(((BetTable[O2]-1)*BetTable[S2])*(1-(BetTable[C% 2]))+BetTable[S2])</f>
        <v>0</v>
      </c>
      <c r="AB599" s="164">
        <f>(((BetTable[O3]-1)*BetTable[S3])*(1-(BetTable[C% 3]))+BetTable[S3])</f>
        <v>0</v>
      </c>
      <c r="AC599" s="165">
        <f>IFERROR(IF(BetTable[Sport]="","",BetTable[R1]/BetTable[TS]),"")</f>
        <v>3</v>
      </c>
      <c r="AD599" s="165" t="str">
        <f>IF(BetTable[O2]="","",#REF!/BetTable[TS])</f>
        <v/>
      </c>
      <c r="AE599" s="165" t="str">
        <f>IFERROR(IF(BetTable[Sport]="","",#REF!/BetTable[TS]),"")</f>
        <v/>
      </c>
      <c r="AF599" s="164">
        <f>IF(BetTable[Outcome]="Win",BetTable[WBA1-Commission],IF(BetTable[Outcome]="Win Half Stake",(BetTable[Stake]/2)+BetTable[WBA1-Commission]/2,IF(BetTable[Outcome]="Lose Half Stake",BetTable[Stake]/2,IF(BetTable[Outcome]="Lose",0,IF(BetTable[Outcome]="Void",BetTable[Stake],)))))</f>
        <v>0</v>
      </c>
      <c r="AG599" s="164">
        <f>IF(BetTable[Outcome2]="Win",BetTable[WBA2-Commission],IF(BetTable[Outcome2]="Win Half Stake",(BetTable[S2]/2)+BetTable[WBA2-Commission]/2,IF(BetTable[Outcome2]="Lose Half Stake",BetTable[S2]/2,IF(BetTable[Outcome2]="Lose",0,IF(BetTable[Outcome2]="Void",BetTable[S2],)))))</f>
        <v>0</v>
      </c>
      <c r="AH599" s="164">
        <f>IF(BetTable[Outcome3]="Win",BetTable[WBA3-Commission],IF(BetTable[Outcome3]="Win Half Stake",(BetTable[S3]/2)+BetTable[WBA3-Commission]/2,IF(BetTable[Outcome3]="Lose Half Stake",BetTable[S3]/2,IF(BetTable[Outcome3]="Lose",0,IF(BetTable[Outcome3]="Void",BetTable[S3],)))))</f>
        <v>0</v>
      </c>
      <c r="AI599" s="168">
        <f>IF(BetTable[Outcome]="",AI598,BetTable[Result]+AI598)</f>
        <v>911.67925000000059</v>
      </c>
      <c r="AJ599" s="160"/>
    </row>
    <row r="600" spans="1:36" x14ac:dyDescent="0.2">
      <c r="A600" s="159" t="s">
        <v>1690</v>
      </c>
      <c r="B600" s="160" t="s">
        <v>7</v>
      </c>
      <c r="C600" s="161" t="s">
        <v>91</v>
      </c>
      <c r="D600" s="161"/>
      <c r="E600" s="161"/>
      <c r="F600" s="162"/>
      <c r="G600" s="162"/>
      <c r="H600" s="162"/>
      <c r="I600" s="160" t="s">
        <v>1685</v>
      </c>
      <c r="J600" s="163">
        <v>1.95</v>
      </c>
      <c r="K600" s="163"/>
      <c r="L600" s="163"/>
      <c r="M600" s="164">
        <v>46</v>
      </c>
      <c r="N600" s="164"/>
      <c r="O600" s="164"/>
      <c r="P600" s="159" t="s">
        <v>1185</v>
      </c>
      <c r="Q600" s="159" t="s">
        <v>968</v>
      </c>
      <c r="R600" s="159" t="s">
        <v>1686</v>
      </c>
      <c r="S600" s="165">
        <v>3.6371100164203599E-2</v>
      </c>
      <c r="T600" s="166" t="s">
        <v>382</v>
      </c>
      <c r="U600" s="166"/>
      <c r="V600" s="166"/>
      <c r="W600" s="167">
        <f>IF(BetTable[Sport]="","",BetTable[Stake]+BetTable[S2]+BetTable[S3])</f>
        <v>46</v>
      </c>
      <c r="X600" s="164">
        <f>IF(BetTable[Odds]="","",(BetTable[WBA1-Commission])-BetTable[TS])</f>
        <v>43.699999999999989</v>
      </c>
      <c r="Y600" s="168">
        <f>IF(BetTable[Outcome]="","",BetTable[WBA1]+BetTable[WBA2]+BetTable[WBA3]-BetTable[TS])</f>
        <v>-46</v>
      </c>
      <c r="Z600" s="164">
        <f>(((BetTable[Odds]-1)*BetTable[Stake])*(1-(BetTable[Comm %]))+BetTable[Stake])</f>
        <v>89.699999999999989</v>
      </c>
      <c r="AA600" s="164">
        <f>(((BetTable[O2]-1)*BetTable[S2])*(1-(BetTable[C% 2]))+BetTable[S2])</f>
        <v>0</v>
      </c>
      <c r="AB600" s="164">
        <f>(((BetTable[O3]-1)*BetTable[S3])*(1-(BetTable[C% 3]))+BetTable[S3])</f>
        <v>0</v>
      </c>
      <c r="AC600" s="165">
        <f>IFERROR(IF(BetTable[Sport]="","",BetTable[R1]/BetTable[TS]),"")</f>
        <v>0.94999999999999973</v>
      </c>
      <c r="AD600" s="165" t="str">
        <f>IF(BetTable[O2]="","",#REF!/BetTable[TS])</f>
        <v/>
      </c>
      <c r="AE600" s="165" t="str">
        <f>IFERROR(IF(BetTable[Sport]="","",#REF!/BetTable[TS]),"")</f>
        <v/>
      </c>
      <c r="AF600" s="164">
        <f>IF(BetTable[Outcome]="Win",BetTable[WBA1-Commission],IF(BetTable[Outcome]="Win Half Stake",(BetTable[Stake]/2)+BetTable[WBA1-Commission]/2,IF(BetTable[Outcome]="Lose Half Stake",BetTable[Stake]/2,IF(BetTable[Outcome]="Lose",0,IF(BetTable[Outcome]="Void",BetTable[Stake],)))))</f>
        <v>0</v>
      </c>
      <c r="AG600" s="164">
        <f>IF(BetTable[Outcome2]="Win",BetTable[WBA2-Commission],IF(BetTable[Outcome2]="Win Half Stake",(BetTable[S2]/2)+BetTable[WBA2-Commission]/2,IF(BetTable[Outcome2]="Lose Half Stake",BetTable[S2]/2,IF(BetTable[Outcome2]="Lose",0,IF(BetTable[Outcome2]="Void",BetTable[S2],)))))</f>
        <v>0</v>
      </c>
      <c r="AH600" s="164">
        <f>IF(BetTable[Outcome3]="Win",BetTable[WBA3-Commission],IF(BetTable[Outcome3]="Win Half Stake",(BetTable[S3]/2)+BetTable[WBA3-Commission]/2,IF(BetTable[Outcome3]="Lose Half Stake",BetTable[S3]/2,IF(BetTable[Outcome3]="Lose",0,IF(BetTable[Outcome3]="Void",BetTable[S3],)))))</f>
        <v>0</v>
      </c>
      <c r="AI600" s="168">
        <f>IF(BetTable[Outcome]="",AI599,BetTable[Result]+AI599)</f>
        <v>865.67925000000059</v>
      </c>
      <c r="AJ600" s="160"/>
    </row>
    <row r="601" spans="1:36" x14ac:dyDescent="0.2">
      <c r="A601" s="159" t="s">
        <v>1690</v>
      </c>
      <c r="B601" s="160" t="s">
        <v>7</v>
      </c>
      <c r="C601" s="161" t="s">
        <v>216</v>
      </c>
      <c r="D601" s="161"/>
      <c r="E601" s="161"/>
      <c r="F601" s="162"/>
      <c r="G601" s="162"/>
      <c r="H601" s="162"/>
      <c r="I601" s="160" t="s">
        <v>1687</v>
      </c>
      <c r="J601" s="163">
        <v>1.909</v>
      </c>
      <c r="K601" s="163"/>
      <c r="L601" s="163"/>
      <c r="M601" s="164">
        <v>49</v>
      </c>
      <c r="N601" s="164"/>
      <c r="O601" s="164"/>
      <c r="P601" s="159" t="s">
        <v>1688</v>
      </c>
      <c r="Q601" s="159" t="s">
        <v>968</v>
      </c>
      <c r="R601" s="159" t="s">
        <v>1689</v>
      </c>
      <c r="S601" s="165">
        <v>3.6901931103557502E-2</v>
      </c>
      <c r="T601" s="166" t="s">
        <v>372</v>
      </c>
      <c r="U601" s="166"/>
      <c r="V601" s="166"/>
      <c r="W601" s="167">
        <f>IF(BetTable[Sport]="","",BetTable[Stake]+BetTable[S2]+BetTable[S3])</f>
        <v>49</v>
      </c>
      <c r="X601" s="164">
        <f>IF(BetTable[Odds]="","",(BetTable[WBA1-Commission])-BetTable[TS])</f>
        <v>44.540999999999997</v>
      </c>
      <c r="Y601" s="168">
        <f>IF(BetTable[Outcome]="","",BetTable[WBA1]+BetTable[WBA2]+BetTable[WBA3]-BetTable[TS])</f>
        <v>44.540999999999997</v>
      </c>
      <c r="Z601" s="164">
        <f>(((BetTable[Odds]-1)*BetTable[Stake])*(1-(BetTable[Comm %]))+BetTable[Stake])</f>
        <v>93.540999999999997</v>
      </c>
      <c r="AA601" s="164">
        <f>(((BetTable[O2]-1)*BetTable[S2])*(1-(BetTable[C% 2]))+BetTable[S2])</f>
        <v>0</v>
      </c>
      <c r="AB601" s="164">
        <f>(((BetTable[O3]-1)*BetTable[S3])*(1-(BetTable[C% 3]))+BetTable[S3])</f>
        <v>0</v>
      </c>
      <c r="AC601" s="165">
        <f>IFERROR(IF(BetTable[Sport]="","",BetTable[R1]/BetTable[TS]),"")</f>
        <v>0.90899999999999992</v>
      </c>
      <c r="AD601" s="165" t="str">
        <f>IF(BetTable[O2]="","",#REF!/BetTable[TS])</f>
        <v/>
      </c>
      <c r="AE601" s="165" t="str">
        <f>IFERROR(IF(BetTable[Sport]="","",#REF!/BetTable[TS]),"")</f>
        <v/>
      </c>
      <c r="AF601" s="164">
        <f>IF(BetTable[Outcome]="Win",BetTable[WBA1-Commission],IF(BetTable[Outcome]="Win Half Stake",(BetTable[Stake]/2)+BetTable[WBA1-Commission]/2,IF(BetTable[Outcome]="Lose Half Stake",BetTable[Stake]/2,IF(BetTable[Outcome]="Lose",0,IF(BetTable[Outcome]="Void",BetTable[Stake],)))))</f>
        <v>93.540999999999997</v>
      </c>
      <c r="AG601" s="164">
        <f>IF(BetTable[Outcome2]="Win",BetTable[WBA2-Commission],IF(BetTable[Outcome2]="Win Half Stake",(BetTable[S2]/2)+BetTable[WBA2-Commission]/2,IF(BetTable[Outcome2]="Lose Half Stake",BetTable[S2]/2,IF(BetTable[Outcome2]="Lose",0,IF(BetTable[Outcome2]="Void",BetTable[S2],)))))</f>
        <v>0</v>
      </c>
      <c r="AH601" s="164">
        <f>IF(BetTable[Outcome3]="Win",BetTable[WBA3-Commission],IF(BetTable[Outcome3]="Win Half Stake",(BetTable[S3]/2)+BetTable[WBA3-Commission]/2,IF(BetTable[Outcome3]="Lose Half Stake",BetTable[S3]/2,IF(BetTable[Outcome3]="Lose",0,IF(BetTable[Outcome3]="Void",BetTable[S3],)))))</f>
        <v>0</v>
      </c>
      <c r="AI601" s="168">
        <f>IF(BetTable[Outcome]="",AI600,BetTable[Result]+AI600)</f>
        <v>910.22025000000053</v>
      </c>
      <c r="AJ601" s="160"/>
    </row>
    <row r="602" spans="1:36" x14ac:dyDescent="0.2">
      <c r="A602" s="159" t="s">
        <v>1690</v>
      </c>
      <c r="B602" s="160" t="s">
        <v>9</v>
      </c>
      <c r="C602" s="161" t="s">
        <v>216</v>
      </c>
      <c r="D602" s="161"/>
      <c r="E602" s="161"/>
      <c r="F602" s="162"/>
      <c r="G602" s="162"/>
      <c r="H602" s="162"/>
      <c r="I602" s="160" t="s">
        <v>1691</v>
      </c>
      <c r="J602" s="163">
        <v>1.8</v>
      </c>
      <c r="K602" s="163"/>
      <c r="L602" s="163"/>
      <c r="M602" s="164">
        <v>48</v>
      </c>
      <c r="N602" s="164"/>
      <c r="O602" s="164"/>
      <c r="P602" s="159" t="s">
        <v>435</v>
      </c>
      <c r="Q602" s="159" t="s">
        <v>1429</v>
      </c>
      <c r="R602" s="159" t="s">
        <v>1692</v>
      </c>
      <c r="S602" s="165">
        <v>3.1819130794656099E-2</v>
      </c>
      <c r="T602" s="166" t="s">
        <v>382</v>
      </c>
      <c r="U602" s="166"/>
      <c r="V602" s="166"/>
      <c r="W602" s="167">
        <f>IF(BetTable[Sport]="","",BetTable[Stake]+BetTable[S2]+BetTable[S3])</f>
        <v>48</v>
      </c>
      <c r="X602" s="164">
        <f>IF(BetTable[Odds]="","",(BetTable[WBA1-Commission])-BetTable[TS])</f>
        <v>38.400000000000006</v>
      </c>
      <c r="Y602" s="168">
        <f>IF(BetTable[Outcome]="","",BetTable[WBA1]+BetTable[WBA2]+BetTable[WBA3]-BetTable[TS])</f>
        <v>-48</v>
      </c>
      <c r="Z602" s="164">
        <f>(((BetTable[Odds]-1)*BetTable[Stake])*(1-(BetTable[Comm %]))+BetTable[Stake])</f>
        <v>86.4</v>
      </c>
      <c r="AA602" s="164">
        <f>(((BetTable[O2]-1)*BetTable[S2])*(1-(BetTable[C% 2]))+BetTable[S2])</f>
        <v>0</v>
      </c>
      <c r="AB602" s="164">
        <f>(((BetTable[O3]-1)*BetTable[S3])*(1-(BetTable[C% 3]))+BetTable[S3])</f>
        <v>0</v>
      </c>
      <c r="AC602" s="165">
        <f>IFERROR(IF(BetTable[Sport]="","",BetTable[R1]/BetTable[TS]),"")</f>
        <v>0.80000000000000016</v>
      </c>
      <c r="AD602" s="165" t="str">
        <f>IF(BetTable[O2]="","",#REF!/BetTable[TS])</f>
        <v/>
      </c>
      <c r="AE602" s="165" t="str">
        <f>IFERROR(IF(BetTable[Sport]="","",#REF!/BetTable[TS]),"")</f>
        <v/>
      </c>
      <c r="AF602" s="164">
        <f>IF(BetTable[Outcome]="Win",BetTable[WBA1-Commission],IF(BetTable[Outcome]="Win Half Stake",(BetTable[Stake]/2)+BetTable[WBA1-Commission]/2,IF(BetTable[Outcome]="Lose Half Stake",BetTable[Stake]/2,IF(BetTable[Outcome]="Lose",0,IF(BetTable[Outcome]="Void",BetTable[Stake],)))))</f>
        <v>0</v>
      </c>
      <c r="AG602" s="164">
        <f>IF(BetTable[Outcome2]="Win",BetTable[WBA2-Commission],IF(BetTable[Outcome2]="Win Half Stake",(BetTable[S2]/2)+BetTable[WBA2-Commission]/2,IF(BetTable[Outcome2]="Lose Half Stake",BetTable[S2]/2,IF(BetTable[Outcome2]="Lose",0,IF(BetTable[Outcome2]="Void",BetTable[S2],)))))</f>
        <v>0</v>
      </c>
      <c r="AH602" s="164">
        <f>IF(BetTable[Outcome3]="Win",BetTable[WBA3-Commission],IF(BetTable[Outcome3]="Win Half Stake",(BetTable[S3]/2)+BetTable[WBA3-Commission]/2,IF(BetTable[Outcome3]="Lose Half Stake",BetTable[S3]/2,IF(BetTable[Outcome3]="Lose",0,IF(BetTable[Outcome3]="Void",BetTable[S3],)))))</f>
        <v>0</v>
      </c>
      <c r="AI602" s="168">
        <f>IF(BetTable[Outcome]="",AI601,BetTable[Result]+AI601)</f>
        <v>862.22025000000053</v>
      </c>
      <c r="AJ602" s="160"/>
    </row>
    <row r="603" spans="1:36" x14ac:dyDescent="0.2">
      <c r="A603" s="159" t="s">
        <v>1690</v>
      </c>
      <c r="B603" s="160" t="s">
        <v>201</v>
      </c>
      <c r="C603" s="161" t="s">
        <v>216</v>
      </c>
      <c r="D603" s="161"/>
      <c r="E603" s="161"/>
      <c r="F603" s="162"/>
      <c r="G603" s="162"/>
      <c r="H603" s="162"/>
      <c r="I603" s="160" t="s">
        <v>1693</v>
      </c>
      <c r="J603" s="163">
        <v>1.84</v>
      </c>
      <c r="K603" s="163"/>
      <c r="L603" s="163"/>
      <c r="M603" s="164">
        <v>36</v>
      </c>
      <c r="N603" s="164"/>
      <c r="O603" s="164"/>
      <c r="P603" s="159" t="s">
        <v>1694</v>
      </c>
      <c r="Q603" s="159" t="s">
        <v>1695</v>
      </c>
      <c r="R603" s="159" t="s">
        <v>1696</v>
      </c>
      <c r="S603" s="165">
        <v>2.4818852954367698E-2</v>
      </c>
      <c r="T603" s="166" t="s">
        <v>372</v>
      </c>
      <c r="U603" s="166"/>
      <c r="V603" s="166"/>
      <c r="W603" s="167">
        <f>IF(BetTable[Sport]="","",BetTable[Stake]+BetTable[S2]+BetTable[S3])</f>
        <v>36</v>
      </c>
      <c r="X603" s="164">
        <f>IF(BetTable[Odds]="","",(BetTable[WBA1-Commission])-BetTable[TS])</f>
        <v>30.240000000000009</v>
      </c>
      <c r="Y603" s="168">
        <f>IF(BetTable[Outcome]="","",BetTable[WBA1]+BetTable[WBA2]+BetTable[WBA3]-BetTable[TS])</f>
        <v>30.240000000000009</v>
      </c>
      <c r="Z603" s="164">
        <f>(((BetTable[Odds]-1)*BetTable[Stake])*(1-(BetTable[Comm %]))+BetTable[Stake])</f>
        <v>66.240000000000009</v>
      </c>
      <c r="AA603" s="164">
        <f>(((BetTable[O2]-1)*BetTable[S2])*(1-(BetTable[C% 2]))+BetTable[S2])</f>
        <v>0</v>
      </c>
      <c r="AB603" s="164">
        <f>(((BetTable[O3]-1)*BetTable[S3])*(1-(BetTable[C% 3]))+BetTable[S3])</f>
        <v>0</v>
      </c>
      <c r="AC603" s="165">
        <f>IFERROR(IF(BetTable[Sport]="","",BetTable[R1]/BetTable[TS]),"")</f>
        <v>0.8400000000000003</v>
      </c>
      <c r="AD603" s="165" t="str">
        <f>IF(BetTable[O2]="","",#REF!/BetTable[TS])</f>
        <v/>
      </c>
      <c r="AE603" s="165" t="str">
        <f>IFERROR(IF(BetTable[Sport]="","",#REF!/BetTable[TS]),"")</f>
        <v/>
      </c>
      <c r="AF603" s="164">
        <f>IF(BetTable[Outcome]="Win",BetTable[WBA1-Commission],IF(BetTable[Outcome]="Win Half Stake",(BetTable[Stake]/2)+BetTable[WBA1-Commission]/2,IF(BetTable[Outcome]="Lose Half Stake",BetTable[Stake]/2,IF(BetTable[Outcome]="Lose",0,IF(BetTable[Outcome]="Void",BetTable[Stake],)))))</f>
        <v>66.240000000000009</v>
      </c>
      <c r="AG603" s="164">
        <f>IF(BetTable[Outcome2]="Win",BetTable[WBA2-Commission],IF(BetTable[Outcome2]="Win Half Stake",(BetTable[S2]/2)+BetTable[WBA2-Commission]/2,IF(BetTable[Outcome2]="Lose Half Stake",BetTable[S2]/2,IF(BetTable[Outcome2]="Lose",0,IF(BetTable[Outcome2]="Void",BetTable[S2],)))))</f>
        <v>0</v>
      </c>
      <c r="AH603" s="164">
        <f>IF(BetTable[Outcome3]="Win",BetTable[WBA3-Commission],IF(BetTable[Outcome3]="Win Half Stake",(BetTable[S3]/2)+BetTable[WBA3-Commission]/2,IF(BetTable[Outcome3]="Lose Half Stake",BetTable[S3]/2,IF(BetTable[Outcome3]="Lose",0,IF(BetTable[Outcome3]="Void",BetTable[S3],)))))</f>
        <v>0</v>
      </c>
      <c r="AI603" s="168">
        <f>IF(BetTable[Outcome]="",AI602,BetTable[Result]+AI602)</f>
        <v>892.46025000000054</v>
      </c>
      <c r="AJ603" s="160"/>
    </row>
    <row r="604" spans="1:36" x14ac:dyDescent="0.2">
      <c r="A604" s="159" t="s">
        <v>1690</v>
      </c>
      <c r="B604" s="160" t="s">
        <v>7</v>
      </c>
      <c r="C604" s="161" t="s">
        <v>216</v>
      </c>
      <c r="D604" s="161"/>
      <c r="E604" s="161"/>
      <c r="F604" s="162"/>
      <c r="G604" s="162"/>
      <c r="H604" s="162"/>
      <c r="I604" s="160" t="s">
        <v>1697</v>
      </c>
      <c r="J604" s="163">
        <v>1.9710000000000001</v>
      </c>
      <c r="K604" s="163"/>
      <c r="L604" s="163"/>
      <c r="M604" s="164">
        <v>36</v>
      </c>
      <c r="N604" s="164"/>
      <c r="O604" s="164"/>
      <c r="P604" s="159" t="s">
        <v>1698</v>
      </c>
      <c r="Q604" s="159" t="s">
        <v>1125</v>
      </c>
      <c r="R604" s="159" t="s">
        <v>1699</v>
      </c>
      <c r="S604" s="165">
        <v>2.95383232193373E-2</v>
      </c>
      <c r="T604" s="166" t="s">
        <v>372</v>
      </c>
      <c r="U604" s="166"/>
      <c r="V604" s="166"/>
      <c r="W604" s="167">
        <f>IF(BetTable[Sport]="","",BetTable[Stake]+BetTable[S2]+BetTable[S3])</f>
        <v>36</v>
      </c>
      <c r="X604" s="164">
        <f>IF(BetTable[Odds]="","",(BetTable[WBA1-Commission])-BetTable[TS])</f>
        <v>34.956000000000003</v>
      </c>
      <c r="Y604" s="168">
        <f>IF(BetTable[Outcome]="","",BetTable[WBA1]+BetTable[WBA2]+BetTable[WBA3]-BetTable[TS])</f>
        <v>34.956000000000003</v>
      </c>
      <c r="Z604" s="164">
        <f>(((BetTable[Odds]-1)*BetTable[Stake])*(1-(BetTable[Comm %]))+BetTable[Stake])</f>
        <v>70.956000000000003</v>
      </c>
      <c r="AA604" s="164">
        <f>(((BetTable[O2]-1)*BetTable[S2])*(1-(BetTable[C% 2]))+BetTable[S2])</f>
        <v>0</v>
      </c>
      <c r="AB604" s="164">
        <f>(((BetTable[O3]-1)*BetTable[S3])*(1-(BetTable[C% 3]))+BetTable[S3])</f>
        <v>0</v>
      </c>
      <c r="AC604" s="165">
        <f>IFERROR(IF(BetTable[Sport]="","",BetTable[R1]/BetTable[TS]),"")</f>
        <v>0.97100000000000009</v>
      </c>
      <c r="AD604" s="165" t="str">
        <f>IF(BetTable[O2]="","",#REF!/BetTable[TS])</f>
        <v/>
      </c>
      <c r="AE604" s="165" t="str">
        <f>IFERROR(IF(BetTable[Sport]="","",#REF!/BetTable[TS]),"")</f>
        <v/>
      </c>
      <c r="AF604" s="164">
        <f>IF(BetTable[Outcome]="Win",BetTable[WBA1-Commission],IF(BetTable[Outcome]="Win Half Stake",(BetTable[Stake]/2)+BetTable[WBA1-Commission]/2,IF(BetTable[Outcome]="Lose Half Stake",BetTable[Stake]/2,IF(BetTable[Outcome]="Lose",0,IF(BetTable[Outcome]="Void",BetTable[Stake],)))))</f>
        <v>70.956000000000003</v>
      </c>
      <c r="AG604" s="164">
        <f>IF(BetTable[Outcome2]="Win",BetTable[WBA2-Commission],IF(BetTable[Outcome2]="Win Half Stake",(BetTable[S2]/2)+BetTable[WBA2-Commission]/2,IF(BetTable[Outcome2]="Lose Half Stake",BetTable[S2]/2,IF(BetTable[Outcome2]="Lose",0,IF(BetTable[Outcome2]="Void",BetTable[S2],)))))</f>
        <v>0</v>
      </c>
      <c r="AH604" s="164">
        <f>IF(BetTable[Outcome3]="Win",BetTable[WBA3-Commission],IF(BetTable[Outcome3]="Win Half Stake",(BetTable[S3]/2)+BetTable[WBA3-Commission]/2,IF(BetTable[Outcome3]="Lose Half Stake",BetTable[S3]/2,IF(BetTable[Outcome3]="Lose",0,IF(BetTable[Outcome3]="Void",BetTable[S3],)))))</f>
        <v>0</v>
      </c>
      <c r="AI604" s="168">
        <f>IF(BetTable[Outcome]="",AI603,BetTable[Result]+AI603)</f>
        <v>927.41625000000056</v>
      </c>
      <c r="AJ604" s="160"/>
    </row>
    <row r="605" spans="1:36" x14ac:dyDescent="0.2">
      <c r="A605" s="159" t="s">
        <v>1690</v>
      </c>
      <c r="B605" s="160" t="s">
        <v>201</v>
      </c>
      <c r="C605" s="161" t="s">
        <v>216</v>
      </c>
      <c r="D605" s="161"/>
      <c r="E605" s="161"/>
      <c r="F605" s="162"/>
      <c r="G605" s="162"/>
      <c r="H605" s="162"/>
      <c r="I605" s="160" t="s">
        <v>1700</v>
      </c>
      <c r="J605" s="163">
        <v>2.2599999999999998</v>
      </c>
      <c r="K605" s="163"/>
      <c r="L605" s="163"/>
      <c r="M605" s="164">
        <v>28</v>
      </c>
      <c r="N605" s="164"/>
      <c r="O605" s="164"/>
      <c r="P605" s="159" t="s">
        <v>1701</v>
      </c>
      <c r="Q605" s="159" t="s">
        <v>1101</v>
      </c>
      <c r="R605" s="159" t="s">
        <v>1702</v>
      </c>
      <c r="S605" s="165">
        <v>2.9399308227442501E-2</v>
      </c>
      <c r="T605" s="166" t="s">
        <v>382</v>
      </c>
      <c r="U605" s="166"/>
      <c r="V605" s="166"/>
      <c r="W605" s="167">
        <f>IF(BetTable[Sport]="","",BetTable[Stake]+BetTable[S2]+BetTable[S3])</f>
        <v>28</v>
      </c>
      <c r="X605" s="164">
        <f>IF(BetTable[Odds]="","",(BetTable[WBA1-Commission])-BetTable[TS])</f>
        <v>35.279999999999994</v>
      </c>
      <c r="Y605" s="168">
        <f>IF(BetTable[Outcome]="","",BetTable[WBA1]+BetTable[WBA2]+BetTable[WBA3]-BetTable[TS])</f>
        <v>-28</v>
      </c>
      <c r="Z605" s="164">
        <f>(((BetTable[Odds]-1)*BetTable[Stake])*(1-(BetTable[Comm %]))+BetTable[Stake])</f>
        <v>63.279999999999994</v>
      </c>
      <c r="AA605" s="164">
        <f>(((BetTable[O2]-1)*BetTable[S2])*(1-(BetTable[C% 2]))+BetTable[S2])</f>
        <v>0</v>
      </c>
      <c r="AB605" s="164">
        <f>(((BetTable[O3]-1)*BetTable[S3])*(1-(BetTable[C% 3]))+BetTable[S3])</f>
        <v>0</v>
      </c>
      <c r="AC605" s="165">
        <f>IFERROR(IF(BetTable[Sport]="","",BetTable[R1]/BetTable[TS]),"")</f>
        <v>1.2599999999999998</v>
      </c>
      <c r="AD605" s="165" t="str">
        <f>IF(BetTable[O2]="","",#REF!/BetTable[TS])</f>
        <v/>
      </c>
      <c r="AE605" s="165" t="str">
        <f>IFERROR(IF(BetTable[Sport]="","",#REF!/BetTable[TS]),"")</f>
        <v/>
      </c>
      <c r="AF605" s="164">
        <f>IF(BetTable[Outcome]="Win",BetTable[WBA1-Commission],IF(BetTable[Outcome]="Win Half Stake",(BetTable[Stake]/2)+BetTable[WBA1-Commission]/2,IF(BetTable[Outcome]="Lose Half Stake",BetTable[Stake]/2,IF(BetTable[Outcome]="Lose",0,IF(BetTable[Outcome]="Void",BetTable[Stake],)))))</f>
        <v>0</v>
      </c>
      <c r="AG605" s="164">
        <f>IF(BetTable[Outcome2]="Win",BetTable[WBA2-Commission],IF(BetTable[Outcome2]="Win Half Stake",(BetTable[S2]/2)+BetTable[WBA2-Commission]/2,IF(BetTable[Outcome2]="Lose Half Stake",BetTable[S2]/2,IF(BetTable[Outcome2]="Lose",0,IF(BetTable[Outcome2]="Void",BetTable[S2],)))))</f>
        <v>0</v>
      </c>
      <c r="AH605" s="164">
        <f>IF(BetTable[Outcome3]="Win",BetTable[WBA3-Commission],IF(BetTable[Outcome3]="Win Half Stake",(BetTable[S3]/2)+BetTable[WBA3-Commission]/2,IF(BetTable[Outcome3]="Lose Half Stake",BetTable[S3]/2,IF(BetTable[Outcome3]="Lose",0,IF(BetTable[Outcome3]="Void",BetTable[S3],)))))</f>
        <v>0</v>
      </c>
      <c r="AI605" s="168">
        <f>IF(BetTable[Outcome]="",AI604,BetTable[Result]+AI604)</f>
        <v>899.41625000000056</v>
      </c>
      <c r="AJ605" s="160"/>
    </row>
    <row r="606" spans="1:36" x14ac:dyDescent="0.2">
      <c r="A606" s="159" t="s">
        <v>1690</v>
      </c>
      <c r="B606" s="160" t="s">
        <v>200</v>
      </c>
      <c r="C606" s="161" t="s">
        <v>216</v>
      </c>
      <c r="D606" s="161"/>
      <c r="E606" s="161"/>
      <c r="F606" s="162"/>
      <c r="G606" s="162"/>
      <c r="H606" s="162"/>
      <c r="I606" s="160" t="s">
        <v>1703</v>
      </c>
      <c r="J606" s="163">
        <v>2.2599999999999998</v>
      </c>
      <c r="K606" s="163"/>
      <c r="L606" s="163"/>
      <c r="M606" s="164">
        <v>25</v>
      </c>
      <c r="N606" s="164"/>
      <c r="O606" s="164"/>
      <c r="P606" s="159" t="s">
        <v>435</v>
      </c>
      <c r="Q606" s="159" t="s">
        <v>530</v>
      </c>
      <c r="R606" s="159" t="s">
        <v>1704</v>
      </c>
      <c r="S606" s="165">
        <v>2.64366853486224E-2</v>
      </c>
      <c r="T606" s="166" t="s">
        <v>382</v>
      </c>
      <c r="U606" s="166"/>
      <c r="V606" s="166"/>
      <c r="W606" s="167">
        <f>IF(BetTable[Sport]="","",BetTable[Stake]+BetTable[S2]+BetTable[S3])</f>
        <v>25</v>
      </c>
      <c r="X606" s="164">
        <f>IF(BetTable[Odds]="","",(BetTable[WBA1-Commission])-BetTable[TS])</f>
        <v>31.499999999999993</v>
      </c>
      <c r="Y606" s="168">
        <f>IF(BetTable[Outcome]="","",BetTable[WBA1]+BetTable[WBA2]+BetTable[WBA3]-BetTable[TS])</f>
        <v>-25</v>
      </c>
      <c r="Z606" s="164">
        <f>(((BetTable[Odds]-1)*BetTable[Stake])*(1-(BetTable[Comm %]))+BetTable[Stake])</f>
        <v>56.499999999999993</v>
      </c>
      <c r="AA606" s="164">
        <f>(((BetTable[O2]-1)*BetTable[S2])*(1-(BetTable[C% 2]))+BetTable[S2])</f>
        <v>0</v>
      </c>
      <c r="AB606" s="164">
        <f>(((BetTable[O3]-1)*BetTable[S3])*(1-(BetTable[C% 3]))+BetTable[S3])</f>
        <v>0</v>
      </c>
      <c r="AC606" s="165">
        <f>IFERROR(IF(BetTable[Sport]="","",BetTable[R1]/BetTable[TS]),"")</f>
        <v>1.2599999999999998</v>
      </c>
      <c r="AD606" s="165" t="str">
        <f>IF(BetTable[O2]="","",#REF!/BetTable[TS])</f>
        <v/>
      </c>
      <c r="AE606" s="165" t="str">
        <f>IFERROR(IF(BetTable[Sport]="","",#REF!/BetTable[TS]),"")</f>
        <v/>
      </c>
      <c r="AF606" s="164">
        <f>IF(BetTable[Outcome]="Win",BetTable[WBA1-Commission],IF(BetTable[Outcome]="Win Half Stake",(BetTable[Stake]/2)+BetTable[WBA1-Commission]/2,IF(BetTable[Outcome]="Lose Half Stake",BetTable[Stake]/2,IF(BetTable[Outcome]="Lose",0,IF(BetTable[Outcome]="Void",BetTable[Stake],)))))</f>
        <v>0</v>
      </c>
      <c r="AG606" s="164">
        <f>IF(BetTable[Outcome2]="Win",BetTable[WBA2-Commission],IF(BetTable[Outcome2]="Win Half Stake",(BetTable[S2]/2)+BetTable[WBA2-Commission]/2,IF(BetTable[Outcome2]="Lose Half Stake",BetTable[S2]/2,IF(BetTable[Outcome2]="Lose",0,IF(BetTable[Outcome2]="Void",BetTable[S2],)))))</f>
        <v>0</v>
      </c>
      <c r="AH606" s="164">
        <f>IF(BetTable[Outcome3]="Win",BetTable[WBA3-Commission],IF(BetTable[Outcome3]="Win Half Stake",(BetTable[S3]/2)+BetTable[WBA3-Commission]/2,IF(BetTable[Outcome3]="Lose Half Stake",BetTable[S3]/2,IF(BetTable[Outcome3]="Lose",0,IF(BetTable[Outcome3]="Void",BetTable[S3],)))))</f>
        <v>0</v>
      </c>
      <c r="AI606" s="168">
        <f>IF(BetTable[Outcome]="",AI605,BetTable[Result]+AI605)</f>
        <v>874.41625000000056</v>
      </c>
      <c r="AJ606" s="160"/>
    </row>
    <row r="607" spans="1:36" x14ac:dyDescent="0.2">
      <c r="A607" s="159" t="s">
        <v>1690</v>
      </c>
      <c r="B607" s="160" t="s">
        <v>200</v>
      </c>
      <c r="C607" s="161" t="s">
        <v>216</v>
      </c>
      <c r="D607" s="161"/>
      <c r="E607" s="161"/>
      <c r="F607" s="162"/>
      <c r="G607" s="162"/>
      <c r="H607" s="162"/>
      <c r="I607" s="160" t="s">
        <v>1705</v>
      </c>
      <c r="J607" s="163">
        <v>2.92</v>
      </c>
      <c r="K607" s="163"/>
      <c r="L607" s="163"/>
      <c r="M607" s="164">
        <v>21</v>
      </c>
      <c r="N607" s="164"/>
      <c r="O607" s="164"/>
      <c r="P607" s="159" t="s">
        <v>494</v>
      </c>
      <c r="Q607" s="159" t="s">
        <v>540</v>
      </c>
      <c r="R607" s="159" t="s">
        <v>1706</v>
      </c>
      <c r="S607" s="165">
        <v>3.3866845509181197E-2</v>
      </c>
      <c r="T607" s="166" t="s">
        <v>382</v>
      </c>
      <c r="U607" s="166"/>
      <c r="V607" s="166"/>
      <c r="W607" s="167">
        <f>IF(BetTable[Sport]="","",BetTable[Stake]+BetTable[S2]+BetTable[S3])</f>
        <v>21</v>
      </c>
      <c r="X607" s="164">
        <f>IF(BetTable[Odds]="","",(BetTable[WBA1-Commission])-BetTable[TS])</f>
        <v>40.32</v>
      </c>
      <c r="Y607" s="168">
        <f>IF(BetTable[Outcome]="","",BetTable[WBA1]+BetTable[WBA2]+BetTable[WBA3]-BetTable[TS])</f>
        <v>-21</v>
      </c>
      <c r="Z607" s="164">
        <f>(((BetTable[Odds]-1)*BetTable[Stake])*(1-(BetTable[Comm %]))+BetTable[Stake])</f>
        <v>61.32</v>
      </c>
      <c r="AA607" s="164">
        <f>(((BetTable[O2]-1)*BetTable[S2])*(1-(BetTable[C% 2]))+BetTable[S2])</f>
        <v>0</v>
      </c>
      <c r="AB607" s="164">
        <f>(((BetTable[O3]-1)*BetTable[S3])*(1-(BetTable[C% 3]))+BetTable[S3])</f>
        <v>0</v>
      </c>
      <c r="AC607" s="165">
        <f>IFERROR(IF(BetTable[Sport]="","",BetTable[R1]/BetTable[TS]),"")</f>
        <v>1.92</v>
      </c>
      <c r="AD607" s="165" t="str">
        <f>IF(BetTable[O2]="","",#REF!/BetTable[TS])</f>
        <v/>
      </c>
      <c r="AE607" s="165" t="str">
        <f>IFERROR(IF(BetTable[Sport]="","",#REF!/BetTable[TS]),"")</f>
        <v/>
      </c>
      <c r="AF607" s="164">
        <f>IF(BetTable[Outcome]="Win",BetTable[WBA1-Commission],IF(BetTable[Outcome]="Win Half Stake",(BetTable[Stake]/2)+BetTable[WBA1-Commission]/2,IF(BetTable[Outcome]="Lose Half Stake",BetTable[Stake]/2,IF(BetTable[Outcome]="Lose",0,IF(BetTable[Outcome]="Void",BetTable[Stake],)))))</f>
        <v>0</v>
      </c>
      <c r="AG607" s="164">
        <f>IF(BetTable[Outcome2]="Win",BetTable[WBA2-Commission],IF(BetTable[Outcome2]="Win Half Stake",(BetTable[S2]/2)+BetTable[WBA2-Commission]/2,IF(BetTable[Outcome2]="Lose Half Stake",BetTable[S2]/2,IF(BetTable[Outcome2]="Lose",0,IF(BetTable[Outcome2]="Void",BetTable[S2],)))))</f>
        <v>0</v>
      </c>
      <c r="AH607" s="164">
        <f>IF(BetTable[Outcome3]="Win",BetTable[WBA3-Commission],IF(BetTable[Outcome3]="Win Half Stake",(BetTable[S3]/2)+BetTable[WBA3-Commission]/2,IF(BetTable[Outcome3]="Lose Half Stake",BetTable[S3]/2,IF(BetTable[Outcome3]="Lose",0,IF(BetTable[Outcome3]="Void",BetTable[S3],)))))</f>
        <v>0</v>
      </c>
      <c r="AI607" s="168">
        <f>IF(BetTable[Outcome]="",AI606,BetTable[Result]+AI606)</f>
        <v>853.41625000000056</v>
      </c>
      <c r="AJ607" s="160"/>
    </row>
    <row r="608" spans="1:36" x14ac:dyDescent="0.2">
      <c r="A608" s="159" t="s">
        <v>1690</v>
      </c>
      <c r="B608" s="160" t="s">
        <v>200</v>
      </c>
      <c r="C608" s="161" t="s">
        <v>91</v>
      </c>
      <c r="D608" s="161"/>
      <c r="E608" s="161"/>
      <c r="F608" s="162"/>
      <c r="G608" s="162"/>
      <c r="H608" s="162"/>
      <c r="I608" s="160" t="s">
        <v>1707</v>
      </c>
      <c r="J608" s="163">
        <v>1.75</v>
      </c>
      <c r="K608" s="163"/>
      <c r="L608" s="163"/>
      <c r="M608" s="164">
        <v>48</v>
      </c>
      <c r="N608" s="164"/>
      <c r="O608" s="164"/>
      <c r="P608" s="159" t="s">
        <v>354</v>
      </c>
      <c r="Q608" s="159" t="s">
        <v>491</v>
      </c>
      <c r="R608" s="159" t="s">
        <v>1708</v>
      </c>
      <c r="S608" s="165">
        <v>2.5124906599253798E-2</v>
      </c>
      <c r="T608" s="166" t="s">
        <v>372</v>
      </c>
      <c r="U608" s="166"/>
      <c r="V608" s="166"/>
      <c r="W608" s="167">
        <f>IF(BetTable[Sport]="","",BetTable[Stake]+BetTable[S2]+BetTable[S3])</f>
        <v>48</v>
      </c>
      <c r="X608" s="164">
        <f>IF(BetTable[Odds]="","",(BetTable[WBA1-Commission])-BetTable[TS])</f>
        <v>36</v>
      </c>
      <c r="Y608" s="168">
        <f>IF(BetTable[Outcome]="","",BetTable[WBA1]+BetTable[WBA2]+BetTable[WBA3]-BetTable[TS])</f>
        <v>36</v>
      </c>
      <c r="Z608" s="164">
        <f>(((BetTable[Odds]-1)*BetTable[Stake])*(1-(BetTable[Comm %]))+BetTable[Stake])</f>
        <v>84</v>
      </c>
      <c r="AA608" s="164">
        <f>(((BetTable[O2]-1)*BetTable[S2])*(1-(BetTable[C% 2]))+BetTable[S2])</f>
        <v>0</v>
      </c>
      <c r="AB608" s="164">
        <f>(((BetTable[O3]-1)*BetTable[S3])*(1-(BetTable[C% 3]))+BetTable[S3])</f>
        <v>0</v>
      </c>
      <c r="AC608" s="165">
        <f>IFERROR(IF(BetTable[Sport]="","",BetTable[R1]/BetTable[TS]),"")</f>
        <v>0.75</v>
      </c>
      <c r="AD608" s="165" t="str">
        <f>IF(BetTable[O2]="","",#REF!/BetTable[TS])</f>
        <v/>
      </c>
      <c r="AE608" s="165" t="str">
        <f>IFERROR(IF(BetTable[Sport]="","",#REF!/BetTable[TS]),"")</f>
        <v/>
      </c>
      <c r="AF608" s="164">
        <f>IF(BetTable[Outcome]="Win",BetTable[WBA1-Commission],IF(BetTable[Outcome]="Win Half Stake",(BetTable[Stake]/2)+BetTable[WBA1-Commission]/2,IF(BetTable[Outcome]="Lose Half Stake",BetTable[Stake]/2,IF(BetTable[Outcome]="Lose",0,IF(BetTable[Outcome]="Void",BetTable[Stake],)))))</f>
        <v>84</v>
      </c>
      <c r="AG608" s="164">
        <f>IF(BetTable[Outcome2]="Win",BetTable[WBA2-Commission],IF(BetTable[Outcome2]="Win Half Stake",(BetTable[S2]/2)+BetTable[WBA2-Commission]/2,IF(BetTable[Outcome2]="Lose Half Stake",BetTable[S2]/2,IF(BetTable[Outcome2]="Lose",0,IF(BetTable[Outcome2]="Void",BetTable[S2],)))))</f>
        <v>0</v>
      </c>
      <c r="AH608" s="164">
        <f>IF(BetTable[Outcome3]="Win",BetTable[WBA3-Commission],IF(BetTable[Outcome3]="Win Half Stake",(BetTable[S3]/2)+BetTable[WBA3-Commission]/2,IF(BetTable[Outcome3]="Lose Half Stake",BetTable[S3]/2,IF(BetTable[Outcome3]="Lose",0,IF(BetTable[Outcome3]="Void",BetTable[S3],)))))</f>
        <v>0</v>
      </c>
      <c r="AI608" s="168">
        <f>IF(BetTable[Outcome]="",AI607,BetTable[Result]+AI607)</f>
        <v>889.41625000000056</v>
      </c>
      <c r="AJ608" s="160"/>
    </row>
    <row r="609" spans="1:36" x14ac:dyDescent="0.2">
      <c r="A609" s="159" t="s">
        <v>1690</v>
      </c>
      <c r="B609" s="160" t="s">
        <v>200</v>
      </c>
      <c r="C609" s="161" t="s">
        <v>91</v>
      </c>
      <c r="D609" s="161"/>
      <c r="E609" s="161"/>
      <c r="F609" s="162"/>
      <c r="G609" s="162"/>
      <c r="H609" s="162"/>
      <c r="I609" s="160" t="s">
        <v>1709</v>
      </c>
      <c r="J609" s="163">
        <v>1.84</v>
      </c>
      <c r="K609" s="163"/>
      <c r="L609" s="163"/>
      <c r="M609" s="164">
        <v>45</v>
      </c>
      <c r="N609" s="164"/>
      <c r="O609" s="164"/>
      <c r="P609" s="159" t="s">
        <v>1710</v>
      </c>
      <c r="Q609" s="159" t="s">
        <v>503</v>
      </c>
      <c r="R609" s="159" t="s">
        <v>1711</v>
      </c>
      <c r="S609" s="165">
        <v>2.6393002142442799E-2</v>
      </c>
      <c r="T609" s="166" t="s">
        <v>372</v>
      </c>
      <c r="U609" s="166"/>
      <c r="V609" s="166"/>
      <c r="W609" s="167">
        <f>IF(BetTable[Sport]="","",BetTable[Stake]+BetTable[S2]+BetTable[S3])</f>
        <v>45</v>
      </c>
      <c r="X609" s="164">
        <f>IF(BetTable[Odds]="","",(BetTable[WBA1-Commission])-BetTable[TS])</f>
        <v>37.800000000000011</v>
      </c>
      <c r="Y609" s="168">
        <f>IF(BetTable[Outcome]="","",BetTable[WBA1]+BetTable[WBA2]+BetTable[WBA3]-BetTable[TS])</f>
        <v>37.800000000000011</v>
      </c>
      <c r="Z609" s="164">
        <f>(((BetTable[Odds]-1)*BetTable[Stake])*(1-(BetTable[Comm %]))+BetTable[Stake])</f>
        <v>82.800000000000011</v>
      </c>
      <c r="AA609" s="164">
        <f>(((BetTable[O2]-1)*BetTable[S2])*(1-(BetTable[C% 2]))+BetTable[S2])</f>
        <v>0</v>
      </c>
      <c r="AB609" s="164">
        <f>(((BetTable[O3]-1)*BetTable[S3])*(1-(BetTable[C% 3]))+BetTable[S3])</f>
        <v>0</v>
      </c>
      <c r="AC609" s="165">
        <f>IFERROR(IF(BetTable[Sport]="","",BetTable[R1]/BetTable[TS]),"")</f>
        <v>0.8400000000000003</v>
      </c>
      <c r="AD609" s="165" t="str">
        <f>IF(BetTable[O2]="","",#REF!/BetTable[TS])</f>
        <v/>
      </c>
      <c r="AE609" s="165" t="str">
        <f>IFERROR(IF(BetTable[Sport]="","",#REF!/BetTable[TS]),"")</f>
        <v/>
      </c>
      <c r="AF609" s="164">
        <f>IF(BetTable[Outcome]="Win",BetTable[WBA1-Commission],IF(BetTable[Outcome]="Win Half Stake",(BetTable[Stake]/2)+BetTable[WBA1-Commission]/2,IF(BetTable[Outcome]="Lose Half Stake",BetTable[Stake]/2,IF(BetTable[Outcome]="Lose",0,IF(BetTable[Outcome]="Void",BetTable[Stake],)))))</f>
        <v>82.800000000000011</v>
      </c>
      <c r="AG609" s="164">
        <f>IF(BetTable[Outcome2]="Win",BetTable[WBA2-Commission],IF(BetTable[Outcome2]="Win Half Stake",(BetTable[S2]/2)+BetTable[WBA2-Commission]/2,IF(BetTable[Outcome2]="Lose Half Stake",BetTable[S2]/2,IF(BetTable[Outcome2]="Lose",0,IF(BetTable[Outcome2]="Void",BetTable[S2],)))))</f>
        <v>0</v>
      </c>
      <c r="AH609" s="164">
        <f>IF(BetTable[Outcome3]="Win",BetTable[WBA3-Commission],IF(BetTable[Outcome3]="Win Half Stake",(BetTable[S3]/2)+BetTable[WBA3-Commission]/2,IF(BetTable[Outcome3]="Lose Half Stake",BetTable[S3]/2,IF(BetTable[Outcome3]="Lose",0,IF(BetTable[Outcome3]="Void",BetTable[S3],)))))</f>
        <v>0</v>
      </c>
      <c r="AI609" s="168">
        <f>IF(BetTable[Outcome]="",AI608,BetTable[Result]+AI608)</f>
        <v>927.21625000000063</v>
      </c>
      <c r="AJ609" s="160"/>
    </row>
    <row r="610" spans="1:36" x14ac:dyDescent="0.2">
      <c r="A610" s="159" t="s">
        <v>1690</v>
      </c>
      <c r="B610" s="160" t="s">
        <v>200</v>
      </c>
      <c r="C610" s="161" t="s">
        <v>1714</v>
      </c>
      <c r="D610" s="161"/>
      <c r="E610" s="161"/>
      <c r="F610" s="162"/>
      <c r="G610" s="162"/>
      <c r="H610" s="162"/>
      <c r="I610" s="160" t="s">
        <v>1712</v>
      </c>
      <c r="J610" s="163">
        <v>2</v>
      </c>
      <c r="K610" s="163"/>
      <c r="L610" s="163"/>
      <c r="M610" s="164">
        <v>33</v>
      </c>
      <c r="N610" s="164"/>
      <c r="O610" s="164"/>
      <c r="P610" s="159" t="s">
        <v>637</v>
      </c>
      <c r="Q610" s="159" t="s">
        <v>1667</v>
      </c>
      <c r="R610" s="159" t="s">
        <v>1713</v>
      </c>
      <c r="S610" s="165">
        <v>2.26869808239194E-2</v>
      </c>
      <c r="T610" s="166" t="s">
        <v>372</v>
      </c>
      <c r="U610" s="166"/>
      <c r="V610" s="166"/>
      <c r="W610" s="167">
        <f>IF(BetTable[Sport]="","",BetTable[Stake]+BetTable[S2]+BetTable[S3])</f>
        <v>33</v>
      </c>
      <c r="X610" s="164">
        <f>IF(BetTable[Odds]="","",(BetTable[WBA1-Commission])-BetTable[TS])</f>
        <v>33</v>
      </c>
      <c r="Y610" s="168">
        <f>IF(BetTable[Outcome]="","",BetTable[WBA1]+BetTable[WBA2]+BetTable[WBA3]-BetTable[TS])</f>
        <v>33</v>
      </c>
      <c r="Z610" s="164">
        <f>(((BetTable[Odds]-1)*BetTable[Stake])*(1-(BetTable[Comm %]))+BetTable[Stake])</f>
        <v>66</v>
      </c>
      <c r="AA610" s="164">
        <f>(((BetTable[O2]-1)*BetTable[S2])*(1-(BetTable[C% 2]))+BetTable[S2])</f>
        <v>0</v>
      </c>
      <c r="AB610" s="164">
        <f>(((BetTable[O3]-1)*BetTable[S3])*(1-(BetTable[C% 3]))+BetTable[S3])</f>
        <v>0</v>
      </c>
      <c r="AC610" s="165">
        <f>IFERROR(IF(BetTable[Sport]="","",BetTable[R1]/BetTable[TS]),"")</f>
        <v>1</v>
      </c>
      <c r="AD610" s="165" t="str">
        <f>IF(BetTable[O2]="","",#REF!/BetTable[TS])</f>
        <v/>
      </c>
      <c r="AE610" s="165" t="str">
        <f>IFERROR(IF(BetTable[Sport]="","",#REF!/BetTable[TS]),"")</f>
        <v/>
      </c>
      <c r="AF610" s="164">
        <f>IF(BetTable[Outcome]="Win",BetTable[WBA1-Commission],IF(BetTable[Outcome]="Win Half Stake",(BetTable[Stake]/2)+BetTable[WBA1-Commission]/2,IF(BetTable[Outcome]="Lose Half Stake",BetTable[Stake]/2,IF(BetTable[Outcome]="Lose",0,IF(BetTable[Outcome]="Void",BetTable[Stake],)))))</f>
        <v>66</v>
      </c>
      <c r="AG610" s="164">
        <f>IF(BetTable[Outcome2]="Win",BetTable[WBA2-Commission],IF(BetTable[Outcome2]="Win Half Stake",(BetTable[S2]/2)+BetTable[WBA2-Commission]/2,IF(BetTable[Outcome2]="Lose Half Stake",BetTable[S2]/2,IF(BetTable[Outcome2]="Lose",0,IF(BetTable[Outcome2]="Void",BetTable[S2],)))))</f>
        <v>0</v>
      </c>
      <c r="AH610" s="164">
        <f>IF(BetTable[Outcome3]="Win",BetTable[WBA3-Commission],IF(BetTable[Outcome3]="Win Half Stake",(BetTable[S3]/2)+BetTable[WBA3-Commission]/2,IF(BetTable[Outcome3]="Lose Half Stake",BetTable[S3]/2,IF(BetTable[Outcome3]="Lose",0,IF(BetTable[Outcome3]="Void",BetTable[S3],)))))</f>
        <v>0</v>
      </c>
      <c r="AI610" s="168">
        <f>IF(BetTable[Outcome]="",AI609,BetTable[Result]+AI609)</f>
        <v>960.21625000000063</v>
      </c>
      <c r="AJ610" s="160"/>
    </row>
    <row r="611" spans="1:36" x14ac:dyDescent="0.2">
      <c r="A611" s="159" t="s">
        <v>1690</v>
      </c>
      <c r="B611" s="160" t="s">
        <v>200</v>
      </c>
      <c r="C611" s="161" t="s">
        <v>91</v>
      </c>
      <c r="D611" s="161"/>
      <c r="E611" s="161"/>
      <c r="F611" s="162"/>
      <c r="G611" s="162"/>
      <c r="H611" s="162"/>
      <c r="I611" s="160" t="s">
        <v>1715</v>
      </c>
      <c r="J611" s="163">
        <v>1.88</v>
      </c>
      <c r="K611" s="163"/>
      <c r="L611" s="163"/>
      <c r="M611" s="164">
        <v>59</v>
      </c>
      <c r="N611" s="164"/>
      <c r="O611" s="164"/>
      <c r="P611" s="159" t="s">
        <v>1086</v>
      </c>
      <c r="Q611" s="159" t="s">
        <v>503</v>
      </c>
      <c r="R611" s="159" t="s">
        <v>1716</v>
      </c>
      <c r="S611" s="165">
        <v>3.5755539792003597E-2</v>
      </c>
      <c r="T611" s="166" t="s">
        <v>372</v>
      </c>
      <c r="U611" s="166"/>
      <c r="V611" s="166"/>
      <c r="W611" s="167">
        <f>IF(BetTable[Sport]="","",BetTable[Stake]+BetTable[S2]+BetTable[S3])</f>
        <v>59</v>
      </c>
      <c r="X611" s="164">
        <f>IF(BetTable[Odds]="","",(BetTable[WBA1-Commission])-BetTable[TS])</f>
        <v>51.919999999999987</v>
      </c>
      <c r="Y611" s="168">
        <f>IF(BetTable[Outcome]="","",BetTable[WBA1]+BetTable[WBA2]+BetTable[WBA3]-BetTable[TS])</f>
        <v>51.919999999999987</v>
      </c>
      <c r="Z611" s="164">
        <f>(((BetTable[Odds]-1)*BetTable[Stake])*(1-(BetTable[Comm %]))+BetTable[Stake])</f>
        <v>110.91999999999999</v>
      </c>
      <c r="AA611" s="164">
        <f>(((BetTable[O2]-1)*BetTable[S2])*(1-(BetTable[C% 2]))+BetTable[S2])</f>
        <v>0</v>
      </c>
      <c r="AB611" s="164">
        <f>(((BetTable[O3]-1)*BetTable[S3])*(1-(BetTable[C% 3]))+BetTable[S3])</f>
        <v>0</v>
      </c>
      <c r="AC611" s="165">
        <f>IFERROR(IF(BetTable[Sport]="","",BetTable[R1]/BetTable[TS]),"")</f>
        <v>0.87999999999999978</v>
      </c>
      <c r="AD611" s="165" t="str">
        <f>IF(BetTable[O2]="","",#REF!/BetTable[TS])</f>
        <v/>
      </c>
      <c r="AE611" s="165" t="str">
        <f>IFERROR(IF(BetTable[Sport]="","",#REF!/BetTable[TS]),"")</f>
        <v/>
      </c>
      <c r="AF611" s="164">
        <f>IF(BetTable[Outcome]="Win",BetTable[WBA1-Commission],IF(BetTable[Outcome]="Win Half Stake",(BetTable[Stake]/2)+BetTable[WBA1-Commission]/2,IF(BetTable[Outcome]="Lose Half Stake",BetTable[Stake]/2,IF(BetTable[Outcome]="Lose",0,IF(BetTable[Outcome]="Void",BetTable[Stake],)))))</f>
        <v>110.91999999999999</v>
      </c>
      <c r="AG611" s="164">
        <f>IF(BetTable[Outcome2]="Win",BetTable[WBA2-Commission],IF(BetTable[Outcome2]="Win Half Stake",(BetTable[S2]/2)+BetTable[WBA2-Commission]/2,IF(BetTable[Outcome2]="Lose Half Stake",BetTable[S2]/2,IF(BetTable[Outcome2]="Lose",0,IF(BetTable[Outcome2]="Void",BetTable[S2],)))))</f>
        <v>0</v>
      </c>
      <c r="AH611" s="164">
        <f>IF(BetTable[Outcome3]="Win",BetTable[WBA3-Commission],IF(BetTable[Outcome3]="Win Half Stake",(BetTable[S3]/2)+BetTable[WBA3-Commission]/2,IF(BetTable[Outcome3]="Lose Half Stake",BetTable[S3]/2,IF(BetTable[Outcome3]="Lose",0,IF(BetTable[Outcome3]="Void",BetTable[S3],)))))</f>
        <v>0</v>
      </c>
      <c r="AI611" s="168">
        <f>IF(BetTable[Outcome]="",AI610,BetTable[Result]+AI610)</f>
        <v>1012.1362500000006</v>
      </c>
      <c r="AJ611" s="160"/>
    </row>
    <row r="612" spans="1:36" x14ac:dyDescent="0.2">
      <c r="A612" s="159" t="s">
        <v>1690</v>
      </c>
      <c r="B612" s="160" t="s">
        <v>200</v>
      </c>
      <c r="C612" s="161" t="s">
        <v>1714</v>
      </c>
      <c r="D612" s="161"/>
      <c r="E612" s="161"/>
      <c r="F612" s="162"/>
      <c r="G612" s="162"/>
      <c r="H612" s="162"/>
      <c r="I612" s="160" t="s">
        <v>1717</v>
      </c>
      <c r="J612" s="163">
        <v>2.08</v>
      </c>
      <c r="K612" s="163"/>
      <c r="L612" s="163"/>
      <c r="M612" s="164">
        <v>22</v>
      </c>
      <c r="N612" s="164"/>
      <c r="O612" s="164"/>
      <c r="P612" s="159" t="s">
        <v>1718</v>
      </c>
      <c r="Q612" s="159" t="s">
        <v>458</v>
      </c>
      <c r="R612" s="159" t="s">
        <v>1719</v>
      </c>
      <c r="S612" s="165">
        <v>1.6176090784840801E-2</v>
      </c>
      <c r="T612" s="166" t="s">
        <v>372</v>
      </c>
      <c r="U612" s="166"/>
      <c r="V612" s="166"/>
      <c r="W612" s="167">
        <f>IF(BetTable[Sport]="","",BetTable[Stake]+BetTable[S2]+BetTable[S3])</f>
        <v>22</v>
      </c>
      <c r="X612" s="164">
        <f>IF(BetTable[Odds]="","",(BetTable[WBA1-Commission])-BetTable[TS])</f>
        <v>23.760000000000005</v>
      </c>
      <c r="Y612" s="168">
        <f>IF(BetTable[Outcome]="","",BetTable[WBA1]+BetTable[WBA2]+BetTable[WBA3]-BetTable[TS])</f>
        <v>23.760000000000005</v>
      </c>
      <c r="Z612" s="164">
        <f>(((BetTable[Odds]-1)*BetTable[Stake])*(1-(BetTable[Comm %]))+BetTable[Stake])</f>
        <v>45.760000000000005</v>
      </c>
      <c r="AA612" s="164">
        <f>(((BetTable[O2]-1)*BetTable[S2])*(1-(BetTable[C% 2]))+BetTable[S2])</f>
        <v>0</v>
      </c>
      <c r="AB612" s="164">
        <f>(((BetTable[O3]-1)*BetTable[S3])*(1-(BetTable[C% 3]))+BetTable[S3])</f>
        <v>0</v>
      </c>
      <c r="AC612" s="165">
        <f>IFERROR(IF(BetTable[Sport]="","",BetTable[R1]/BetTable[TS]),"")</f>
        <v>1.0800000000000003</v>
      </c>
      <c r="AD612" s="165" t="str">
        <f>IF(BetTable[O2]="","",#REF!/BetTable[TS])</f>
        <v/>
      </c>
      <c r="AE612" s="165" t="str">
        <f>IFERROR(IF(BetTable[Sport]="","",#REF!/BetTable[TS]),"")</f>
        <v/>
      </c>
      <c r="AF612" s="164">
        <f>IF(BetTable[Outcome]="Win",BetTable[WBA1-Commission],IF(BetTable[Outcome]="Win Half Stake",(BetTable[Stake]/2)+BetTable[WBA1-Commission]/2,IF(BetTable[Outcome]="Lose Half Stake",BetTable[Stake]/2,IF(BetTable[Outcome]="Lose",0,IF(BetTable[Outcome]="Void",BetTable[Stake],)))))</f>
        <v>45.760000000000005</v>
      </c>
      <c r="AG612" s="164">
        <f>IF(BetTable[Outcome2]="Win",BetTable[WBA2-Commission],IF(BetTable[Outcome2]="Win Half Stake",(BetTable[S2]/2)+BetTable[WBA2-Commission]/2,IF(BetTable[Outcome2]="Lose Half Stake",BetTable[S2]/2,IF(BetTable[Outcome2]="Lose",0,IF(BetTable[Outcome2]="Void",BetTable[S2],)))))</f>
        <v>0</v>
      </c>
      <c r="AH612" s="164">
        <f>IF(BetTable[Outcome3]="Win",BetTable[WBA3-Commission],IF(BetTable[Outcome3]="Win Half Stake",(BetTable[S3]/2)+BetTable[WBA3-Commission]/2,IF(BetTable[Outcome3]="Lose Half Stake",BetTable[S3]/2,IF(BetTable[Outcome3]="Lose",0,IF(BetTable[Outcome3]="Void",BetTable[S3],)))))</f>
        <v>0</v>
      </c>
      <c r="AI612" s="168">
        <f>IF(BetTable[Outcome]="",AI611,BetTable[Result]+AI611)</f>
        <v>1035.8962500000007</v>
      </c>
      <c r="AJ612" s="160"/>
    </row>
    <row r="613" spans="1:36" x14ac:dyDescent="0.2">
      <c r="A613" s="159" t="s">
        <v>1690</v>
      </c>
      <c r="B613" s="160" t="s">
        <v>200</v>
      </c>
      <c r="C613" s="161" t="s">
        <v>1714</v>
      </c>
      <c r="D613" s="161"/>
      <c r="E613" s="161"/>
      <c r="F613" s="162"/>
      <c r="G613" s="162"/>
      <c r="H613" s="162"/>
      <c r="I613" s="160" t="s">
        <v>1720</v>
      </c>
      <c r="J613" s="163">
        <v>1.27</v>
      </c>
      <c r="K613" s="163"/>
      <c r="L613" s="163"/>
      <c r="M613" s="164">
        <v>87</v>
      </c>
      <c r="N613" s="164"/>
      <c r="O613" s="164"/>
      <c r="P613" s="159" t="s">
        <v>435</v>
      </c>
      <c r="Q613" s="159" t="s">
        <v>488</v>
      </c>
      <c r="R613" s="159" t="s">
        <v>1721</v>
      </c>
      <c r="S613" s="165">
        <v>1.6295983413859599E-2</v>
      </c>
      <c r="T613" s="166" t="s">
        <v>372</v>
      </c>
      <c r="U613" s="166"/>
      <c r="V613" s="166"/>
      <c r="W613" s="167">
        <f>IF(BetTable[Sport]="","",BetTable[Stake]+BetTable[S2]+BetTable[S3])</f>
        <v>87</v>
      </c>
      <c r="X613" s="164">
        <f>IF(BetTable[Odds]="","",(BetTable[WBA1-Commission])-BetTable[TS])</f>
        <v>23.490000000000009</v>
      </c>
      <c r="Y613" s="168">
        <f>IF(BetTable[Outcome]="","",BetTable[WBA1]+BetTable[WBA2]+BetTable[WBA3]-BetTable[TS])</f>
        <v>23.490000000000009</v>
      </c>
      <c r="Z613" s="164">
        <f>(((BetTable[Odds]-1)*BetTable[Stake])*(1-(BetTable[Comm %]))+BetTable[Stake])</f>
        <v>110.49000000000001</v>
      </c>
      <c r="AA613" s="164">
        <f>(((BetTable[O2]-1)*BetTable[S2])*(1-(BetTable[C% 2]))+BetTable[S2])</f>
        <v>0</v>
      </c>
      <c r="AB613" s="164">
        <f>(((BetTable[O3]-1)*BetTable[S3])*(1-(BetTable[C% 3]))+BetTable[S3])</f>
        <v>0</v>
      </c>
      <c r="AC613" s="165">
        <f>IFERROR(IF(BetTable[Sport]="","",BetTable[R1]/BetTable[TS]),"")</f>
        <v>0.27000000000000013</v>
      </c>
      <c r="AD613" s="165" t="str">
        <f>IF(BetTable[O2]="","",#REF!/BetTable[TS])</f>
        <v/>
      </c>
      <c r="AE613" s="165" t="str">
        <f>IFERROR(IF(BetTable[Sport]="","",#REF!/BetTable[TS]),"")</f>
        <v/>
      </c>
      <c r="AF613" s="164">
        <f>IF(BetTable[Outcome]="Win",BetTable[WBA1-Commission],IF(BetTable[Outcome]="Win Half Stake",(BetTable[Stake]/2)+BetTable[WBA1-Commission]/2,IF(BetTable[Outcome]="Lose Half Stake",BetTable[Stake]/2,IF(BetTable[Outcome]="Lose",0,IF(BetTable[Outcome]="Void",BetTable[Stake],)))))</f>
        <v>110.49000000000001</v>
      </c>
      <c r="AG613" s="164">
        <f>IF(BetTable[Outcome2]="Win",BetTable[WBA2-Commission],IF(BetTable[Outcome2]="Win Half Stake",(BetTable[S2]/2)+BetTable[WBA2-Commission]/2,IF(BetTable[Outcome2]="Lose Half Stake",BetTable[S2]/2,IF(BetTable[Outcome2]="Lose",0,IF(BetTable[Outcome2]="Void",BetTable[S2],)))))</f>
        <v>0</v>
      </c>
      <c r="AH613" s="164">
        <f>IF(BetTable[Outcome3]="Win",BetTable[WBA3-Commission],IF(BetTable[Outcome3]="Win Half Stake",(BetTable[S3]/2)+BetTable[WBA3-Commission]/2,IF(BetTable[Outcome3]="Lose Half Stake",BetTable[S3]/2,IF(BetTable[Outcome3]="Lose",0,IF(BetTable[Outcome3]="Void",BetTable[S3],)))))</f>
        <v>0</v>
      </c>
      <c r="AI613" s="168">
        <f>IF(BetTable[Outcome]="",AI612,BetTable[Result]+AI612)</f>
        <v>1059.3862500000007</v>
      </c>
      <c r="AJ613" s="160"/>
    </row>
    <row r="614" spans="1:36" x14ac:dyDescent="0.2">
      <c r="A614" s="159" t="s">
        <v>1690</v>
      </c>
      <c r="B614" s="160" t="s">
        <v>200</v>
      </c>
      <c r="C614" s="161" t="s">
        <v>91</v>
      </c>
      <c r="D614" s="161"/>
      <c r="E614" s="161"/>
      <c r="F614" s="162"/>
      <c r="G614" s="162"/>
      <c r="H614" s="162"/>
      <c r="I614" s="160" t="s">
        <v>1722</v>
      </c>
      <c r="J614" s="163">
        <v>2.17</v>
      </c>
      <c r="K614" s="163"/>
      <c r="L614" s="163"/>
      <c r="M614" s="164">
        <v>32</v>
      </c>
      <c r="N614" s="164"/>
      <c r="O614" s="164"/>
      <c r="P614" s="159" t="s">
        <v>388</v>
      </c>
      <c r="Q614" s="159" t="s">
        <v>458</v>
      </c>
      <c r="R614" s="159" t="s">
        <v>1723</v>
      </c>
      <c r="S614" s="165">
        <v>2.5866753285208301E-2</v>
      </c>
      <c r="T614" s="166" t="s">
        <v>382</v>
      </c>
      <c r="U614" s="166"/>
      <c r="V614" s="166"/>
      <c r="W614" s="167">
        <f>IF(BetTable[Sport]="","",BetTable[Stake]+BetTable[S2]+BetTable[S3])</f>
        <v>32</v>
      </c>
      <c r="X614" s="164">
        <f>IF(BetTable[Odds]="","",(BetTable[WBA1-Commission])-BetTable[TS])</f>
        <v>37.44</v>
      </c>
      <c r="Y614" s="168">
        <f>IF(BetTable[Outcome]="","",BetTable[WBA1]+BetTable[WBA2]+BetTable[WBA3]-BetTable[TS])</f>
        <v>-32</v>
      </c>
      <c r="Z614" s="164">
        <f>(((BetTable[Odds]-1)*BetTable[Stake])*(1-(BetTable[Comm %]))+BetTable[Stake])</f>
        <v>69.44</v>
      </c>
      <c r="AA614" s="164">
        <f>(((BetTable[O2]-1)*BetTable[S2])*(1-(BetTable[C% 2]))+BetTable[S2])</f>
        <v>0</v>
      </c>
      <c r="AB614" s="164">
        <f>(((BetTable[O3]-1)*BetTable[S3])*(1-(BetTable[C% 3]))+BetTable[S3])</f>
        <v>0</v>
      </c>
      <c r="AC614" s="165">
        <f>IFERROR(IF(BetTable[Sport]="","",BetTable[R1]/BetTable[TS]),"")</f>
        <v>1.17</v>
      </c>
      <c r="AD614" s="165" t="str">
        <f>IF(BetTable[O2]="","",#REF!/BetTable[TS])</f>
        <v/>
      </c>
      <c r="AE614" s="165" t="str">
        <f>IFERROR(IF(BetTable[Sport]="","",#REF!/BetTable[TS]),"")</f>
        <v/>
      </c>
      <c r="AF614" s="164">
        <f>IF(BetTable[Outcome]="Win",BetTable[WBA1-Commission],IF(BetTable[Outcome]="Win Half Stake",(BetTable[Stake]/2)+BetTable[WBA1-Commission]/2,IF(BetTable[Outcome]="Lose Half Stake",BetTable[Stake]/2,IF(BetTable[Outcome]="Lose",0,IF(BetTable[Outcome]="Void",BetTable[Stake],)))))</f>
        <v>0</v>
      </c>
      <c r="AG614" s="164">
        <f>IF(BetTable[Outcome2]="Win",BetTable[WBA2-Commission],IF(BetTable[Outcome2]="Win Half Stake",(BetTable[S2]/2)+BetTable[WBA2-Commission]/2,IF(BetTable[Outcome2]="Lose Half Stake",BetTable[S2]/2,IF(BetTable[Outcome2]="Lose",0,IF(BetTable[Outcome2]="Void",BetTable[S2],)))))</f>
        <v>0</v>
      </c>
      <c r="AH614" s="164">
        <f>IF(BetTable[Outcome3]="Win",BetTable[WBA3-Commission],IF(BetTable[Outcome3]="Win Half Stake",(BetTable[S3]/2)+BetTable[WBA3-Commission]/2,IF(BetTable[Outcome3]="Lose Half Stake",BetTable[S3]/2,IF(BetTable[Outcome3]="Lose",0,IF(BetTable[Outcome3]="Void",BetTable[S3],)))))</f>
        <v>0</v>
      </c>
      <c r="AI614" s="168">
        <f>IF(BetTable[Outcome]="",AI613,BetTable[Result]+AI613)</f>
        <v>1027.3862500000007</v>
      </c>
      <c r="AJ614" s="160"/>
    </row>
    <row r="615" spans="1:36" x14ac:dyDescent="0.2">
      <c r="A615" s="159" t="s">
        <v>1690</v>
      </c>
      <c r="B615" s="160" t="s">
        <v>200</v>
      </c>
      <c r="C615" s="161" t="s">
        <v>1714</v>
      </c>
      <c r="D615" s="161"/>
      <c r="E615" s="161"/>
      <c r="F615" s="162"/>
      <c r="G615" s="162"/>
      <c r="H615" s="162"/>
      <c r="I615" s="160" t="s">
        <v>1724</v>
      </c>
      <c r="J615" s="163">
        <v>1.69</v>
      </c>
      <c r="K615" s="163"/>
      <c r="L615" s="163"/>
      <c r="M615" s="164">
        <v>56</v>
      </c>
      <c r="N615" s="164"/>
      <c r="O615" s="164"/>
      <c r="P615" s="159" t="s">
        <v>1725</v>
      </c>
      <c r="Q615" s="159" t="s">
        <v>581</v>
      </c>
      <c r="R615" s="159" t="s">
        <v>1726</v>
      </c>
      <c r="S615" s="165">
        <v>2.6625975516501699E-2</v>
      </c>
      <c r="T615" s="166" t="s">
        <v>372</v>
      </c>
      <c r="U615" s="166"/>
      <c r="V615" s="166"/>
      <c r="W615" s="167">
        <f>IF(BetTable[Sport]="","",BetTable[Stake]+BetTable[S2]+BetTable[S3])</f>
        <v>56</v>
      </c>
      <c r="X615" s="164">
        <f>IF(BetTable[Odds]="","",(BetTable[WBA1-Commission])-BetTable[TS])</f>
        <v>38.64</v>
      </c>
      <c r="Y615" s="168">
        <f>IF(BetTable[Outcome]="","",BetTable[WBA1]+BetTable[WBA2]+BetTable[WBA3]-BetTable[TS])</f>
        <v>38.64</v>
      </c>
      <c r="Z615" s="164">
        <f>(((BetTable[Odds]-1)*BetTable[Stake])*(1-(BetTable[Comm %]))+BetTable[Stake])</f>
        <v>94.64</v>
      </c>
      <c r="AA615" s="164">
        <f>(((BetTable[O2]-1)*BetTable[S2])*(1-(BetTable[C% 2]))+BetTable[S2])</f>
        <v>0</v>
      </c>
      <c r="AB615" s="164">
        <f>(((BetTable[O3]-1)*BetTable[S3])*(1-(BetTable[C% 3]))+BetTable[S3])</f>
        <v>0</v>
      </c>
      <c r="AC615" s="165">
        <f>IFERROR(IF(BetTable[Sport]="","",BetTable[R1]/BetTable[TS]),"")</f>
        <v>0.69000000000000006</v>
      </c>
      <c r="AD615" s="165" t="str">
        <f>IF(BetTable[O2]="","",#REF!/BetTable[TS])</f>
        <v/>
      </c>
      <c r="AE615" s="165" t="str">
        <f>IFERROR(IF(BetTable[Sport]="","",#REF!/BetTable[TS]),"")</f>
        <v/>
      </c>
      <c r="AF615" s="164">
        <f>IF(BetTable[Outcome]="Win",BetTable[WBA1-Commission],IF(BetTable[Outcome]="Win Half Stake",(BetTable[Stake]/2)+BetTable[WBA1-Commission]/2,IF(BetTable[Outcome]="Lose Half Stake",BetTable[Stake]/2,IF(BetTable[Outcome]="Lose",0,IF(BetTable[Outcome]="Void",BetTable[Stake],)))))</f>
        <v>94.64</v>
      </c>
      <c r="AG615" s="164">
        <f>IF(BetTable[Outcome2]="Win",BetTable[WBA2-Commission],IF(BetTable[Outcome2]="Win Half Stake",(BetTable[S2]/2)+BetTable[WBA2-Commission]/2,IF(BetTable[Outcome2]="Lose Half Stake",BetTable[S2]/2,IF(BetTable[Outcome2]="Lose",0,IF(BetTable[Outcome2]="Void",BetTable[S2],)))))</f>
        <v>0</v>
      </c>
      <c r="AH615" s="164">
        <f>IF(BetTable[Outcome3]="Win",BetTable[WBA3-Commission],IF(BetTable[Outcome3]="Win Half Stake",(BetTable[S3]/2)+BetTable[WBA3-Commission]/2,IF(BetTable[Outcome3]="Lose Half Stake",BetTable[S3]/2,IF(BetTable[Outcome3]="Lose",0,IF(BetTable[Outcome3]="Void",BetTable[S3],)))))</f>
        <v>0</v>
      </c>
      <c r="AI615" s="168">
        <f>IF(BetTable[Outcome]="",AI614,BetTable[Result]+AI614)</f>
        <v>1066.0262500000008</v>
      </c>
      <c r="AJ615" s="160"/>
    </row>
    <row r="616" spans="1:36" x14ac:dyDescent="0.2">
      <c r="A616" s="159" t="s">
        <v>1690</v>
      </c>
      <c r="B616" s="160" t="s">
        <v>200</v>
      </c>
      <c r="C616" s="161" t="s">
        <v>1714</v>
      </c>
      <c r="D616" s="161"/>
      <c r="E616" s="161"/>
      <c r="F616" s="162"/>
      <c r="G616" s="162"/>
      <c r="H616" s="162"/>
      <c r="I616" s="160" t="s">
        <v>1727</v>
      </c>
      <c r="J616" s="163">
        <v>1.27</v>
      </c>
      <c r="K616" s="163"/>
      <c r="L616" s="163"/>
      <c r="M616" s="164">
        <v>96</v>
      </c>
      <c r="N616" s="164"/>
      <c r="O616" s="164"/>
      <c r="P616" s="159" t="s">
        <v>435</v>
      </c>
      <c r="Q616" s="159" t="s">
        <v>503</v>
      </c>
      <c r="R616" s="159" t="s">
        <v>1728</v>
      </c>
      <c r="S616" s="165">
        <v>2.39704924766708E-2</v>
      </c>
      <c r="T616" s="166" t="s">
        <v>372</v>
      </c>
      <c r="U616" s="166"/>
      <c r="V616" s="166"/>
      <c r="W616" s="167">
        <f>IF(BetTable[Sport]="","",BetTable[Stake]+BetTable[S2]+BetTable[S3])</f>
        <v>96</v>
      </c>
      <c r="X616" s="164">
        <f>IF(BetTable[Odds]="","",(BetTable[WBA1-Commission])-BetTable[TS])</f>
        <v>25.92</v>
      </c>
      <c r="Y616" s="168">
        <f>IF(BetTable[Outcome]="","",BetTable[WBA1]+BetTable[WBA2]+BetTable[WBA3]-BetTable[TS])</f>
        <v>25.92</v>
      </c>
      <c r="Z616" s="164">
        <f>(((BetTable[Odds]-1)*BetTable[Stake])*(1-(BetTable[Comm %]))+BetTable[Stake])</f>
        <v>121.92</v>
      </c>
      <c r="AA616" s="164">
        <f>(((BetTable[O2]-1)*BetTable[S2])*(1-(BetTable[C% 2]))+BetTable[S2])</f>
        <v>0</v>
      </c>
      <c r="AB616" s="164">
        <f>(((BetTable[O3]-1)*BetTable[S3])*(1-(BetTable[C% 3]))+BetTable[S3])</f>
        <v>0</v>
      </c>
      <c r="AC616" s="165">
        <f>IFERROR(IF(BetTable[Sport]="","",BetTable[R1]/BetTable[TS]),"")</f>
        <v>0.27</v>
      </c>
      <c r="AD616" s="165" t="str">
        <f>IF(BetTable[O2]="","",#REF!/BetTable[TS])</f>
        <v/>
      </c>
      <c r="AE616" s="165" t="str">
        <f>IFERROR(IF(BetTable[Sport]="","",#REF!/BetTable[TS]),"")</f>
        <v/>
      </c>
      <c r="AF616" s="164">
        <f>IF(BetTable[Outcome]="Win",BetTable[WBA1-Commission],IF(BetTable[Outcome]="Win Half Stake",(BetTable[Stake]/2)+BetTable[WBA1-Commission]/2,IF(BetTable[Outcome]="Lose Half Stake",BetTable[Stake]/2,IF(BetTable[Outcome]="Lose",0,IF(BetTable[Outcome]="Void",BetTable[Stake],)))))</f>
        <v>121.92</v>
      </c>
      <c r="AG616" s="164">
        <f>IF(BetTable[Outcome2]="Win",BetTable[WBA2-Commission],IF(BetTable[Outcome2]="Win Half Stake",(BetTable[S2]/2)+BetTable[WBA2-Commission]/2,IF(BetTable[Outcome2]="Lose Half Stake",BetTable[S2]/2,IF(BetTable[Outcome2]="Lose",0,IF(BetTable[Outcome2]="Void",BetTable[S2],)))))</f>
        <v>0</v>
      </c>
      <c r="AH616" s="164">
        <f>IF(BetTable[Outcome3]="Win",BetTable[WBA3-Commission],IF(BetTable[Outcome3]="Win Half Stake",(BetTable[S3]/2)+BetTable[WBA3-Commission]/2,IF(BetTable[Outcome3]="Lose Half Stake",BetTable[S3]/2,IF(BetTable[Outcome3]="Lose",0,IF(BetTable[Outcome3]="Void",BetTable[S3],)))))</f>
        <v>0</v>
      </c>
      <c r="AI616" s="168">
        <f>IF(BetTable[Outcome]="",AI615,BetTable[Result]+AI615)</f>
        <v>1091.9462500000009</v>
      </c>
      <c r="AJ616" s="160"/>
    </row>
    <row r="617" spans="1:36" x14ac:dyDescent="0.2">
      <c r="A617" s="159" t="s">
        <v>1690</v>
      </c>
      <c r="B617" s="160" t="s">
        <v>200</v>
      </c>
      <c r="C617" s="161" t="s">
        <v>91</v>
      </c>
      <c r="D617" s="161"/>
      <c r="E617" s="161"/>
      <c r="F617" s="162"/>
      <c r="G617" s="162"/>
      <c r="H617" s="162"/>
      <c r="I617" s="160" t="s">
        <v>1729</v>
      </c>
      <c r="J617" s="163">
        <v>2.15</v>
      </c>
      <c r="K617" s="163"/>
      <c r="L617" s="163"/>
      <c r="M617" s="164">
        <v>36</v>
      </c>
      <c r="N617" s="164"/>
      <c r="O617" s="164"/>
      <c r="P617" s="159" t="s">
        <v>435</v>
      </c>
      <c r="Q617" s="159" t="s">
        <v>485</v>
      </c>
      <c r="R617" s="159" t="s">
        <v>1730</v>
      </c>
      <c r="S617" s="165">
        <v>2.90818492230513E-2</v>
      </c>
      <c r="T617" s="166" t="s">
        <v>382</v>
      </c>
      <c r="U617" s="166"/>
      <c r="V617" s="166"/>
      <c r="W617" s="167">
        <f>IF(BetTable[Sport]="","",BetTable[Stake]+BetTable[S2]+BetTable[S3])</f>
        <v>36</v>
      </c>
      <c r="X617" s="164">
        <f>IF(BetTable[Odds]="","",(BetTable[WBA1-Commission])-BetTable[TS])</f>
        <v>41.400000000000006</v>
      </c>
      <c r="Y617" s="168">
        <f>IF(BetTable[Outcome]="","",BetTable[WBA1]+BetTable[WBA2]+BetTable[WBA3]-BetTable[TS])</f>
        <v>-36</v>
      </c>
      <c r="Z617" s="164">
        <f>(((BetTable[Odds]-1)*BetTable[Stake])*(1-(BetTable[Comm %]))+BetTable[Stake])</f>
        <v>77.400000000000006</v>
      </c>
      <c r="AA617" s="164">
        <f>(((BetTable[O2]-1)*BetTable[S2])*(1-(BetTable[C% 2]))+BetTable[S2])</f>
        <v>0</v>
      </c>
      <c r="AB617" s="164">
        <f>(((BetTable[O3]-1)*BetTable[S3])*(1-(BetTable[C% 3]))+BetTable[S3])</f>
        <v>0</v>
      </c>
      <c r="AC617" s="165">
        <f>IFERROR(IF(BetTable[Sport]="","",BetTable[R1]/BetTable[TS]),"")</f>
        <v>1.1500000000000001</v>
      </c>
      <c r="AD617" s="165" t="str">
        <f>IF(BetTable[O2]="","",#REF!/BetTable[TS])</f>
        <v/>
      </c>
      <c r="AE617" s="165" t="str">
        <f>IFERROR(IF(BetTable[Sport]="","",#REF!/BetTable[TS]),"")</f>
        <v/>
      </c>
      <c r="AF617" s="164">
        <f>IF(BetTable[Outcome]="Win",BetTable[WBA1-Commission],IF(BetTable[Outcome]="Win Half Stake",(BetTable[Stake]/2)+BetTable[WBA1-Commission]/2,IF(BetTable[Outcome]="Lose Half Stake",BetTable[Stake]/2,IF(BetTable[Outcome]="Lose",0,IF(BetTable[Outcome]="Void",BetTable[Stake],)))))</f>
        <v>0</v>
      </c>
      <c r="AG617" s="164">
        <f>IF(BetTable[Outcome2]="Win",BetTable[WBA2-Commission],IF(BetTable[Outcome2]="Win Half Stake",(BetTable[S2]/2)+BetTable[WBA2-Commission]/2,IF(BetTable[Outcome2]="Lose Half Stake",BetTable[S2]/2,IF(BetTable[Outcome2]="Lose",0,IF(BetTable[Outcome2]="Void",BetTable[S2],)))))</f>
        <v>0</v>
      </c>
      <c r="AH617" s="164">
        <f>IF(BetTable[Outcome3]="Win",BetTable[WBA3-Commission],IF(BetTable[Outcome3]="Win Half Stake",(BetTable[S3]/2)+BetTable[WBA3-Commission]/2,IF(BetTable[Outcome3]="Lose Half Stake",BetTable[S3]/2,IF(BetTable[Outcome3]="Lose",0,IF(BetTable[Outcome3]="Void",BetTable[S3],)))))</f>
        <v>0</v>
      </c>
      <c r="AI617" s="168">
        <f>IF(BetTable[Outcome]="",AI616,BetTable[Result]+AI616)</f>
        <v>1055.9462500000009</v>
      </c>
      <c r="AJ617" s="160"/>
    </row>
    <row r="618" spans="1:36" x14ac:dyDescent="0.2">
      <c r="A618" s="159" t="s">
        <v>1690</v>
      </c>
      <c r="B618" s="160" t="s">
        <v>7</v>
      </c>
      <c r="C618" s="161" t="s">
        <v>91</v>
      </c>
      <c r="D618" s="161"/>
      <c r="E618" s="161"/>
      <c r="F618" s="162"/>
      <c r="G618" s="162"/>
      <c r="H618" s="162"/>
      <c r="I618" s="160" t="s">
        <v>1731</v>
      </c>
      <c r="J618" s="163">
        <v>1.99</v>
      </c>
      <c r="K618" s="163"/>
      <c r="L618" s="163"/>
      <c r="M618" s="164">
        <v>35</v>
      </c>
      <c r="N618" s="164"/>
      <c r="O618" s="164"/>
      <c r="P618" s="159" t="s">
        <v>1732</v>
      </c>
      <c r="Q618" s="159" t="s">
        <v>1733</v>
      </c>
      <c r="R618" s="159" t="s">
        <v>1734</v>
      </c>
      <c r="S618" s="165">
        <v>2.4220397487222701E-2</v>
      </c>
      <c r="T618" s="166" t="s">
        <v>372</v>
      </c>
      <c r="U618" s="166"/>
      <c r="V618" s="166"/>
      <c r="W618" s="167">
        <f>IF(BetTable[Sport]="","",BetTable[Stake]+BetTable[S2]+BetTable[S3])</f>
        <v>35</v>
      </c>
      <c r="X618" s="164">
        <f>IF(BetTable[Odds]="","",(BetTable[WBA1-Commission])-BetTable[TS])</f>
        <v>34.650000000000006</v>
      </c>
      <c r="Y618" s="168">
        <f>IF(BetTable[Outcome]="","",BetTable[WBA1]+BetTable[WBA2]+BetTable[WBA3]-BetTable[TS])</f>
        <v>34.650000000000006</v>
      </c>
      <c r="Z618" s="164">
        <f>(((BetTable[Odds]-1)*BetTable[Stake])*(1-(BetTable[Comm %]))+BetTable[Stake])</f>
        <v>69.650000000000006</v>
      </c>
      <c r="AA618" s="164">
        <f>(((BetTable[O2]-1)*BetTable[S2])*(1-(BetTable[C% 2]))+BetTable[S2])</f>
        <v>0</v>
      </c>
      <c r="AB618" s="164">
        <f>(((BetTable[O3]-1)*BetTable[S3])*(1-(BetTable[C% 3]))+BetTable[S3])</f>
        <v>0</v>
      </c>
      <c r="AC618" s="165">
        <f>IFERROR(IF(BetTable[Sport]="","",BetTable[R1]/BetTable[TS]),"")</f>
        <v>0.99000000000000021</v>
      </c>
      <c r="AD618" s="165" t="str">
        <f>IF(BetTable[O2]="","",#REF!/BetTable[TS])</f>
        <v/>
      </c>
      <c r="AE618" s="165" t="str">
        <f>IFERROR(IF(BetTable[Sport]="","",#REF!/BetTable[TS]),"")</f>
        <v/>
      </c>
      <c r="AF618" s="164">
        <f>IF(BetTable[Outcome]="Win",BetTable[WBA1-Commission],IF(BetTable[Outcome]="Win Half Stake",(BetTable[Stake]/2)+BetTable[WBA1-Commission]/2,IF(BetTable[Outcome]="Lose Half Stake",BetTable[Stake]/2,IF(BetTable[Outcome]="Lose",0,IF(BetTable[Outcome]="Void",BetTable[Stake],)))))</f>
        <v>69.650000000000006</v>
      </c>
      <c r="AG618" s="164">
        <f>IF(BetTable[Outcome2]="Win",BetTable[WBA2-Commission],IF(BetTable[Outcome2]="Win Half Stake",(BetTable[S2]/2)+BetTable[WBA2-Commission]/2,IF(BetTable[Outcome2]="Lose Half Stake",BetTable[S2]/2,IF(BetTable[Outcome2]="Lose",0,IF(BetTable[Outcome2]="Void",BetTable[S2],)))))</f>
        <v>0</v>
      </c>
      <c r="AH618" s="164">
        <f>IF(BetTable[Outcome3]="Win",BetTable[WBA3-Commission],IF(BetTable[Outcome3]="Win Half Stake",(BetTable[S3]/2)+BetTable[WBA3-Commission]/2,IF(BetTable[Outcome3]="Lose Half Stake",BetTable[S3]/2,IF(BetTable[Outcome3]="Lose",0,IF(BetTable[Outcome3]="Void",BetTable[S3],)))))</f>
        <v>0</v>
      </c>
      <c r="AI618" s="168">
        <f>IF(BetTable[Outcome]="",AI617,BetTable[Result]+AI617)</f>
        <v>1090.596250000001</v>
      </c>
      <c r="AJ618" s="160"/>
    </row>
    <row r="619" spans="1:36" x14ac:dyDescent="0.2">
      <c r="A619" s="159" t="s">
        <v>1690</v>
      </c>
      <c r="B619" s="160" t="s">
        <v>200</v>
      </c>
      <c r="C619" s="161" t="s">
        <v>1714</v>
      </c>
      <c r="D619" s="161"/>
      <c r="E619" s="161"/>
      <c r="F619" s="162"/>
      <c r="G619" s="162"/>
      <c r="H619" s="162"/>
      <c r="I619" s="160" t="s">
        <v>1735</v>
      </c>
      <c r="J619" s="163">
        <v>1.98</v>
      </c>
      <c r="K619" s="163"/>
      <c r="L619" s="163"/>
      <c r="M619" s="164">
        <v>37</v>
      </c>
      <c r="N619" s="164"/>
      <c r="O619" s="164"/>
      <c r="P619" s="159" t="s">
        <v>508</v>
      </c>
      <c r="Q619" s="159" t="s">
        <v>547</v>
      </c>
      <c r="R619" s="159" t="s">
        <v>1736</v>
      </c>
      <c r="S619" s="165">
        <v>2.4961677319057698E-2</v>
      </c>
      <c r="T619" s="166" t="s">
        <v>382</v>
      </c>
      <c r="U619" s="166"/>
      <c r="V619" s="166"/>
      <c r="W619" s="167">
        <f>IF(BetTable[Sport]="","",BetTable[Stake]+BetTable[S2]+BetTable[S3])</f>
        <v>37</v>
      </c>
      <c r="X619" s="164">
        <f>IF(BetTable[Odds]="","",(BetTable[WBA1-Commission])-BetTable[TS])</f>
        <v>36.259999999999991</v>
      </c>
      <c r="Y619" s="168">
        <f>IF(BetTable[Outcome]="","",BetTable[WBA1]+BetTable[WBA2]+BetTable[WBA3]-BetTable[TS])</f>
        <v>-37</v>
      </c>
      <c r="Z619" s="164">
        <f>(((BetTable[Odds]-1)*BetTable[Stake])*(1-(BetTable[Comm %]))+BetTable[Stake])</f>
        <v>73.259999999999991</v>
      </c>
      <c r="AA619" s="164">
        <f>(((BetTable[O2]-1)*BetTable[S2])*(1-(BetTable[C% 2]))+BetTable[S2])</f>
        <v>0</v>
      </c>
      <c r="AB619" s="164">
        <f>(((BetTable[O3]-1)*BetTable[S3])*(1-(BetTable[C% 3]))+BetTable[S3])</f>
        <v>0</v>
      </c>
      <c r="AC619" s="165">
        <f>IFERROR(IF(BetTable[Sport]="","",BetTable[R1]/BetTable[TS]),"")</f>
        <v>0.97999999999999976</v>
      </c>
      <c r="AD619" s="165" t="str">
        <f>IF(BetTable[O2]="","",#REF!/BetTable[TS])</f>
        <v/>
      </c>
      <c r="AE619" s="165" t="str">
        <f>IFERROR(IF(BetTable[Sport]="","",#REF!/BetTable[TS]),"")</f>
        <v/>
      </c>
      <c r="AF619" s="164">
        <f>IF(BetTable[Outcome]="Win",BetTable[WBA1-Commission],IF(BetTable[Outcome]="Win Half Stake",(BetTable[Stake]/2)+BetTable[WBA1-Commission]/2,IF(BetTable[Outcome]="Lose Half Stake",BetTable[Stake]/2,IF(BetTable[Outcome]="Lose",0,IF(BetTable[Outcome]="Void",BetTable[Stake],)))))</f>
        <v>0</v>
      </c>
      <c r="AG619" s="164">
        <f>IF(BetTable[Outcome2]="Win",BetTable[WBA2-Commission],IF(BetTable[Outcome2]="Win Half Stake",(BetTable[S2]/2)+BetTable[WBA2-Commission]/2,IF(BetTable[Outcome2]="Lose Half Stake",BetTable[S2]/2,IF(BetTable[Outcome2]="Lose",0,IF(BetTable[Outcome2]="Void",BetTable[S2],)))))</f>
        <v>0</v>
      </c>
      <c r="AH619" s="164">
        <f>IF(BetTable[Outcome3]="Win",BetTable[WBA3-Commission],IF(BetTable[Outcome3]="Win Half Stake",(BetTable[S3]/2)+BetTable[WBA3-Commission]/2,IF(BetTable[Outcome3]="Lose Half Stake",BetTable[S3]/2,IF(BetTable[Outcome3]="Lose",0,IF(BetTable[Outcome3]="Void",BetTable[S3],)))))</f>
        <v>0</v>
      </c>
      <c r="AI619" s="168">
        <f>IF(BetTable[Outcome]="",AI618,BetTable[Result]+AI618)</f>
        <v>1053.596250000001</v>
      </c>
      <c r="AJ619" s="160"/>
    </row>
    <row r="620" spans="1:36" x14ac:dyDescent="0.2">
      <c r="A620" s="159" t="s">
        <v>1690</v>
      </c>
      <c r="B620" s="160" t="s">
        <v>200</v>
      </c>
      <c r="C620" s="161" t="s">
        <v>1714</v>
      </c>
      <c r="D620" s="161"/>
      <c r="E620" s="161"/>
      <c r="F620" s="162"/>
      <c r="G620" s="162"/>
      <c r="H620" s="162"/>
      <c r="I620" s="160" t="s">
        <v>1669</v>
      </c>
      <c r="J620" s="163">
        <v>1.95</v>
      </c>
      <c r="K620" s="163"/>
      <c r="L620" s="163"/>
      <c r="M620" s="164">
        <v>35</v>
      </c>
      <c r="N620" s="164"/>
      <c r="O620" s="164"/>
      <c r="P620" s="159" t="s">
        <v>498</v>
      </c>
      <c r="Q620" s="159" t="s">
        <v>458</v>
      </c>
      <c r="R620" s="159" t="s">
        <v>1737</v>
      </c>
      <c r="S620" s="165">
        <v>2.3311438337720501E-2</v>
      </c>
      <c r="T620" s="166" t="s">
        <v>382</v>
      </c>
      <c r="U620" s="166"/>
      <c r="V620" s="166"/>
      <c r="W620" s="167">
        <f>IF(BetTable[Sport]="","",BetTable[Stake]+BetTable[S2]+BetTable[S3])</f>
        <v>35</v>
      </c>
      <c r="X620" s="164">
        <f>IF(BetTable[Odds]="","",(BetTable[WBA1-Commission])-BetTable[TS])</f>
        <v>33.25</v>
      </c>
      <c r="Y620" s="168">
        <f>IF(BetTable[Outcome]="","",BetTable[WBA1]+BetTable[WBA2]+BetTable[WBA3]-BetTable[TS])</f>
        <v>-35</v>
      </c>
      <c r="Z620" s="164">
        <f>(((BetTable[Odds]-1)*BetTable[Stake])*(1-(BetTable[Comm %]))+BetTable[Stake])</f>
        <v>68.25</v>
      </c>
      <c r="AA620" s="164">
        <f>(((BetTable[O2]-1)*BetTable[S2])*(1-(BetTable[C% 2]))+BetTable[S2])</f>
        <v>0</v>
      </c>
      <c r="AB620" s="164">
        <f>(((BetTable[O3]-1)*BetTable[S3])*(1-(BetTable[C% 3]))+BetTable[S3])</f>
        <v>0</v>
      </c>
      <c r="AC620" s="165">
        <f>IFERROR(IF(BetTable[Sport]="","",BetTable[R1]/BetTable[TS]),"")</f>
        <v>0.95</v>
      </c>
      <c r="AD620" s="165" t="str">
        <f>IF(BetTable[O2]="","",#REF!/BetTable[TS])</f>
        <v/>
      </c>
      <c r="AE620" s="165" t="str">
        <f>IFERROR(IF(BetTable[Sport]="","",#REF!/BetTable[TS]),"")</f>
        <v/>
      </c>
      <c r="AF620" s="164">
        <f>IF(BetTable[Outcome]="Win",BetTable[WBA1-Commission],IF(BetTable[Outcome]="Win Half Stake",(BetTable[Stake]/2)+BetTable[WBA1-Commission]/2,IF(BetTable[Outcome]="Lose Half Stake",BetTable[Stake]/2,IF(BetTable[Outcome]="Lose",0,IF(BetTable[Outcome]="Void",BetTable[Stake],)))))</f>
        <v>0</v>
      </c>
      <c r="AG620" s="164">
        <f>IF(BetTable[Outcome2]="Win",BetTable[WBA2-Commission],IF(BetTable[Outcome2]="Win Half Stake",(BetTable[S2]/2)+BetTable[WBA2-Commission]/2,IF(BetTable[Outcome2]="Lose Half Stake",BetTable[S2]/2,IF(BetTable[Outcome2]="Lose",0,IF(BetTable[Outcome2]="Void",BetTable[S2],)))))</f>
        <v>0</v>
      </c>
      <c r="AH620" s="164">
        <f>IF(BetTable[Outcome3]="Win",BetTable[WBA3-Commission],IF(BetTable[Outcome3]="Win Half Stake",(BetTable[S3]/2)+BetTable[WBA3-Commission]/2,IF(BetTable[Outcome3]="Lose Half Stake",BetTable[S3]/2,IF(BetTable[Outcome3]="Lose",0,IF(BetTable[Outcome3]="Void",BetTable[S3],)))))</f>
        <v>0</v>
      </c>
      <c r="AI620" s="168">
        <f>IF(BetTable[Outcome]="",AI619,BetTable[Result]+AI619)</f>
        <v>1018.596250000001</v>
      </c>
      <c r="AJ620" s="160"/>
    </row>
    <row r="621" spans="1:36" x14ac:dyDescent="0.2">
      <c r="A621" s="159" t="s">
        <v>1690</v>
      </c>
      <c r="B621" s="160" t="s">
        <v>200</v>
      </c>
      <c r="C621" s="161" t="s">
        <v>1714</v>
      </c>
      <c r="D621" s="161"/>
      <c r="E621" s="161"/>
      <c r="F621" s="162"/>
      <c r="G621" s="162"/>
      <c r="H621" s="162"/>
      <c r="I621" s="160" t="s">
        <v>1738</v>
      </c>
      <c r="J621" s="163">
        <v>1.93</v>
      </c>
      <c r="K621" s="163"/>
      <c r="L621" s="163"/>
      <c r="M621" s="164">
        <v>27</v>
      </c>
      <c r="N621" s="164"/>
      <c r="O621" s="164"/>
      <c r="P621" s="159" t="s">
        <v>1572</v>
      </c>
      <c r="Q621" s="159" t="s">
        <v>547</v>
      </c>
      <c r="R621" s="159" t="s">
        <v>1739</v>
      </c>
      <c r="S621" s="165">
        <v>1.7612585094400099E-2</v>
      </c>
      <c r="T621" s="166" t="s">
        <v>382</v>
      </c>
      <c r="U621" s="166"/>
      <c r="V621" s="166"/>
      <c r="W621" s="167">
        <f>IF(BetTable[Sport]="","",BetTable[Stake]+BetTable[S2]+BetTable[S3])</f>
        <v>27</v>
      </c>
      <c r="X621" s="164">
        <f>IF(BetTable[Odds]="","",(BetTable[WBA1-Commission])-BetTable[TS])</f>
        <v>25.11</v>
      </c>
      <c r="Y621" s="168">
        <f>IF(BetTable[Outcome]="","",BetTable[WBA1]+BetTable[WBA2]+BetTable[WBA3]-BetTable[TS])</f>
        <v>-27</v>
      </c>
      <c r="Z621" s="164">
        <f>(((BetTable[Odds]-1)*BetTable[Stake])*(1-(BetTable[Comm %]))+BetTable[Stake])</f>
        <v>52.11</v>
      </c>
      <c r="AA621" s="164">
        <f>(((BetTable[O2]-1)*BetTable[S2])*(1-(BetTable[C% 2]))+BetTable[S2])</f>
        <v>0</v>
      </c>
      <c r="AB621" s="164">
        <f>(((BetTable[O3]-1)*BetTable[S3])*(1-(BetTable[C% 3]))+BetTable[S3])</f>
        <v>0</v>
      </c>
      <c r="AC621" s="165">
        <f>IFERROR(IF(BetTable[Sport]="","",BetTable[R1]/BetTable[TS]),"")</f>
        <v>0.92999999999999994</v>
      </c>
      <c r="AD621" s="165" t="str">
        <f>IF(BetTable[O2]="","",#REF!/BetTable[TS])</f>
        <v/>
      </c>
      <c r="AE621" s="165" t="str">
        <f>IFERROR(IF(BetTable[Sport]="","",#REF!/BetTable[TS]),"")</f>
        <v/>
      </c>
      <c r="AF621" s="164">
        <f>IF(BetTable[Outcome]="Win",BetTable[WBA1-Commission],IF(BetTable[Outcome]="Win Half Stake",(BetTable[Stake]/2)+BetTable[WBA1-Commission]/2,IF(BetTable[Outcome]="Lose Half Stake",BetTable[Stake]/2,IF(BetTable[Outcome]="Lose",0,IF(BetTable[Outcome]="Void",BetTable[Stake],)))))</f>
        <v>0</v>
      </c>
      <c r="AG621" s="164">
        <f>IF(BetTable[Outcome2]="Win",BetTable[WBA2-Commission],IF(BetTable[Outcome2]="Win Half Stake",(BetTable[S2]/2)+BetTable[WBA2-Commission]/2,IF(BetTable[Outcome2]="Lose Half Stake",BetTable[S2]/2,IF(BetTable[Outcome2]="Lose",0,IF(BetTable[Outcome2]="Void",BetTable[S2],)))))</f>
        <v>0</v>
      </c>
      <c r="AH621" s="164">
        <f>IF(BetTable[Outcome3]="Win",BetTable[WBA3-Commission],IF(BetTable[Outcome3]="Win Half Stake",(BetTable[S3]/2)+BetTable[WBA3-Commission]/2,IF(BetTable[Outcome3]="Lose Half Stake",BetTable[S3]/2,IF(BetTable[Outcome3]="Lose",0,IF(BetTable[Outcome3]="Void",BetTable[S3],)))))</f>
        <v>0</v>
      </c>
      <c r="AI621" s="168">
        <f>IF(BetTable[Outcome]="",AI620,BetTable[Result]+AI620)</f>
        <v>991.59625000000096</v>
      </c>
      <c r="AJ621" s="160"/>
    </row>
    <row r="622" spans="1:36" x14ac:dyDescent="0.2">
      <c r="A622" s="159" t="s">
        <v>1690</v>
      </c>
      <c r="B622" s="160" t="s">
        <v>200</v>
      </c>
      <c r="C622" s="161" t="s">
        <v>91</v>
      </c>
      <c r="D622" s="161"/>
      <c r="E622" s="161"/>
      <c r="F622" s="162"/>
      <c r="G622" s="162"/>
      <c r="H622" s="162"/>
      <c r="I622" s="160" t="s">
        <v>1740</v>
      </c>
      <c r="J622" s="163">
        <v>1.85</v>
      </c>
      <c r="K622" s="163"/>
      <c r="L622" s="163"/>
      <c r="M622" s="164">
        <v>54</v>
      </c>
      <c r="N622" s="164"/>
      <c r="O622" s="164"/>
      <c r="P622" s="159" t="s">
        <v>1565</v>
      </c>
      <c r="Q622" s="159" t="s">
        <v>581</v>
      </c>
      <c r="R622" s="159" t="s">
        <v>1741</v>
      </c>
      <c r="S622" s="165">
        <v>4.5726589532736402E-2</v>
      </c>
      <c r="T622" s="166" t="s">
        <v>372</v>
      </c>
      <c r="U622" s="166"/>
      <c r="V622" s="166"/>
      <c r="W622" s="167">
        <f>IF(BetTable[Sport]="","",BetTable[Stake]+BetTable[S2]+BetTable[S3])</f>
        <v>54</v>
      </c>
      <c r="X622" s="164">
        <f>IF(BetTable[Odds]="","",(BetTable[WBA1-Commission])-BetTable[TS])</f>
        <v>45.900000000000006</v>
      </c>
      <c r="Y622" s="168">
        <f>IF(BetTable[Outcome]="","",BetTable[WBA1]+BetTable[WBA2]+BetTable[WBA3]-BetTable[TS])</f>
        <v>45.900000000000006</v>
      </c>
      <c r="Z622" s="164">
        <f>(((BetTable[Odds]-1)*BetTable[Stake])*(1-(BetTable[Comm %]))+BetTable[Stake])</f>
        <v>99.9</v>
      </c>
      <c r="AA622" s="164">
        <f>(((BetTable[O2]-1)*BetTable[S2])*(1-(BetTable[C% 2]))+BetTable[S2])</f>
        <v>0</v>
      </c>
      <c r="AB622" s="164">
        <f>(((BetTable[O3]-1)*BetTable[S3])*(1-(BetTable[C% 3]))+BetTable[S3])</f>
        <v>0</v>
      </c>
      <c r="AC622" s="165">
        <f>IFERROR(IF(BetTable[Sport]="","",BetTable[R1]/BetTable[TS]),"")</f>
        <v>0.85000000000000009</v>
      </c>
      <c r="AD622" s="165" t="str">
        <f>IF(BetTable[O2]="","",#REF!/BetTable[TS])</f>
        <v/>
      </c>
      <c r="AE622" s="165" t="str">
        <f>IFERROR(IF(BetTable[Sport]="","",#REF!/BetTable[TS]),"")</f>
        <v/>
      </c>
      <c r="AF622" s="164">
        <f>IF(BetTable[Outcome]="Win",BetTable[WBA1-Commission],IF(BetTable[Outcome]="Win Half Stake",(BetTable[Stake]/2)+BetTable[WBA1-Commission]/2,IF(BetTable[Outcome]="Lose Half Stake",BetTable[Stake]/2,IF(BetTable[Outcome]="Lose",0,IF(BetTable[Outcome]="Void",BetTable[Stake],)))))</f>
        <v>99.9</v>
      </c>
      <c r="AG622" s="164">
        <f>IF(BetTable[Outcome2]="Win",BetTable[WBA2-Commission],IF(BetTable[Outcome2]="Win Half Stake",(BetTable[S2]/2)+BetTable[WBA2-Commission]/2,IF(BetTable[Outcome2]="Lose Half Stake",BetTable[S2]/2,IF(BetTable[Outcome2]="Lose",0,IF(BetTable[Outcome2]="Void",BetTable[S2],)))))</f>
        <v>0</v>
      </c>
      <c r="AH622" s="164">
        <f>IF(BetTable[Outcome3]="Win",BetTable[WBA3-Commission],IF(BetTable[Outcome3]="Win Half Stake",(BetTable[S3]/2)+BetTable[WBA3-Commission]/2,IF(BetTable[Outcome3]="Lose Half Stake",BetTable[S3]/2,IF(BetTable[Outcome3]="Lose",0,IF(BetTable[Outcome3]="Void",BetTable[S3],)))))</f>
        <v>0</v>
      </c>
      <c r="AI622" s="168">
        <f>IF(BetTable[Outcome]="",AI621,BetTable[Result]+AI621)</f>
        <v>1037.4962500000011</v>
      </c>
      <c r="AJ622" s="160"/>
    </row>
    <row r="623" spans="1:36" x14ac:dyDescent="0.2">
      <c r="A623" s="159" t="s">
        <v>1690</v>
      </c>
      <c r="B623" s="160" t="s">
        <v>200</v>
      </c>
      <c r="C623" s="161" t="s">
        <v>1714</v>
      </c>
      <c r="D623" s="161"/>
      <c r="E623" s="161"/>
      <c r="F623" s="162"/>
      <c r="G623" s="162"/>
      <c r="H623" s="162"/>
      <c r="I623" s="160" t="s">
        <v>1742</v>
      </c>
      <c r="J623" s="163">
        <v>2.0099999999999998</v>
      </c>
      <c r="K623" s="163"/>
      <c r="L623" s="163"/>
      <c r="M623" s="164">
        <v>40</v>
      </c>
      <c r="N623" s="164"/>
      <c r="O623" s="164"/>
      <c r="P623" s="159" t="s">
        <v>791</v>
      </c>
      <c r="Q623" s="159" t="s">
        <v>1743</v>
      </c>
      <c r="R623" s="159" t="s">
        <v>1744</v>
      </c>
      <c r="S623" s="165">
        <v>2.8022143039648902E-2</v>
      </c>
      <c r="T623" s="166" t="s">
        <v>382</v>
      </c>
      <c r="U623" s="166"/>
      <c r="V623" s="166"/>
      <c r="W623" s="167">
        <f>IF(BetTable[Sport]="","",BetTable[Stake]+BetTable[S2]+BetTable[S3])</f>
        <v>40</v>
      </c>
      <c r="X623" s="164">
        <f>IF(BetTable[Odds]="","",(BetTable[WBA1-Commission])-BetTable[TS])</f>
        <v>40.399999999999991</v>
      </c>
      <c r="Y623" s="168">
        <f>IF(BetTable[Outcome]="","",BetTable[WBA1]+BetTable[WBA2]+BetTable[WBA3]-BetTable[TS])</f>
        <v>-40</v>
      </c>
      <c r="Z623" s="164">
        <f>(((BetTable[Odds]-1)*BetTable[Stake])*(1-(BetTable[Comm %]))+BetTable[Stake])</f>
        <v>80.399999999999991</v>
      </c>
      <c r="AA623" s="164">
        <f>(((BetTable[O2]-1)*BetTable[S2])*(1-(BetTable[C% 2]))+BetTable[S2])</f>
        <v>0</v>
      </c>
      <c r="AB623" s="164">
        <f>(((BetTable[O3]-1)*BetTable[S3])*(1-(BetTable[C% 3]))+BetTable[S3])</f>
        <v>0</v>
      </c>
      <c r="AC623" s="165">
        <f>IFERROR(IF(BetTable[Sport]="","",BetTable[R1]/BetTable[TS]),"")</f>
        <v>1.0099999999999998</v>
      </c>
      <c r="AD623" s="165" t="str">
        <f>IF(BetTable[O2]="","",#REF!/BetTable[TS])</f>
        <v/>
      </c>
      <c r="AE623" s="165" t="str">
        <f>IFERROR(IF(BetTable[Sport]="","",#REF!/BetTable[TS]),"")</f>
        <v/>
      </c>
      <c r="AF623" s="164">
        <f>IF(BetTable[Outcome]="Win",BetTable[WBA1-Commission],IF(BetTable[Outcome]="Win Half Stake",(BetTable[Stake]/2)+BetTable[WBA1-Commission]/2,IF(BetTable[Outcome]="Lose Half Stake",BetTable[Stake]/2,IF(BetTable[Outcome]="Lose",0,IF(BetTable[Outcome]="Void",BetTable[Stake],)))))</f>
        <v>0</v>
      </c>
      <c r="AG623" s="164">
        <f>IF(BetTable[Outcome2]="Win",BetTable[WBA2-Commission],IF(BetTable[Outcome2]="Win Half Stake",(BetTable[S2]/2)+BetTable[WBA2-Commission]/2,IF(BetTable[Outcome2]="Lose Half Stake",BetTable[S2]/2,IF(BetTable[Outcome2]="Lose",0,IF(BetTable[Outcome2]="Void",BetTable[S2],)))))</f>
        <v>0</v>
      </c>
      <c r="AH623" s="164">
        <f>IF(BetTable[Outcome3]="Win",BetTable[WBA3-Commission],IF(BetTable[Outcome3]="Win Half Stake",(BetTable[S3]/2)+BetTable[WBA3-Commission]/2,IF(BetTable[Outcome3]="Lose Half Stake",BetTable[S3]/2,IF(BetTable[Outcome3]="Lose",0,IF(BetTable[Outcome3]="Void",BetTable[S3],)))))</f>
        <v>0</v>
      </c>
      <c r="AI623" s="168">
        <f>IF(BetTable[Outcome]="",AI622,BetTable[Result]+AI622)</f>
        <v>997.49625000000106</v>
      </c>
      <c r="AJ623" s="160"/>
    </row>
    <row r="624" spans="1:36" x14ac:dyDescent="0.2">
      <c r="A624" s="159" t="s">
        <v>1690</v>
      </c>
      <c r="B624" s="160" t="s">
        <v>200</v>
      </c>
      <c r="C624" s="161" t="s">
        <v>1714</v>
      </c>
      <c r="D624" s="161"/>
      <c r="E624" s="161"/>
      <c r="F624" s="162"/>
      <c r="G624" s="162"/>
      <c r="H624" s="162"/>
      <c r="I624" s="160" t="s">
        <v>1745</v>
      </c>
      <c r="J624" s="163">
        <v>2</v>
      </c>
      <c r="K624" s="163"/>
      <c r="L624" s="163"/>
      <c r="M624" s="164">
        <v>33</v>
      </c>
      <c r="N624" s="164"/>
      <c r="O624" s="164"/>
      <c r="P624" s="159" t="s">
        <v>543</v>
      </c>
      <c r="Q624" s="159" t="s">
        <v>458</v>
      </c>
      <c r="R624" s="159" t="s">
        <v>1746</v>
      </c>
      <c r="S624" s="165">
        <v>2.26869808239194E-2</v>
      </c>
      <c r="T624" s="166" t="s">
        <v>372</v>
      </c>
      <c r="U624" s="166"/>
      <c r="V624" s="166"/>
      <c r="W624" s="167">
        <f>IF(BetTable[Sport]="","",BetTable[Stake]+BetTable[S2]+BetTable[S3])</f>
        <v>33</v>
      </c>
      <c r="X624" s="164">
        <f>IF(BetTable[Odds]="","",(BetTable[WBA1-Commission])-BetTable[TS])</f>
        <v>33</v>
      </c>
      <c r="Y624" s="168">
        <f>IF(BetTable[Outcome]="","",BetTable[WBA1]+BetTable[WBA2]+BetTable[WBA3]-BetTable[TS])</f>
        <v>33</v>
      </c>
      <c r="Z624" s="164">
        <f>(((BetTable[Odds]-1)*BetTable[Stake])*(1-(BetTable[Comm %]))+BetTable[Stake])</f>
        <v>66</v>
      </c>
      <c r="AA624" s="164">
        <f>(((BetTable[O2]-1)*BetTable[S2])*(1-(BetTable[C% 2]))+BetTable[S2])</f>
        <v>0</v>
      </c>
      <c r="AB624" s="164">
        <f>(((BetTable[O3]-1)*BetTable[S3])*(1-(BetTable[C% 3]))+BetTable[S3])</f>
        <v>0</v>
      </c>
      <c r="AC624" s="165">
        <f>IFERROR(IF(BetTable[Sport]="","",BetTable[R1]/BetTable[TS]),"")</f>
        <v>1</v>
      </c>
      <c r="AD624" s="165" t="str">
        <f>IF(BetTable[O2]="","",#REF!/BetTable[TS])</f>
        <v/>
      </c>
      <c r="AE624" s="165" t="str">
        <f>IFERROR(IF(BetTable[Sport]="","",#REF!/BetTable[TS]),"")</f>
        <v/>
      </c>
      <c r="AF624" s="164">
        <f>IF(BetTable[Outcome]="Win",BetTable[WBA1-Commission],IF(BetTable[Outcome]="Win Half Stake",(BetTable[Stake]/2)+BetTable[WBA1-Commission]/2,IF(BetTable[Outcome]="Lose Half Stake",BetTable[Stake]/2,IF(BetTable[Outcome]="Lose",0,IF(BetTable[Outcome]="Void",BetTable[Stake],)))))</f>
        <v>66</v>
      </c>
      <c r="AG624" s="164">
        <f>IF(BetTable[Outcome2]="Win",BetTable[WBA2-Commission],IF(BetTable[Outcome2]="Win Half Stake",(BetTable[S2]/2)+BetTable[WBA2-Commission]/2,IF(BetTable[Outcome2]="Lose Half Stake",BetTable[S2]/2,IF(BetTable[Outcome2]="Lose",0,IF(BetTable[Outcome2]="Void",BetTable[S2],)))))</f>
        <v>0</v>
      </c>
      <c r="AH624" s="164">
        <f>IF(BetTable[Outcome3]="Win",BetTable[WBA3-Commission],IF(BetTable[Outcome3]="Win Half Stake",(BetTable[S3]/2)+BetTable[WBA3-Commission]/2,IF(BetTable[Outcome3]="Lose Half Stake",BetTable[S3]/2,IF(BetTable[Outcome3]="Lose",0,IF(BetTable[Outcome3]="Void",BetTable[S3],)))))</f>
        <v>0</v>
      </c>
      <c r="AI624" s="168">
        <f>IF(BetTable[Outcome]="",AI623,BetTable[Result]+AI623)</f>
        <v>1030.4962500000011</v>
      </c>
      <c r="AJ624" s="160"/>
    </row>
    <row r="625" spans="1:36" x14ac:dyDescent="0.2">
      <c r="A625" s="159" t="s">
        <v>1690</v>
      </c>
      <c r="B625" s="160" t="s">
        <v>200</v>
      </c>
      <c r="C625" s="161" t="s">
        <v>1714</v>
      </c>
      <c r="D625" s="161"/>
      <c r="E625" s="161"/>
      <c r="F625" s="162"/>
      <c r="G625" s="162"/>
      <c r="H625" s="162"/>
      <c r="I625" s="160" t="s">
        <v>1747</v>
      </c>
      <c r="J625" s="163">
        <v>1.99</v>
      </c>
      <c r="K625" s="163"/>
      <c r="L625" s="163"/>
      <c r="M625" s="164">
        <v>32</v>
      </c>
      <c r="N625" s="164"/>
      <c r="O625" s="164"/>
      <c r="P625" s="159" t="s">
        <v>351</v>
      </c>
      <c r="Q625" s="159" t="s">
        <v>466</v>
      </c>
      <c r="R625" s="159" t="s">
        <v>1748</v>
      </c>
      <c r="S625" s="165">
        <v>2.20970508757624E-2</v>
      </c>
      <c r="T625" s="166" t="s">
        <v>372</v>
      </c>
      <c r="U625" s="166"/>
      <c r="V625" s="166"/>
      <c r="W625" s="167">
        <f>IF(BetTable[Sport]="","",BetTable[Stake]+BetTable[S2]+BetTable[S3])</f>
        <v>32</v>
      </c>
      <c r="X625" s="164">
        <f>IF(BetTable[Odds]="","",(BetTable[WBA1-Commission])-BetTable[TS])</f>
        <v>31.68</v>
      </c>
      <c r="Y625" s="168">
        <f>IF(BetTable[Outcome]="","",BetTable[WBA1]+BetTable[WBA2]+BetTable[WBA3]-BetTable[TS])</f>
        <v>31.68</v>
      </c>
      <c r="Z625" s="164">
        <f>(((BetTable[Odds]-1)*BetTable[Stake])*(1-(BetTable[Comm %]))+BetTable[Stake])</f>
        <v>63.68</v>
      </c>
      <c r="AA625" s="164">
        <f>(((BetTable[O2]-1)*BetTable[S2])*(1-(BetTable[C% 2]))+BetTable[S2])</f>
        <v>0</v>
      </c>
      <c r="AB625" s="164">
        <f>(((BetTable[O3]-1)*BetTable[S3])*(1-(BetTable[C% 3]))+BetTable[S3])</f>
        <v>0</v>
      </c>
      <c r="AC625" s="165">
        <f>IFERROR(IF(BetTable[Sport]="","",BetTable[R1]/BetTable[TS]),"")</f>
        <v>0.99</v>
      </c>
      <c r="AD625" s="165" t="str">
        <f>IF(BetTable[O2]="","",#REF!/BetTable[TS])</f>
        <v/>
      </c>
      <c r="AE625" s="165" t="str">
        <f>IFERROR(IF(BetTable[Sport]="","",#REF!/BetTable[TS]),"")</f>
        <v/>
      </c>
      <c r="AF625" s="164">
        <f>IF(BetTable[Outcome]="Win",BetTable[WBA1-Commission],IF(BetTable[Outcome]="Win Half Stake",(BetTable[Stake]/2)+BetTable[WBA1-Commission]/2,IF(BetTable[Outcome]="Lose Half Stake",BetTable[Stake]/2,IF(BetTable[Outcome]="Lose",0,IF(BetTable[Outcome]="Void",BetTable[Stake],)))))</f>
        <v>63.68</v>
      </c>
      <c r="AG625" s="164">
        <f>IF(BetTable[Outcome2]="Win",BetTable[WBA2-Commission],IF(BetTable[Outcome2]="Win Half Stake",(BetTable[S2]/2)+BetTable[WBA2-Commission]/2,IF(BetTable[Outcome2]="Lose Half Stake",BetTable[S2]/2,IF(BetTable[Outcome2]="Lose",0,IF(BetTable[Outcome2]="Void",BetTable[S2],)))))</f>
        <v>0</v>
      </c>
      <c r="AH625" s="164">
        <f>IF(BetTable[Outcome3]="Win",BetTable[WBA3-Commission],IF(BetTable[Outcome3]="Win Half Stake",(BetTable[S3]/2)+BetTable[WBA3-Commission]/2,IF(BetTable[Outcome3]="Lose Half Stake",BetTable[S3]/2,IF(BetTable[Outcome3]="Lose",0,IF(BetTable[Outcome3]="Void",BetTable[S3],)))))</f>
        <v>0</v>
      </c>
      <c r="AI625" s="168">
        <f>IF(BetTable[Outcome]="",AI624,BetTable[Result]+AI624)</f>
        <v>1062.1762500000011</v>
      </c>
      <c r="AJ625" s="160"/>
    </row>
    <row r="626" spans="1:36" x14ac:dyDescent="0.2">
      <c r="A626" s="159" t="s">
        <v>1690</v>
      </c>
      <c r="B626" s="160" t="s">
        <v>7</v>
      </c>
      <c r="C626" s="161" t="s">
        <v>216</v>
      </c>
      <c r="D626" s="161"/>
      <c r="E626" s="161"/>
      <c r="F626" s="162"/>
      <c r="G626" s="162"/>
      <c r="H626" s="162"/>
      <c r="I626" s="160" t="s">
        <v>1749</v>
      </c>
      <c r="J626" s="163">
        <v>1.909</v>
      </c>
      <c r="K626" s="163"/>
      <c r="L626" s="163"/>
      <c r="M626" s="164">
        <v>55</v>
      </c>
      <c r="N626" s="164"/>
      <c r="O626" s="164"/>
      <c r="P626" s="159" t="s">
        <v>1750</v>
      </c>
      <c r="Q626" s="159" t="s">
        <v>659</v>
      </c>
      <c r="R626" s="159" t="s">
        <v>1751</v>
      </c>
      <c r="S626" s="165">
        <v>5.8134363723203103E-2</v>
      </c>
      <c r="T626" s="166" t="s">
        <v>372</v>
      </c>
      <c r="U626" s="166"/>
      <c r="V626" s="166"/>
      <c r="W626" s="167">
        <f>IF(BetTable[Sport]="","",BetTable[Stake]+BetTable[S2]+BetTable[S3])</f>
        <v>55</v>
      </c>
      <c r="X626" s="164">
        <f>IF(BetTable[Odds]="","",(BetTable[WBA1-Commission])-BetTable[TS])</f>
        <v>49.995000000000005</v>
      </c>
      <c r="Y626" s="168">
        <f>IF(BetTable[Outcome]="","",BetTable[WBA1]+BetTable[WBA2]+BetTable[WBA3]-BetTable[TS])</f>
        <v>49.995000000000005</v>
      </c>
      <c r="Z626" s="164">
        <f>(((BetTable[Odds]-1)*BetTable[Stake])*(1-(BetTable[Comm %]))+BetTable[Stake])</f>
        <v>104.995</v>
      </c>
      <c r="AA626" s="164">
        <f>(((BetTable[O2]-1)*BetTable[S2])*(1-(BetTable[C% 2]))+BetTable[S2])</f>
        <v>0</v>
      </c>
      <c r="AB626" s="164">
        <f>(((BetTable[O3]-1)*BetTable[S3])*(1-(BetTable[C% 3]))+BetTable[S3])</f>
        <v>0</v>
      </c>
      <c r="AC626" s="165">
        <f>IFERROR(IF(BetTable[Sport]="","",BetTable[R1]/BetTable[TS]),"")</f>
        <v>0.90900000000000003</v>
      </c>
      <c r="AD626" s="165" t="str">
        <f>IF(BetTable[O2]="","",#REF!/BetTable[TS])</f>
        <v/>
      </c>
      <c r="AE626" s="165" t="str">
        <f>IFERROR(IF(BetTable[Sport]="","",#REF!/BetTable[TS]),"")</f>
        <v/>
      </c>
      <c r="AF626" s="164">
        <f>IF(BetTable[Outcome]="Win",BetTable[WBA1-Commission],IF(BetTable[Outcome]="Win Half Stake",(BetTable[Stake]/2)+BetTable[WBA1-Commission]/2,IF(BetTable[Outcome]="Lose Half Stake",BetTable[Stake]/2,IF(BetTable[Outcome]="Lose",0,IF(BetTable[Outcome]="Void",BetTable[Stake],)))))</f>
        <v>104.995</v>
      </c>
      <c r="AG626" s="164">
        <f>IF(BetTable[Outcome2]="Win",BetTable[WBA2-Commission],IF(BetTable[Outcome2]="Win Half Stake",(BetTable[S2]/2)+BetTable[WBA2-Commission]/2,IF(BetTable[Outcome2]="Lose Half Stake",BetTable[S2]/2,IF(BetTable[Outcome2]="Lose",0,IF(BetTable[Outcome2]="Void",BetTable[S2],)))))</f>
        <v>0</v>
      </c>
      <c r="AH626" s="164">
        <f>IF(BetTable[Outcome3]="Win",BetTable[WBA3-Commission],IF(BetTable[Outcome3]="Win Half Stake",(BetTable[S3]/2)+BetTable[WBA3-Commission]/2,IF(BetTable[Outcome3]="Lose Half Stake",BetTable[S3]/2,IF(BetTable[Outcome3]="Lose",0,IF(BetTable[Outcome3]="Void",BetTable[S3],)))))</f>
        <v>0</v>
      </c>
      <c r="AI626" s="168">
        <f>IF(BetTable[Outcome]="",AI625,BetTable[Result]+AI625)</f>
        <v>1112.1712500000012</v>
      </c>
      <c r="AJ626" s="160"/>
    </row>
    <row r="627" spans="1:36" x14ac:dyDescent="0.2">
      <c r="A627" s="159" t="s">
        <v>1690</v>
      </c>
      <c r="B627" s="160" t="s">
        <v>7</v>
      </c>
      <c r="C627" s="161" t="s">
        <v>216</v>
      </c>
      <c r="D627" s="161"/>
      <c r="E627" s="161"/>
      <c r="F627" s="162"/>
      <c r="G627" s="162"/>
      <c r="H627" s="162"/>
      <c r="I627" s="160" t="s">
        <v>1752</v>
      </c>
      <c r="J627" s="163">
        <v>1.909</v>
      </c>
      <c r="K627" s="163"/>
      <c r="L627" s="163"/>
      <c r="M627" s="164">
        <v>55</v>
      </c>
      <c r="N627" s="164"/>
      <c r="O627" s="164"/>
      <c r="P627" s="159" t="s">
        <v>1753</v>
      </c>
      <c r="Q627" s="159" t="s">
        <v>659</v>
      </c>
      <c r="R627" s="159" t="s">
        <v>1754</v>
      </c>
      <c r="S627" s="165">
        <v>5.4316303609521097E-2</v>
      </c>
      <c r="T627" s="166" t="s">
        <v>372</v>
      </c>
      <c r="U627" s="166"/>
      <c r="V627" s="166"/>
      <c r="W627" s="167">
        <f>IF(BetTable[Sport]="","",BetTable[Stake]+BetTable[S2]+BetTable[S3])</f>
        <v>55</v>
      </c>
      <c r="X627" s="164">
        <f>IF(BetTable[Odds]="","",(BetTable[WBA1-Commission])-BetTable[TS])</f>
        <v>49.995000000000005</v>
      </c>
      <c r="Y627" s="168">
        <f>IF(BetTable[Outcome]="","",BetTable[WBA1]+BetTable[WBA2]+BetTable[WBA3]-BetTable[TS])</f>
        <v>49.995000000000005</v>
      </c>
      <c r="Z627" s="164">
        <f>(((BetTable[Odds]-1)*BetTable[Stake])*(1-(BetTable[Comm %]))+BetTable[Stake])</f>
        <v>104.995</v>
      </c>
      <c r="AA627" s="164">
        <f>(((BetTable[O2]-1)*BetTable[S2])*(1-(BetTable[C% 2]))+BetTable[S2])</f>
        <v>0</v>
      </c>
      <c r="AB627" s="164">
        <f>(((BetTable[O3]-1)*BetTable[S3])*(1-(BetTable[C% 3]))+BetTable[S3])</f>
        <v>0</v>
      </c>
      <c r="AC627" s="165">
        <f>IFERROR(IF(BetTable[Sport]="","",BetTable[R1]/BetTable[TS]),"")</f>
        <v>0.90900000000000003</v>
      </c>
      <c r="AD627" s="165" t="str">
        <f>IF(BetTable[O2]="","",#REF!/BetTable[TS])</f>
        <v/>
      </c>
      <c r="AE627" s="165" t="str">
        <f>IFERROR(IF(BetTable[Sport]="","",#REF!/BetTable[TS]),"")</f>
        <v/>
      </c>
      <c r="AF627" s="164">
        <f>IF(BetTable[Outcome]="Win",BetTable[WBA1-Commission],IF(BetTable[Outcome]="Win Half Stake",(BetTable[Stake]/2)+BetTable[WBA1-Commission]/2,IF(BetTable[Outcome]="Lose Half Stake",BetTable[Stake]/2,IF(BetTable[Outcome]="Lose",0,IF(BetTable[Outcome]="Void",BetTable[Stake],)))))</f>
        <v>104.995</v>
      </c>
      <c r="AG627" s="164">
        <f>IF(BetTable[Outcome2]="Win",BetTable[WBA2-Commission],IF(BetTable[Outcome2]="Win Half Stake",(BetTable[S2]/2)+BetTable[WBA2-Commission]/2,IF(BetTable[Outcome2]="Lose Half Stake",BetTable[S2]/2,IF(BetTable[Outcome2]="Lose",0,IF(BetTable[Outcome2]="Void",BetTable[S2],)))))</f>
        <v>0</v>
      </c>
      <c r="AH627" s="164">
        <f>IF(BetTable[Outcome3]="Win",BetTable[WBA3-Commission],IF(BetTable[Outcome3]="Win Half Stake",(BetTable[S3]/2)+BetTable[WBA3-Commission]/2,IF(BetTable[Outcome3]="Lose Half Stake",BetTable[S3]/2,IF(BetTable[Outcome3]="Lose",0,IF(BetTable[Outcome3]="Void",BetTable[S3],)))))</f>
        <v>0</v>
      </c>
      <c r="AI627" s="168">
        <f>IF(BetTable[Outcome]="",AI626,BetTable[Result]+AI626)</f>
        <v>1162.1662500000011</v>
      </c>
      <c r="AJ627" s="160"/>
    </row>
    <row r="628" spans="1:36" x14ac:dyDescent="0.2">
      <c r="A628" s="159" t="s">
        <v>1690</v>
      </c>
      <c r="B628" s="160" t="s">
        <v>7</v>
      </c>
      <c r="C628" s="161" t="s">
        <v>216</v>
      </c>
      <c r="D628" s="161"/>
      <c r="E628" s="161"/>
      <c r="F628" s="162"/>
      <c r="G628" s="162"/>
      <c r="H628" s="162"/>
      <c r="I628" s="160" t="s">
        <v>1755</v>
      </c>
      <c r="J628" s="163">
        <v>1.909</v>
      </c>
      <c r="K628" s="163"/>
      <c r="L628" s="163"/>
      <c r="M628" s="164">
        <v>55</v>
      </c>
      <c r="N628" s="164"/>
      <c r="O628" s="164"/>
      <c r="P628" s="159" t="s">
        <v>1756</v>
      </c>
      <c r="Q628" s="159" t="s">
        <v>659</v>
      </c>
      <c r="R628" s="159" t="s">
        <v>1757</v>
      </c>
      <c r="S628" s="165">
        <v>5.4316303609521097E-2</v>
      </c>
      <c r="T628" s="166" t="s">
        <v>372</v>
      </c>
      <c r="U628" s="166"/>
      <c r="V628" s="166"/>
      <c r="W628" s="167">
        <f>IF(BetTable[Sport]="","",BetTable[Stake]+BetTable[S2]+BetTable[S3])</f>
        <v>55</v>
      </c>
      <c r="X628" s="164">
        <f>IF(BetTable[Odds]="","",(BetTable[WBA1-Commission])-BetTable[TS])</f>
        <v>49.995000000000005</v>
      </c>
      <c r="Y628" s="168">
        <f>IF(BetTable[Outcome]="","",BetTable[WBA1]+BetTable[WBA2]+BetTable[WBA3]-BetTable[TS])</f>
        <v>49.995000000000005</v>
      </c>
      <c r="Z628" s="164">
        <f>(((BetTable[Odds]-1)*BetTable[Stake])*(1-(BetTable[Comm %]))+BetTable[Stake])</f>
        <v>104.995</v>
      </c>
      <c r="AA628" s="164">
        <f>(((BetTable[O2]-1)*BetTable[S2])*(1-(BetTable[C% 2]))+BetTable[S2])</f>
        <v>0</v>
      </c>
      <c r="AB628" s="164">
        <f>(((BetTable[O3]-1)*BetTable[S3])*(1-(BetTable[C% 3]))+BetTable[S3])</f>
        <v>0</v>
      </c>
      <c r="AC628" s="165">
        <f>IFERROR(IF(BetTable[Sport]="","",BetTable[R1]/BetTable[TS]),"")</f>
        <v>0.90900000000000003</v>
      </c>
      <c r="AD628" s="165" t="str">
        <f>IF(BetTable[O2]="","",#REF!/BetTable[TS])</f>
        <v/>
      </c>
      <c r="AE628" s="165" t="str">
        <f>IFERROR(IF(BetTable[Sport]="","",#REF!/BetTable[TS]),"")</f>
        <v/>
      </c>
      <c r="AF628" s="164">
        <f>IF(BetTable[Outcome]="Win",BetTable[WBA1-Commission],IF(BetTable[Outcome]="Win Half Stake",(BetTable[Stake]/2)+BetTable[WBA1-Commission]/2,IF(BetTable[Outcome]="Lose Half Stake",BetTable[Stake]/2,IF(BetTable[Outcome]="Lose",0,IF(BetTable[Outcome]="Void",BetTable[Stake],)))))</f>
        <v>104.995</v>
      </c>
      <c r="AG628" s="164">
        <f>IF(BetTable[Outcome2]="Win",BetTable[WBA2-Commission],IF(BetTable[Outcome2]="Win Half Stake",(BetTable[S2]/2)+BetTable[WBA2-Commission]/2,IF(BetTable[Outcome2]="Lose Half Stake",BetTable[S2]/2,IF(BetTable[Outcome2]="Lose",0,IF(BetTable[Outcome2]="Void",BetTable[S2],)))))</f>
        <v>0</v>
      </c>
      <c r="AH628" s="164">
        <f>IF(BetTable[Outcome3]="Win",BetTable[WBA3-Commission],IF(BetTable[Outcome3]="Win Half Stake",(BetTable[S3]/2)+BetTable[WBA3-Commission]/2,IF(BetTable[Outcome3]="Lose Half Stake",BetTable[S3]/2,IF(BetTable[Outcome3]="Lose",0,IF(BetTable[Outcome3]="Void",BetTable[S3],)))))</f>
        <v>0</v>
      </c>
      <c r="AI628" s="168">
        <f>IF(BetTable[Outcome]="",AI627,BetTable[Result]+AI627)</f>
        <v>1212.161250000001</v>
      </c>
      <c r="AJ628" s="160"/>
    </row>
    <row r="629" spans="1:36" x14ac:dyDescent="0.2">
      <c r="A629" s="159" t="s">
        <v>1690</v>
      </c>
      <c r="B629" s="160" t="s">
        <v>7</v>
      </c>
      <c r="C629" s="161" t="s">
        <v>216</v>
      </c>
      <c r="D629" s="161"/>
      <c r="E629" s="161"/>
      <c r="F629" s="162"/>
      <c r="G629" s="162"/>
      <c r="H629" s="162"/>
      <c r="I629" s="160" t="s">
        <v>1755</v>
      </c>
      <c r="J629" s="163">
        <v>1.909</v>
      </c>
      <c r="K629" s="163"/>
      <c r="L629" s="163"/>
      <c r="M629" s="164">
        <v>36</v>
      </c>
      <c r="N629" s="164"/>
      <c r="O629" s="164"/>
      <c r="P629" s="159" t="s">
        <v>1135</v>
      </c>
      <c r="Q629" s="159" t="s">
        <v>659</v>
      </c>
      <c r="R629" s="159" t="s">
        <v>1758</v>
      </c>
      <c r="S629" s="165">
        <v>2.2906132903222201E-2</v>
      </c>
      <c r="T629" s="166" t="s">
        <v>382</v>
      </c>
      <c r="U629" s="166"/>
      <c r="V629" s="166"/>
      <c r="W629" s="167">
        <f>IF(BetTable[Sport]="","",BetTable[Stake]+BetTable[S2]+BetTable[S3])</f>
        <v>36</v>
      </c>
      <c r="X629" s="164">
        <f>IF(BetTable[Odds]="","",(BetTable[WBA1-Commission])-BetTable[TS])</f>
        <v>32.724000000000004</v>
      </c>
      <c r="Y629" s="168">
        <f>IF(BetTable[Outcome]="","",BetTable[WBA1]+BetTable[WBA2]+BetTable[WBA3]-BetTable[TS])</f>
        <v>-36</v>
      </c>
      <c r="Z629" s="164">
        <f>(((BetTable[Odds]-1)*BetTable[Stake])*(1-(BetTable[Comm %]))+BetTable[Stake])</f>
        <v>68.724000000000004</v>
      </c>
      <c r="AA629" s="164">
        <f>(((BetTable[O2]-1)*BetTable[S2])*(1-(BetTable[C% 2]))+BetTable[S2])</f>
        <v>0</v>
      </c>
      <c r="AB629" s="164">
        <f>(((BetTable[O3]-1)*BetTable[S3])*(1-(BetTable[C% 3]))+BetTable[S3])</f>
        <v>0</v>
      </c>
      <c r="AC629" s="165">
        <f>IFERROR(IF(BetTable[Sport]="","",BetTable[R1]/BetTable[TS]),"")</f>
        <v>0.90900000000000014</v>
      </c>
      <c r="AD629" s="165" t="str">
        <f>IF(BetTable[O2]="","",#REF!/BetTable[TS])</f>
        <v/>
      </c>
      <c r="AE629" s="165" t="str">
        <f>IFERROR(IF(BetTable[Sport]="","",#REF!/BetTable[TS]),"")</f>
        <v/>
      </c>
      <c r="AF629" s="164">
        <f>IF(BetTable[Outcome]="Win",BetTable[WBA1-Commission],IF(BetTable[Outcome]="Win Half Stake",(BetTable[Stake]/2)+BetTable[WBA1-Commission]/2,IF(BetTable[Outcome]="Lose Half Stake",BetTable[Stake]/2,IF(BetTable[Outcome]="Lose",0,IF(BetTable[Outcome]="Void",BetTable[Stake],)))))</f>
        <v>0</v>
      </c>
      <c r="AG629" s="164">
        <f>IF(BetTable[Outcome2]="Win",BetTable[WBA2-Commission],IF(BetTable[Outcome2]="Win Half Stake",(BetTable[S2]/2)+BetTable[WBA2-Commission]/2,IF(BetTable[Outcome2]="Lose Half Stake",BetTable[S2]/2,IF(BetTable[Outcome2]="Lose",0,IF(BetTable[Outcome2]="Void",BetTable[S2],)))))</f>
        <v>0</v>
      </c>
      <c r="AH629" s="164">
        <f>IF(BetTable[Outcome3]="Win",BetTable[WBA3-Commission],IF(BetTable[Outcome3]="Win Half Stake",(BetTable[S3]/2)+BetTable[WBA3-Commission]/2,IF(BetTable[Outcome3]="Lose Half Stake",BetTable[S3]/2,IF(BetTable[Outcome3]="Lose",0,IF(BetTable[Outcome3]="Void",BetTable[S3],)))))</f>
        <v>0</v>
      </c>
      <c r="AI629" s="168">
        <f>IF(BetTable[Outcome]="",AI628,BetTable[Result]+AI628)</f>
        <v>1176.161250000001</v>
      </c>
      <c r="AJ629" s="160"/>
    </row>
    <row r="630" spans="1:36" x14ac:dyDescent="0.2">
      <c r="A630" s="159" t="s">
        <v>1690</v>
      </c>
      <c r="B630" s="160" t="s">
        <v>201</v>
      </c>
      <c r="C630" s="161" t="s">
        <v>216</v>
      </c>
      <c r="D630" s="161"/>
      <c r="E630" s="161"/>
      <c r="F630" s="162"/>
      <c r="G630" s="162"/>
      <c r="H630" s="162"/>
      <c r="I630" s="160" t="s">
        <v>1759</v>
      </c>
      <c r="J630" s="163">
        <v>1.952</v>
      </c>
      <c r="K630" s="163"/>
      <c r="L630" s="163"/>
      <c r="M630" s="164">
        <v>45</v>
      </c>
      <c r="N630" s="164"/>
      <c r="O630" s="164"/>
      <c r="P630" s="159" t="s">
        <v>1760</v>
      </c>
      <c r="Q630" s="159" t="s">
        <v>1132</v>
      </c>
      <c r="R630" s="159" t="s">
        <v>1761</v>
      </c>
      <c r="S630" s="165">
        <v>2.9581775300466399E-2</v>
      </c>
      <c r="T630" s="166" t="s">
        <v>372</v>
      </c>
      <c r="U630" s="166"/>
      <c r="V630" s="166"/>
      <c r="W630" s="167">
        <f>IF(BetTable[Sport]="","",BetTable[Stake]+BetTable[S2]+BetTable[S3])</f>
        <v>45</v>
      </c>
      <c r="X630" s="164">
        <f>IF(BetTable[Odds]="","",(BetTable[WBA1-Commission])-BetTable[TS])</f>
        <v>42.84</v>
      </c>
      <c r="Y630" s="168">
        <f>IF(BetTable[Outcome]="","",BetTable[WBA1]+BetTable[WBA2]+BetTable[WBA3]-BetTable[TS])</f>
        <v>42.84</v>
      </c>
      <c r="Z630" s="164">
        <f>(((BetTable[Odds]-1)*BetTable[Stake])*(1-(BetTable[Comm %]))+BetTable[Stake])</f>
        <v>87.84</v>
      </c>
      <c r="AA630" s="164">
        <f>(((BetTable[O2]-1)*BetTable[S2])*(1-(BetTable[C% 2]))+BetTable[S2])</f>
        <v>0</v>
      </c>
      <c r="AB630" s="164">
        <f>(((BetTable[O3]-1)*BetTable[S3])*(1-(BetTable[C% 3]))+BetTable[S3])</f>
        <v>0</v>
      </c>
      <c r="AC630" s="165">
        <f>IFERROR(IF(BetTable[Sport]="","",BetTable[R1]/BetTable[TS]),"")</f>
        <v>0.95200000000000007</v>
      </c>
      <c r="AD630" s="165" t="str">
        <f>IF(BetTable[O2]="","",#REF!/BetTable[TS])</f>
        <v/>
      </c>
      <c r="AE630" s="165" t="str">
        <f>IFERROR(IF(BetTable[Sport]="","",#REF!/BetTable[TS]),"")</f>
        <v/>
      </c>
      <c r="AF630" s="164">
        <f>IF(BetTable[Outcome]="Win",BetTable[WBA1-Commission],IF(BetTable[Outcome]="Win Half Stake",(BetTable[Stake]/2)+BetTable[WBA1-Commission]/2,IF(BetTable[Outcome]="Lose Half Stake",BetTable[Stake]/2,IF(BetTable[Outcome]="Lose",0,IF(BetTable[Outcome]="Void",BetTable[Stake],)))))</f>
        <v>87.84</v>
      </c>
      <c r="AG630" s="164">
        <f>IF(BetTable[Outcome2]="Win",BetTable[WBA2-Commission],IF(BetTable[Outcome2]="Win Half Stake",(BetTable[S2]/2)+BetTable[WBA2-Commission]/2,IF(BetTable[Outcome2]="Lose Half Stake",BetTable[S2]/2,IF(BetTable[Outcome2]="Lose",0,IF(BetTable[Outcome2]="Void",BetTable[S2],)))))</f>
        <v>0</v>
      </c>
      <c r="AH630" s="164">
        <f>IF(BetTable[Outcome3]="Win",BetTable[WBA3-Commission],IF(BetTable[Outcome3]="Win Half Stake",(BetTable[S3]/2)+BetTable[WBA3-Commission]/2,IF(BetTable[Outcome3]="Lose Half Stake",BetTable[S3]/2,IF(BetTable[Outcome3]="Lose",0,IF(BetTable[Outcome3]="Void",BetTable[S3],)))))</f>
        <v>0</v>
      </c>
      <c r="AI630" s="168">
        <f>IF(BetTable[Outcome]="",AI629,BetTable[Result]+AI629)</f>
        <v>1219.0012500000009</v>
      </c>
      <c r="AJ630" s="160"/>
    </row>
    <row r="631" spans="1:36" x14ac:dyDescent="0.2">
      <c r="A631" s="159" t="s">
        <v>1690</v>
      </c>
      <c r="B631" s="160" t="s">
        <v>200</v>
      </c>
      <c r="C631" s="161" t="s">
        <v>1714</v>
      </c>
      <c r="D631" s="161"/>
      <c r="E631" s="161"/>
      <c r="F631" s="162"/>
      <c r="G631" s="162"/>
      <c r="H631" s="162"/>
      <c r="I631" s="160" t="s">
        <v>1762</v>
      </c>
      <c r="J631" s="163">
        <v>1.96</v>
      </c>
      <c r="K631" s="163"/>
      <c r="L631" s="163"/>
      <c r="M631" s="164">
        <v>42</v>
      </c>
      <c r="N631" s="164"/>
      <c r="O631" s="164"/>
      <c r="P631" s="159" t="s">
        <v>351</v>
      </c>
      <c r="Q631" s="159" t="s">
        <v>1763</v>
      </c>
      <c r="R631" s="159" t="s">
        <v>1764</v>
      </c>
      <c r="S631" s="165">
        <v>2.7699413584429199E-2</v>
      </c>
      <c r="T631" s="166" t="s">
        <v>372</v>
      </c>
      <c r="U631" s="166"/>
      <c r="V631" s="166"/>
      <c r="W631" s="167">
        <f>IF(BetTable[Sport]="","",BetTable[Stake]+BetTable[S2]+BetTable[S3])</f>
        <v>42</v>
      </c>
      <c r="X631" s="164">
        <f>IF(BetTable[Odds]="","",(BetTable[WBA1-Commission])-BetTable[TS])</f>
        <v>40.319999999999993</v>
      </c>
      <c r="Y631" s="168">
        <f>IF(BetTable[Outcome]="","",BetTable[WBA1]+BetTable[WBA2]+BetTable[WBA3]-BetTable[TS])</f>
        <v>40.319999999999993</v>
      </c>
      <c r="Z631" s="164">
        <f>(((BetTable[Odds]-1)*BetTable[Stake])*(1-(BetTable[Comm %]))+BetTable[Stake])</f>
        <v>82.32</v>
      </c>
      <c r="AA631" s="164">
        <f>(((BetTable[O2]-1)*BetTable[S2])*(1-(BetTable[C% 2]))+BetTable[S2])</f>
        <v>0</v>
      </c>
      <c r="AB631" s="164">
        <f>(((BetTable[O3]-1)*BetTable[S3])*(1-(BetTable[C% 3]))+BetTable[S3])</f>
        <v>0</v>
      </c>
      <c r="AC631" s="165">
        <f>IFERROR(IF(BetTable[Sport]="","",BetTable[R1]/BetTable[TS]),"")</f>
        <v>0.95999999999999985</v>
      </c>
      <c r="AD631" s="165" t="str">
        <f>IF(BetTable[O2]="","",#REF!/BetTable[TS])</f>
        <v/>
      </c>
      <c r="AE631" s="165" t="str">
        <f>IFERROR(IF(BetTable[Sport]="","",#REF!/BetTable[TS]),"")</f>
        <v/>
      </c>
      <c r="AF631" s="164">
        <f>IF(BetTable[Outcome]="Win",BetTable[WBA1-Commission],IF(BetTable[Outcome]="Win Half Stake",(BetTable[Stake]/2)+BetTable[WBA1-Commission]/2,IF(BetTable[Outcome]="Lose Half Stake",BetTable[Stake]/2,IF(BetTable[Outcome]="Lose",0,IF(BetTable[Outcome]="Void",BetTable[Stake],)))))</f>
        <v>82.32</v>
      </c>
      <c r="AG631" s="164">
        <f>IF(BetTable[Outcome2]="Win",BetTable[WBA2-Commission],IF(BetTable[Outcome2]="Win Half Stake",(BetTable[S2]/2)+BetTable[WBA2-Commission]/2,IF(BetTable[Outcome2]="Lose Half Stake",BetTable[S2]/2,IF(BetTable[Outcome2]="Lose",0,IF(BetTable[Outcome2]="Void",BetTable[S2],)))))</f>
        <v>0</v>
      </c>
      <c r="AH631" s="164">
        <f>IF(BetTable[Outcome3]="Win",BetTable[WBA3-Commission],IF(BetTable[Outcome3]="Win Half Stake",(BetTable[S3]/2)+BetTable[WBA3-Commission]/2,IF(BetTable[Outcome3]="Lose Half Stake",BetTable[S3]/2,IF(BetTable[Outcome3]="Lose",0,IF(BetTable[Outcome3]="Void",BetTable[S3],)))))</f>
        <v>0</v>
      </c>
      <c r="AI631" s="168">
        <f>IF(BetTable[Outcome]="",AI630,BetTable[Result]+AI630)</f>
        <v>1259.3212500000009</v>
      </c>
      <c r="AJ631" s="160"/>
    </row>
    <row r="632" spans="1:36" x14ac:dyDescent="0.2">
      <c r="A632" s="159" t="s">
        <v>1690</v>
      </c>
      <c r="B632" s="160" t="s">
        <v>200</v>
      </c>
      <c r="C632" s="161" t="s">
        <v>1714</v>
      </c>
      <c r="D632" s="161"/>
      <c r="E632" s="161"/>
      <c r="F632" s="162"/>
      <c r="G632" s="162"/>
      <c r="H632" s="162"/>
      <c r="I632" s="160" t="s">
        <v>1765</v>
      </c>
      <c r="J632" s="163">
        <v>1.8</v>
      </c>
      <c r="K632" s="163"/>
      <c r="L632" s="163"/>
      <c r="M632" s="164">
        <v>43</v>
      </c>
      <c r="N632" s="164"/>
      <c r="O632" s="164"/>
      <c r="P632" s="159" t="s">
        <v>864</v>
      </c>
      <c r="Q632" s="159" t="s">
        <v>968</v>
      </c>
      <c r="R632" s="159" t="s">
        <v>1766</v>
      </c>
      <c r="S632" s="165">
        <v>2.3807975890406001E-2</v>
      </c>
      <c r="T632" s="166" t="s">
        <v>372</v>
      </c>
      <c r="U632" s="166"/>
      <c r="V632" s="166"/>
      <c r="W632" s="167">
        <f>IF(BetTable[Sport]="","",BetTable[Stake]+BetTable[S2]+BetTable[S3])</f>
        <v>43</v>
      </c>
      <c r="X632" s="164">
        <f>IF(BetTable[Odds]="","",(BetTable[WBA1-Commission])-BetTable[TS])</f>
        <v>34.400000000000006</v>
      </c>
      <c r="Y632" s="168">
        <f>IF(BetTable[Outcome]="","",BetTable[WBA1]+BetTable[WBA2]+BetTable[WBA3]-BetTable[TS])</f>
        <v>34.400000000000006</v>
      </c>
      <c r="Z632" s="164">
        <f>(((BetTable[Odds]-1)*BetTable[Stake])*(1-(BetTable[Comm %]))+BetTable[Stake])</f>
        <v>77.400000000000006</v>
      </c>
      <c r="AA632" s="164">
        <f>(((BetTable[O2]-1)*BetTable[S2])*(1-(BetTable[C% 2]))+BetTable[S2])</f>
        <v>0</v>
      </c>
      <c r="AB632" s="164">
        <f>(((BetTable[O3]-1)*BetTable[S3])*(1-(BetTable[C% 3]))+BetTable[S3])</f>
        <v>0</v>
      </c>
      <c r="AC632" s="165">
        <f>IFERROR(IF(BetTable[Sport]="","",BetTable[R1]/BetTable[TS]),"")</f>
        <v>0.80000000000000016</v>
      </c>
      <c r="AD632" s="165" t="str">
        <f>IF(BetTable[O2]="","",#REF!/BetTable[TS])</f>
        <v/>
      </c>
      <c r="AE632" s="165" t="str">
        <f>IFERROR(IF(BetTable[Sport]="","",#REF!/BetTable[TS]),"")</f>
        <v/>
      </c>
      <c r="AF632" s="164">
        <f>IF(BetTable[Outcome]="Win",BetTable[WBA1-Commission],IF(BetTable[Outcome]="Win Half Stake",(BetTable[Stake]/2)+BetTable[WBA1-Commission]/2,IF(BetTable[Outcome]="Lose Half Stake",BetTable[Stake]/2,IF(BetTable[Outcome]="Lose",0,IF(BetTable[Outcome]="Void",BetTable[Stake],)))))</f>
        <v>77.400000000000006</v>
      </c>
      <c r="AG632" s="164">
        <f>IF(BetTable[Outcome2]="Win",BetTable[WBA2-Commission],IF(BetTable[Outcome2]="Win Half Stake",(BetTable[S2]/2)+BetTable[WBA2-Commission]/2,IF(BetTable[Outcome2]="Lose Half Stake",BetTable[S2]/2,IF(BetTable[Outcome2]="Lose",0,IF(BetTable[Outcome2]="Void",BetTable[S2],)))))</f>
        <v>0</v>
      </c>
      <c r="AH632" s="164">
        <f>IF(BetTable[Outcome3]="Win",BetTable[WBA3-Commission],IF(BetTable[Outcome3]="Win Half Stake",(BetTable[S3]/2)+BetTable[WBA3-Commission]/2,IF(BetTable[Outcome3]="Lose Half Stake",BetTable[S3]/2,IF(BetTable[Outcome3]="Lose",0,IF(BetTable[Outcome3]="Void",BetTable[S3],)))))</f>
        <v>0</v>
      </c>
      <c r="AI632" s="168">
        <f>IF(BetTable[Outcome]="",AI631,BetTable[Result]+AI631)</f>
        <v>1293.721250000001</v>
      </c>
      <c r="AJ632" s="160"/>
    </row>
    <row r="633" spans="1:36" x14ac:dyDescent="0.2">
      <c r="A633" s="159" t="s">
        <v>1690</v>
      </c>
      <c r="B633" s="160" t="s">
        <v>200</v>
      </c>
      <c r="C633" s="161" t="s">
        <v>91</v>
      </c>
      <c r="D633" s="161"/>
      <c r="E633" s="161"/>
      <c r="F633" s="162"/>
      <c r="G633" s="162"/>
      <c r="H633" s="162"/>
      <c r="I633" s="160" t="s">
        <v>1767</v>
      </c>
      <c r="J633" s="163">
        <v>1.98</v>
      </c>
      <c r="K633" s="163"/>
      <c r="L633" s="163"/>
      <c r="M633" s="164">
        <v>26</v>
      </c>
      <c r="N633" s="164"/>
      <c r="O633" s="164"/>
      <c r="P633" s="159" t="s">
        <v>368</v>
      </c>
      <c r="Q633" s="159" t="s">
        <v>1768</v>
      </c>
      <c r="R633" s="159" t="s">
        <v>1769</v>
      </c>
      <c r="S633" s="165">
        <v>1.7747644960199999E-2</v>
      </c>
      <c r="T633" s="166" t="s">
        <v>382</v>
      </c>
      <c r="U633" s="166"/>
      <c r="V633" s="166"/>
      <c r="W633" s="167">
        <f>IF(BetTable[Sport]="","",BetTable[Stake]+BetTable[S2]+BetTable[S3])</f>
        <v>26</v>
      </c>
      <c r="X633" s="164">
        <f>IF(BetTable[Odds]="","",(BetTable[WBA1-Commission])-BetTable[TS])</f>
        <v>25.480000000000004</v>
      </c>
      <c r="Y633" s="168">
        <f>IF(BetTable[Outcome]="","",BetTable[WBA1]+BetTable[WBA2]+BetTable[WBA3]-BetTable[TS])</f>
        <v>-26</v>
      </c>
      <c r="Z633" s="164">
        <f>(((BetTable[Odds]-1)*BetTable[Stake])*(1-(BetTable[Comm %]))+BetTable[Stake])</f>
        <v>51.480000000000004</v>
      </c>
      <c r="AA633" s="164">
        <f>(((BetTable[O2]-1)*BetTable[S2])*(1-(BetTable[C% 2]))+BetTable[S2])</f>
        <v>0</v>
      </c>
      <c r="AB633" s="164">
        <f>(((BetTable[O3]-1)*BetTable[S3])*(1-(BetTable[C% 3]))+BetTable[S3])</f>
        <v>0</v>
      </c>
      <c r="AC633" s="165">
        <f>IFERROR(IF(BetTable[Sport]="","",BetTable[R1]/BetTable[TS]),"")</f>
        <v>0.9800000000000002</v>
      </c>
      <c r="AD633" s="165" t="str">
        <f>IF(BetTable[O2]="","",#REF!/BetTable[TS])</f>
        <v/>
      </c>
      <c r="AE633" s="165" t="str">
        <f>IFERROR(IF(BetTable[Sport]="","",#REF!/BetTable[TS]),"")</f>
        <v/>
      </c>
      <c r="AF633" s="164">
        <f>IF(BetTable[Outcome]="Win",BetTable[WBA1-Commission],IF(BetTable[Outcome]="Win Half Stake",(BetTable[Stake]/2)+BetTable[WBA1-Commission]/2,IF(BetTable[Outcome]="Lose Half Stake",BetTable[Stake]/2,IF(BetTable[Outcome]="Lose",0,IF(BetTable[Outcome]="Void",BetTable[Stake],)))))</f>
        <v>0</v>
      </c>
      <c r="AG633" s="164">
        <f>IF(BetTable[Outcome2]="Win",BetTable[WBA2-Commission],IF(BetTable[Outcome2]="Win Half Stake",(BetTable[S2]/2)+BetTable[WBA2-Commission]/2,IF(BetTable[Outcome2]="Lose Half Stake",BetTable[S2]/2,IF(BetTable[Outcome2]="Lose",0,IF(BetTable[Outcome2]="Void",BetTable[S2],)))))</f>
        <v>0</v>
      </c>
      <c r="AH633" s="164">
        <f>IF(BetTable[Outcome3]="Win",BetTable[WBA3-Commission],IF(BetTable[Outcome3]="Win Half Stake",(BetTable[S3]/2)+BetTable[WBA3-Commission]/2,IF(BetTable[Outcome3]="Lose Half Stake",BetTable[S3]/2,IF(BetTable[Outcome3]="Lose",0,IF(BetTable[Outcome3]="Void",BetTable[S3],)))))</f>
        <v>0</v>
      </c>
      <c r="AI633" s="168">
        <f>IF(BetTable[Outcome]="",AI632,BetTable[Result]+AI632)</f>
        <v>1267.721250000001</v>
      </c>
      <c r="AJ633" s="160"/>
    </row>
    <row r="634" spans="1:36" x14ac:dyDescent="0.2">
      <c r="A634" s="159" t="s">
        <v>1690</v>
      </c>
      <c r="B634" s="160" t="s">
        <v>200</v>
      </c>
      <c r="C634" s="161" t="s">
        <v>91</v>
      </c>
      <c r="D634" s="161"/>
      <c r="E634" s="161"/>
      <c r="F634" s="162"/>
      <c r="G634" s="162"/>
      <c r="H634" s="162"/>
      <c r="I634" s="160" t="s">
        <v>1770</v>
      </c>
      <c r="J634" s="163">
        <v>1.81</v>
      </c>
      <c r="K634" s="163"/>
      <c r="L634" s="163"/>
      <c r="M634" s="164">
        <v>41</v>
      </c>
      <c r="N634" s="164"/>
      <c r="O634" s="164"/>
      <c r="P634" s="159" t="s">
        <v>791</v>
      </c>
      <c r="Q634" s="159" t="s">
        <v>506</v>
      </c>
      <c r="R634" s="159" t="s">
        <v>1771</v>
      </c>
      <c r="S634" s="165">
        <v>2.2789600450793399E-2</v>
      </c>
      <c r="T634" s="166" t="s">
        <v>372</v>
      </c>
      <c r="U634" s="166"/>
      <c r="V634" s="166"/>
      <c r="W634" s="167">
        <f>IF(BetTable[Sport]="","",BetTable[Stake]+BetTable[S2]+BetTable[S3])</f>
        <v>41</v>
      </c>
      <c r="X634" s="164">
        <f>IF(BetTable[Odds]="","",(BetTable[WBA1-Commission])-BetTable[TS])</f>
        <v>33.210000000000008</v>
      </c>
      <c r="Y634" s="168">
        <f>IF(BetTable[Outcome]="","",BetTable[WBA1]+BetTable[WBA2]+BetTable[WBA3]-BetTable[TS])</f>
        <v>33.210000000000008</v>
      </c>
      <c r="Z634" s="164">
        <f>(((BetTable[Odds]-1)*BetTable[Stake])*(1-(BetTable[Comm %]))+BetTable[Stake])</f>
        <v>74.210000000000008</v>
      </c>
      <c r="AA634" s="164">
        <f>(((BetTable[O2]-1)*BetTable[S2])*(1-(BetTable[C% 2]))+BetTable[S2])</f>
        <v>0</v>
      </c>
      <c r="AB634" s="164">
        <f>(((BetTable[O3]-1)*BetTable[S3])*(1-(BetTable[C% 3]))+BetTable[S3])</f>
        <v>0</v>
      </c>
      <c r="AC634" s="165">
        <f>IFERROR(IF(BetTable[Sport]="","",BetTable[R1]/BetTable[TS]),"")</f>
        <v>0.81000000000000016</v>
      </c>
      <c r="AD634" s="165" t="str">
        <f>IF(BetTable[O2]="","",#REF!/BetTable[TS])</f>
        <v/>
      </c>
      <c r="AE634" s="165" t="str">
        <f>IFERROR(IF(BetTable[Sport]="","",#REF!/BetTable[TS]),"")</f>
        <v/>
      </c>
      <c r="AF634" s="164">
        <f>IF(BetTable[Outcome]="Win",BetTable[WBA1-Commission],IF(BetTable[Outcome]="Win Half Stake",(BetTable[Stake]/2)+BetTable[WBA1-Commission]/2,IF(BetTable[Outcome]="Lose Half Stake",BetTable[Stake]/2,IF(BetTable[Outcome]="Lose",0,IF(BetTable[Outcome]="Void",BetTable[Stake],)))))</f>
        <v>74.210000000000008</v>
      </c>
      <c r="AG634" s="164">
        <f>IF(BetTable[Outcome2]="Win",BetTable[WBA2-Commission],IF(BetTable[Outcome2]="Win Half Stake",(BetTable[S2]/2)+BetTable[WBA2-Commission]/2,IF(BetTable[Outcome2]="Lose Half Stake",BetTable[S2]/2,IF(BetTable[Outcome2]="Lose",0,IF(BetTable[Outcome2]="Void",BetTable[S2],)))))</f>
        <v>0</v>
      </c>
      <c r="AH634" s="164">
        <f>IF(BetTable[Outcome3]="Win",BetTable[WBA3-Commission],IF(BetTable[Outcome3]="Win Half Stake",(BetTable[S3]/2)+BetTable[WBA3-Commission]/2,IF(BetTable[Outcome3]="Lose Half Stake",BetTable[S3]/2,IF(BetTable[Outcome3]="Lose",0,IF(BetTable[Outcome3]="Void",BetTable[S3],)))))</f>
        <v>0</v>
      </c>
      <c r="AI634" s="168">
        <f>IF(BetTable[Outcome]="",AI633,BetTable[Result]+AI633)</f>
        <v>1300.931250000001</v>
      </c>
      <c r="AJ634" s="160"/>
    </row>
    <row r="635" spans="1:36" x14ac:dyDescent="0.2">
      <c r="A635" s="159" t="s">
        <v>1690</v>
      </c>
      <c r="B635" s="160" t="s">
        <v>200</v>
      </c>
      <c r="C635" s="161" t="s">
        <v>1714</v>
      </c>
      <c r="D635" s="161"/>
      <c r="E635" s="161"/>
      <c r="F635" s="162"/>
      <c r="G635" s="162"/>
      <c r="H635" s="162"/>
      <c r="I635" s="160" t="s">
        <v>1738</v>
      </c>
      <c r="J635" s="163">
        <v>2.0640000000000001</v>
      </c>
      <c r="K635" s="163"/>
      <c r="L635" s="163"/>
      <c r="M635" s="164">
        <v>31</v>
      </c>
      <c r="N635" s="164"/>
      <c r="O635" s="164"/>
      <c r="P635" s="159" t="s">
        <v>1302</v>
      </c>
      <c r="Q635" s="159" t="s">
        <v>547</v>
      </c>
      <c r="R635" s="159" t="s">
        <v>1772</v>
      </c>
      <c r="S635" s="165">
        <v>2.2728706509725801E-2</v>
      </c>
      <c r="T635" s="166" t="s">
        <v>372</v>
      </c>
      <c r="U635" s="166"/>
      <c r="V635" s="166"/>
      <c r="W635" s="167">
        <f>IF(BetTable[Sport]="","",BetTable[Stake]+BetTable[S2]+BetTable[S3])</f>
        <v>31</v>
      </c>
      <c r="X635" s="164">
        <f>IF(BetTable[Odds]="","",(BetTable[WBA1-Commission])-BetTable[TS])</f>
        <v>32.984000000000002</v>
      </c>
      <c r="Y635" s="168">
        <f>IF(BetTable[Outcome]="","",BetTable[WBA1]+BetTable[WBA2]+BetTable[WBA3]-BetTable[TS])</f>
        <v>32.984000000000002</v>
      </c>
      <c r="Z635" s="164">
        <f>(((BetTable[Odds]-1)*BetTable[Stake])*(1-(BetTable[Comm %]))+BetTable[Stake])</f>
        <v>63.984000000000002</v>
      </c>
      <c r="AA635" s="164">
        <f>(((BetTable[O2]-1)*BetTable[S2])*(1-(BetTable[C% 2]))+BetTable[S2])</f>
        <v>0</v>
      </c>
      <c r="AB635" s="164">
        <f>(((BetTable[O3]-1)*BetTable[S3])*(1-(BetTable[C% 3]))+BetTable[S3])</f>
        <v>0</v>
      </c>
      <c r="AC635" s="165">
        <f>IFERROR(IF(BetTable[Sport]="","",BetTable[R1]/BetTable[TS]),"")</f>
        <v>1.0640000000000001</v>
      </c>
      <c r="AD635" s="165" t="str">
        <f>IF(BetTable[O2]="","",#REF!/BetTable[TS])</f>
        <v/>
      </c>
      <c r="AE635" s="165" t="str">
        <f>IFERROR(IF(BetTable[Sport]="","",#REF!/BetTable[TS]),"")</f>
        <v/>
      </c>
      <c r="AF635" s="164">
        <f>IF(BetTable[Outcome]="Win",BetTable[WBA1-Commission],IF(BetTable[Outcome]="Win Half Stake",(BetTable[Stake]/2)+BetTable[WBA1-Commission]/2,IF(BetTable[Outcome]="Lose Half Stake",BetTable[Stake]/2,IF(BetTable[Outcome]="Lose",0,IF(BetTable[Outcome]="Void",BetTable[Stake],)))))</f>
        <v>63.984000000000002</v>
      </c>
      <c r="AG635" s="164">
        <f>IF(BetTable[Outcome2]="Win",BetTable[WBA2-Commission],IF(BetTable[Outcome2]="Win Half Stake",(BetTable[S2]/2)+BetTable[WBA2-Commission]/2,IF(BetTable[Outcome2]="Lose Half Stake",BetTable[S2]/2,IF(BetTable[Outcome2]="Lose",0,IF(BetTable[Outcome2]="Void",BetTable[S2],)))))</f>
        <v>0</v>
      </c>
      <c r="AH635" s="164">
        <f>IF(BetTable[Outcome3]="Win",BetTable[WBA3-Commission],IF(BetTable[Outcome3]="Win Half Stake",(BetTable[S3]/2)+BetTable[WBA3-Commission]/2,IF(BetTable[Outcome3]="Lose Half Stake",BetTable[S3]/2,IF(BetTable[Outcome3]="Lose",0,IF(BetTable[Outcome3]="Void",BetTable[S3],)))))</f>
        <v>0</v>
      </c>
      <c r="AI635" s="168">
        <f>IF(BetTable[Outcome]="",AI634,BetTable[Result]+AI634)</f>
        <v>1333.9152500000009</v>
      </c>
      <c r="AJ635" s="160"/>
    </row>
    <row r="636" spans="1:36" x14ac:dyDescent="0.2">
      <c r="A636" s="159" t="s">
        <v>1690</v>
      </c>
      <c r="B636" s="160" t="s">
        <v>200</v>
      </c>
      <c r="C636" s="161" t="s">
        <v>185</v>
      </c>
      <c r="D636" s="161"/>
      <c r="E636" s="161"/>
      <c r="F636" s="162"/>
      <c r="G636" s="162"/>
      <c r="H636" s="162"/>
      <c r="I636" s="160" t="s">
        <v>1773</v>
      </c>
      <c r="J636" s="163">
        <v>2.4500000000000002</v>
      </c>
      <c r="K636" s="163"/>
      <c r="L636" s="163"/>
      <c r="M636" s="164">
        <v>18</v>
      </c>
      <c r="N636" s="164"/>
      <c r="O636" s="164"/>
      <c r="P636" s="159" t="s">
        <v>435</v>
      </c>
      <c r="Q636" s="159" t="s">
        <v>968</v>
      </c>
      <c r="R636" s="159" t="s">
        <v>1774</v>
      </c>
      <c r="S636" s="165">
        <v>1.8028666072675802E-2</v>
      </c>
      <c r="T636" s="166" t="s">
        <v>382</v>
      </c>
      <c r="U636" s="166"/>
      <c r="V636" s="166"/>
      <c r="W636" s="167">
        <f>IF(BetTable[Sport]="","",BetTable[Stake]+BetTable[S2]+BetTable[S3])</f>
        <v>18</v>
      </c>
      <c r="X636" s="164">
        <f>IF(BetTable[Odds]="","",(BetTable[WBA1-Commission])-BetTable[TS])</f>
        <v>26.1</v>
      </c>
      <c r="Y636" s="168">
        <f>IF(BetTable[Outcome]="","",BetTable[WBA1]+BetTable[WBA2]+BetTable[WBA3]-BetTable[TS])</f>
        <v>-18</v>
      </c>
      <c r="Z636" s="164">
        <f>(((BetTable[Odds]-1)*BetTable[Stake])*(1-(BetTable[Comm %]))+BetTable[Stake])</f>
        <v>44.1</v>
      </c>
      <c r="AA636" s="164">
        <f>(((BetTable[O2]-1)*BetTable[S2])*(1-(BetTable[C% 2]))+BetTable[S2])</f>
        <v>0</v>
      </c>
      <c r="AB636" s="164">
        <f>(((BetTable[O3]-1)*BetTable[S3])*(1-(BetTable[C% 3]))+BetTable[S3])</f>
        <v>0</v>
      </c>
      <c r="AC636" s="165">
        <f>IFERROR(IF(BetTable[Sport]="","",BetTable[R1]/BetTable[TS]),"")</f>
        <v>1.4500000000000002</v>
      </c>
      <c r="AD636" s="165" t="str">
        <f>IF(BetTable[O2]="","",#REF!/BetTable[TS])</f>
        <v/>
      </c>
      <c r="AE636" s="165" t="str">
        <f>IFERROR(IF(BetTable[Sport]="","",#REF!/BetTable[TS]),"")</f>
        <v/>
      </c>
      <c r="AF636" s="164">
        <f>IF(BetTable[Outcome]="Win",BetTable[WBA1-Commission],IF(BetTable[Outcome]="Win Half Stake",(BetTable[Stake]/2)+BetTable[WBA1-Commission]/2,IF(BetTable[Outcome]="Lose Half Stake",BetTable[Stake]/2,IF(BetTable[Outcome]="Lose",0,IF(BetTable[Outcome]="Void",BetTable[Stake],)))))</f>
        <v>0</v>
      </c>
      <c r="AG636" s="164">
        <f>IF(BetTable[Outcome2]="Win",BetTable[WBA2-Commission],IF(BetTable[Outcome2]="Win Half Stake",(BetTable[S2]/2)+BetTable[WBA2-Commission]/2,IF(BetTable[Outcome2]="Lose Half Stake",BetTable[S2]/2,IF(BetTable[Outcome2]="Lose",0,IF(BetTable[Outcome2]="Void",BetTable[S2],)))))</f>
        <v>0</v>
      </c>
      <c r="AH636" s="164">
        <f>IF(BetTable[Outcome3]="Win",BetTable[WBA3-Commission],IF(BetTable[Outcome3]="Win Half Stake",(BetTable[S3]/2)+BetTable[WBA3-Commission]/2,IF(BetTable[Outcome3]="Lose Half Stake",BetTable[S3]/2,IF(BetTable[Outcome3]="Lose",0,IF(BetTable[Outcome3]="Void",BetTable[S3],)))))</f>
        <v>0</v>
      </c>
      <c r="AI636" s="168">
        <f>IF(BetTable[Outcome]="",AI635,BetTable[Result]+AI635)</f>
        <v>1315.9152500000009</v>
      </c>
      <c r="AJ636" s="160"/>
    </row>
    <row r="637" spans="1:36" x14ac:dyDescent="0.2">
      <c r="A637" s="159" t="s">
        <v>1690</v>
      </c>
      <c r="B637" s="160" t="s">
        <v>201</v>
      </c>
      <c r="C637" s="161" t="s">
        <v>91</v>
      </c>
      <c r="D637" s="161"/>
      <c r="E637" s="161"/>
      <c r="F637" s="162"/>
      <c r="G637" s="162"/>
      <c r="H637" s="162"/>
      <c r="I637" s="160" t="s">
        <v>1775</v>
      </c>
      <c r="J637" s="163">
        <v>1.86</v>
      </c>
      <c r="K637" s="163"/>
      <c r="L637" s="163"/>
      <c r="M637" s="164">
        <v>37</v>
      </c>
      <c r="N637" s="164"/>
      <c r="O637" s="164"/>
      <c r="P637" s="159" t="s">
        <v>1776</v>
      </c>
      <c r="Q637" s="159" t="s">
        <v>1132</v>
      </c>
      <c r="R637" s="159" t="s">
        <v>1777</v>
      </c>
      <c r="S637" s="165">
        <v>2.2179032681225199E-2</v>
      </c>
      <c r="T637" s="166" t="s">
        <v>372</v>
      </c>
      <c r="U637" s="166"/>
      <c r="V637" s="166"/>
      <c r="W637" s="167">
        <f>IF(BetTable[Sport]="","",BetTable[Stake]+BetTable[S2]+BetTable[S3])</f>
        <v>37</v>
      </c>
      <c r="X637" s="164">
        <f>IF(BetTable[Odds]="","",(BetTable[WBA1-Commission])-BetTable[TS])</f>
        <v>31.820000000000007</v>
      </c>
      <c r="Y637" s="168">
        <f>IF(BetTable[Outcome]="","",BetTable[WBA1]+BetTable[WBA2]+BetTable[WBA3]-BetTable[TS])</f>
        <v>31.820000000000007</v>
      </c>
      <c r="Z637" s="164">
        <f>(((BetTable[Odds]-1)*BetTable[Stake])*(1-(BetTable[Comm %]))+BetTable[Stake])</f>
        <v>68.820000000000007</v>
      </c>
      <c r="AA637" s="164">
        <f>(((BetTable[O2]-1)*BetTable[S2])*(1-(BetTable[C% 2]))+BetTable[S2])</f>
        <v>0</v>
      </c>
      <c r="AB637" s="164">
        <f>(((BetTable[O3]-1)*BetTable[S3])*(1-(BetTable[C% 3]))+BetTable[S3])</f>
        <v>0</v>
      </c>
      <c r="AC637" s="165">
        <f>IFERROR(IF(BetTable[Sport]="","",BetTable[R1]/BetTable[TS]),"")</f>
        <v>0.86000000000000021</v>
      </c>
      <c r="AD637" s="165" t="str">
        <f>IF(BetTable[O2]="","",#REF!/BetTable[TS])</f>
        <v/>
      </c>
      <c r="AE637" s="165" t="str">
        <f>IFERROR(IF(BetTable[Sport]="","",#REF!/BetTable[TS]),"")</f>
        <v/>
      </c>
      <c r="AF637" s="164">
        <f>IF(BetTable[Outcome]="Win",BetTable[WBA1-Commission],IF(BetTable[Outcome]="Win Half Stake",(BetTable[Stake]/2)+BetTable[WBA1-Commission]/2,IF(BetTable[Outcome]="Lose Half Stake",BetTable[Stake]/2,IF(BetTable[Outcome]="Lose",0,IF(BetTable[Outcome]="Void",BetTable[Stake],)))))</f>
        <v>68.820000000000007</v>
      </c>
      <c r="AG637" s="164">
        <f>IF(BetTable[Outcome2]="Win",BetTable[WBA2-Commission],IF(BetTable[Outcome2]="Win Half Stake",(BetTable[S2]/2)+BetTable[WBA2-Commission]/2,IF(BetTable[Outcome2]="Lose Half Stake",BetTable[S2]/2,IF(BetTable[Outcome2]="Lose",0,IF(BetTable[Outcome2]="Void",BetTable[S2],)))))</f>
        <v>0</v>
      </c>
      <c r="AH637" s="164">
        <f>IF(BetTable[Outcome3]="Win",BetTable[WBA3-Commission],IF(BetTable[Outcome3]="Win Half Stake",(BetTable[S3]/2)+BetTable[WBA3-Commission]/2,IF(BetTable[Outcome3]="Lose Half Stake",BetTable[S3]/2,IF(BetTable[Outcome3]="Lose",0,IF(BetTable[Outcome3]="Void",BetTable[S3],)))))</f>
        <v>0</v>
      </c>
      <c r="AI637" s="168">
        <f>IF(BetTable[Outcome]="",AI636,BetTable[Result]+AI636)</f>
        <v>1347.7352500000009</v>
      </c>
      <c r="AJ637" s="160"/>
    </row>
    <row r="638" spans="1:36" x14ac:dyDescent="0.2">
      <c r="A638" s="159" t="s">
        <v>1690</v>
      </c>
      <c r="B638" s="160" t="s">
        <v>200</v>
      </c>
      <c r="C638" s="161" t="s">
        <v>1714</v>
      </c>
      <c r="D638" s="161"/>
      <c r="E638" s="161"/>
      <c r="F638" s="162"/>
      <c r="G638" s="162"/>
      <c r="H638" s="162"/>
      <c r="I638" s="160" t="s">
        <v>1778</v>
      </c>
      <c r="J638" s="163">
        <v>1.71</v>
      </c>
      <c r="K638" s="163"/>
      <c r="L638" s="163"/>
      <c r="M638" s="164">
        <v>50</v>
      </c>
      <c r="N638" s="164"/>
      <c r="O638" s="164"/>
      <c r="P638" s="159" t="s">
        <v>360</v>
      </c>
      <c r="Q638" s="159" t="s">
        <v>474</v>
      </c>
      <c r="R638" s="159" t="s">
        <v>1779</v>
      </c>
      <c r="S638" s="165">
        <v>2.4741520982955501E-2</v>
      </c>
      <c r="T638" s="166" t="s">
        <v>383</v>
      </c>
      <c r="U638" s="166"/>
      <c r="V638" s="166"/>
      <c r="W638" s="167">
        <f>IF(BetTable[Sport]="","",BetTable[Stake]+BetTable[S2]+BetTable[S3])</f>
        <v>50</v>
      </c>
      <c r="X638" s="164">
        <f>IF(BetTable[Odds]="","",(BetTable[WBA1-Commission])-BetTable[TS])</f>
        <v>35.5</v>
      </c>
      <c r="Y638" s="168">
        <f>IF(BetTable[Outcome]="","",BetTable[WBA1]+BetTable[WBA2]+BetTable[WBA3]-BetTable[TS])</f>
        <v>0</v>
      </c>
      <c r="Z638" s="164">
        <f>(((BetTable[Odds]-1)*BetTable[Stake])*(1-(BetTable[Comm %]))+BetTable[Stake])</f>
        <v>85.5</v>
      </c>
      <c r="AA638" s="164">
        <f>(((BetTable[O2]-1)*BetTable[S2])*(1-(BetTable[C% 2]))+BetTable[S2])</f>
        <v>0</v>
      </c>
      <c r="AB638" s="164">
        <f>(((BetTable[O3]-1)*BetTable[S3])*(1-(BetTable[C% 3]))+BetTable[S3])</f>
        <v>0</v>
      </c>
      <c r="AC638" s="165">
        <f>IFERROR(IF(BetTable[Sport]="","",BetTable[R1]/BetTable[TS]),"")</f>
        <v>0.71</v>
      </c>
      <c r="AD638" s="165" t="str">
        <f>IF(BetTable[O2]="","",#REF!/BetTable[TS])</f>
        <v/>
      </c>
      <c r="AE638" s="165" t="str">
        <f>IFERROR(IF(BetTable[Sport]="","",#REF!/BetTable[TS]),"")</f>
        <v/>
      </c>
      <c r="AF638" s="164">
        <f>IF(BetTable[Outcome]="Win",BetTable[WBA1-Commission],IF(BetTable[Outcome]="Win Half Stake",(BetTable[Stake]/2)+BetTable[WBA1-Commission]/2,IF(BetTable[Outcome]="Lose Half Stake",BetTable[Stake]/2,IF(BetTable[Outcome]="Lose",0,IF(BetTable[Outcome]="Void",BetTable[Stake],)))))</f>
        <v>50</v>
      </c>
      <c r="AG638" s="164">
        <f>IF(BetTable[Outcome2]="Win",BetTable[WBA2-Commission],IF(BetTable[Outcome2]="Win Half Stake",(BetTable[S2]/2)+BetTable[WBA2-Commission]/2,IF(BetTable[Outcome2]="Lose Half Stake",BetTable[S2]/2,IF(BetTable[Outcome2]="Lose",0,IF(BetTable[Outcome2]="Void",BetTable[S2],)))))</f>
        <v>0</v>
      </c>
      <c r="AH638" s="164">
        <f>IF(BetTable[Outcome3]="Win",BetTable[WBA3-Commission],IF(BetTable[Outcome3]="Win Half Stake",(BetTable[S3]/2)+BetTable[WBA3-Commission]/2,IF(BetTable[Outcome3]="Lose Half Stake",BetTable[S3]/2,IF(BetTable[Outcome3]="Lose",0,IF(BetTable[Outcome3]="Void",BetTable[S3],)))))</f>
        <v>0</v>
      </c>
      <c r="AI638" s="168">
        <f>IF(BetTable[Outcome]="",AI637,BetTable[Result]+AI637)</f>
        <v>1347.7352500000009</v>
      </c>
      <c r="AJ638" s="160"/>
    </row>
    <row r="639" spans="1:36" x14ac:dyDescent="0.2">
      <c r="A639" s="159" t="s">
        <v>1690</v>
      </c>
      <c r="B639" s="160" t="s">
        <v>7</v>
      </c>
      <c r="C639" s="161" t="s">
        <v>91</v>
      </c>
      <c r="D639" s="161"/>
      <c r="E639" s="161"/>
      <c r="F639" s="162"/>
      <c r="G639" s="162"/>
      <c r="H639" s="162"/>
      <c r="I639" s="160" t="s">
        <v>1780</v>
      </c>
      <c r="J639" s="163">
        <v>2.2799999999999998</v>
      </c>
      <c r="K639" s="163"/>
      <c r="L639" s="163"/>
      <c r="M639" s="164">
        <v>39</v>
      </c>
      <c r="N639" s="164"/>
      <c r="O639" s="164"/>
      <c r="P639" s="159" t="s">
        <v>908</v>
      </c>
      <c r="Q639" s="159" t="s">
        <v>1291</v>
      </c>
      <c r="R639" s="159" t="s">
        <v>1781</v>
      </c>
      <c r="S639" s="165">
        <v>3.4657055672498299E-2</v>
      </c>
      <c r="T639" s="166" t="s">
        <v>382</v>
      </c>
      <c r="U639" s="166"/>
      <c r="V639" s="166"/>
      <c r="W639" s="167">
        <f>IF(BetTable[Sport]="","",BetTable[Stake]+BetTable[S2]+BetTable[S3])</f>
        <v>39</v>
      </c>
      <c r="X639" s="164">
        <f>IF(BetTable[Odds]="","",(BetTable[WBA1-Commission])-BetTable[TS])</f>
        <v>49.919999999999987</v>
      </c>
      <c r="Y639" s="168">
        <f>IF(BetTable[Outcome]="","",BetTable[WBA1]+BetTable[WBA2]+BetTable[WBA3]-BetTable[TS])</f>
        <v>-39</v>
      </c>
      <c r="Z639" s="164">
        <f>(((BetTable[Odds]-1)*BetTable[Stake])*(1-(BetTable[Comm %]))+BetTable[Stake])</f>
        <v>88.919999999999987</v>
      </c>
      <c r="AA639" s="164">
        <f>(((BetTable[O2]-1)*BetTable[S2])*(1-(BetTable[C% 2]))+BetTable[S2])</f>
        <v>0</v>
      </c>
      <c r="AB639" s="164">
        <f>(((BetTable[O3]-1)*BetTable[S3])*(1-(BetTable[C% 3]))+BetTable[S3])</f>
        <v>0</v>
      </c>
      <c r="AC639" s="165">
        <f>IFERROR(IF(BetTable[Sport]="","",BetTable[R1]/BetTable[TS]),"")</f>
        <v>1.2799999999999996</v>
      </c>
      <c r="AD639" s="165" t="str">
        <f>IF(BetTable[O2]="","",#REF!/BetTable[TS])</f>
        <v/>
      </c>
      <c r="AE639" s="165" t="str">
        <f>IFERROR(IF(BetTable[Sport]="","",#REF!/BetTable[TS]),"")</f>
        <v/>
      </c>
      <c r="AF639" s="164">
        <f>IF(BetTable[Outcome]="Win",BetTable[WBA1-Commission],IF(BetTable[Outcome]="Win Half Stake",(BetTable[Stake]/2)+BetTable[WBA1-Commission]/2,IF(BetTable[Outcome]="Lose Half Stake",BetTable[Stake]/2,IF(BetTable[Outcome]="Lose",0,IF(BetTable[Outcome]="Void",BetTable[Stake],)))))</f>
        <v>0</v>
      </c>
      <c r="AG639" s="164">
        <f>IF(BetTable[Outcome2]="Win",BetTable[WBA2-Commission],IF(BetTable[Outcome2]="Win Half Stake",(BetTable[S2]/2)+BetTable[WBA2-Commission]/2,IF(BetTable[Outcome2]="Lose Half Stake",BetTable[S2]/2,IF(BetTable[Outcome2]="Lose",0,IF(BetTable[Outcome2]="Void",BetTable[S2],)))))</f>
        <v>0</v>
      </c>
      <c r="AH639" s="164">
        <f>IF(BetTable[Outcome3]="Win",BetTable[WBA3-Commission],IF(BetTable[Outcome3]="Win Half Stake",(BetTable[S3]/2)+BetTable[WBA3-Commission]/2,IF(BetTable[Outcome3]="Lose Half Stake",BetTable[S3]/2,IF(BetTable[Outcome3]="Lose",0,IF(BetTable[Outcome3]="Void",BetTable[S3],)))))</f>
        <v>0</v>
      </c>
      <c r="AI639" s="168">
        <f>IF(BetTable[Outcome]="",AI638,BetTable[Result]+AI638)</f>
        <v>1308.7352500000009</v>
      </c>
      <c r="AJ639" s="160"/>
    </row>
    <row r="640" spans="1:36" x14ac:dyDescent="0.2">
      <c r="A640" s="159" t="s">
        <v>1690</v>
      </c>
      <c r="B640" s="160" t="s">
        <v>200</v>
      </c>
      <c r="C640" s="161" t="s">
        <v>1714</v>
      </c>
      <c r="D640" s="161"/>
      <c r="E640" s="161"/>
      <c r="F640" s="162"/>
      <c r="G640" s="162"/>
      <c r="H640" s="162"/>
      <c r="I640" s="160" t="s">
        <v>1782</v>
      </c>
      <c r="J640" s="163">
        <v>1.91</v>
      </c>
      <c r="K640" s="163"/>
      <c r="L640" s="163"/>
      <c r="M640" s="164">
        <v>27</v>
      </c>
      <c r="N640" s="164"/>
      <c r="O640" s="164"/>
      <c r="P640" s="159" t="s">
        <v>448</v>
      </c>
      <c r="Q640" s="159" t="s">
        <v>1554</v>
      </c>
      <c r="R640" s="159" t="s">
        <v>1783</v>
      </c>
      <c r="S640" s="165">
        <v>1.6990514155094699E-2</v>
      </c>
      <c r="T640" s="166" t="s">
        <v>382</v>
      </c>
      <c r="U640" s="166"/>
      <c r="V640" s="166"/>
      <c r="W640" s="167">
        <f>IF(BetTable[Sport]="","",BetTable[Stake]+BetTable[S2]+BetTable[S3])</f>
        <v>27</v>
      </c>
      <c r="X640" s="164">
        <f>IF(BetTable[Odds]="","",(BetTable[WBA1-Commission])-BetTable[TS])</f>
        <v>24.569999999999993</v>
      </c>
      <c r="Y640" s="168">
        <f>IF(BetTable[Outcome]="","",BetTable[WBA1]+BetTable[WBA2]+BetTable[WBA3]-BetTable[TS])</f>
        <v>-27</v>
      </c>
      <c r="Z640" s="164">
        <f>(((BetTable[Odds]-1)*BetTable[Stake])*(1-(BetTable[Comm %]))+BetTable[Stake])</f>
        <v>51.569999999999993</v>
      </c>
      <c r="AA640" s="164">
        <f>(((BetTable[O2]-1)*BetTable[S2])*(1-(BetTable[C% 2]))+BetTable[S2])</f>
        <v>0</v>
      </c>
      <c r="AB640" s="164">
        <f>(((BetTable[O3]-1)*BetTable[S3])*(1-(BetTable[C% 3]))+BetTable[S3])</f>
        <v>0</v>
      </c>
      <c r="AC640" s="165">
        <f>IFERROR(IF(BetTable[Sport]="","",BetTable[R1]/BetTable[TS]),"")</f>
        <v>0.9099999999999997</v>
      </c>
      <c r="AD640" s="165" t="str">
        <f>IF(BetTable[O2]="","",#REF!/BetTable[TS])</f>
        <v/>
      </c>
      <c r="AE640" s="165" t="str">
        <f>IFERROR(IF(BetTable[Sport]="","",#REF!/BetTable[TS]),"")</f>
        <v/>
      </c>
      <c r="AF640" s="164">
        <f>IF(BetTable[Outcome]="Win",BetTable[WBA1-Commission],IF(BetTable[Outcome]="Win Half Stake",(BetTable[Stake]/2)+BetTable[WBA1-Commission]/2,IF(BetTable[Outcome]="Lose Half Stake",BetTable[Stake]/2,IF(BetTable[Outcome]="Lose",0,IF(BetTable[Outcome]="Void",BetTable[Stake],)))))</f>
        <v>0</v>
      </c>
      <c r="AG640" s="164">
        <f>IF(BetTable[Outcome2]="Win",BetTable[WBA2-Commission],IF(BetTable[Outcome2]="Win Half Stake",(BetTable[S2]/2)+BetTable[WBA2-Commission]/2,IF(BetTable[Outcome2]="Lose Half Stake",BetTable[S2]/2,IF(BetTable[Outcome2]="Lose",0,IF(BetTable[Outcome2]="Void",BetTable[S2],)))))</f>
        <v>0</v>
      </c>
      <c r="AH640" s="164">
        <f>IF(BetTable[Outcome3]="Win",BetTable[WBA3-Commission],IF(BetTable[Outcome3]="Win Half Stake",(BetTable[S3]/2)+BetTable[WBA3-Commission]/2,IF(BetTable[Outcome3]="Lose Half Stake",BetTable[S3]/2,IF(BetTable[Outcome3]="Lose",0,IF(BetTable[Outcome3]="Void",BetTable[S3],)))))</f>
        <v>0</v>
      </c>
      <c r="AI640" s="168">
        <f>IF(BetTable[Outcome]="",AI639,BetTable[Result]+AI639)</f>
        <v>1281.7352500000009</v>
      </c>
      <c r="AJ640" s="160"/>
    </row>
    <row r="641" spans="1:36" x14ac:dyDescent="0.2">
      <c r="A641" s="159" t="s">
        <v>1690</v>
      </c>
      <c r="B641" s="160" t="s">
        <v>200</v>
      </c>
      <c r="C641" s="161" t="s">
        <v>1714</v>
      </c>
      <c r="D641" s="161"/>
      <c r="E641" s="161"/>
      <c r="F641" s="162"/>
      <c r="G641" s="162"/>
      <c r="H641" s="162"/>
      <c r="I641" s="160" t="s">
        <v>1784</v>
      </c>
      <c r="J641" s="163">
        <v>2.0499999999999998</v>
      </c>
      <c r="K641" s="163"/>
      <c r="L641" s="163"/>
      <c r="M641" s="164">
        <v>26</v>
      </c>
      <c r="N641" s="164"/>
      <c r="O641" s="164"/>
      <c r="P641" s="159" t="s">
        <v>668</v>
      </c>
      <c r="Q641" s="159" t="s">
        <v>530</v>
      </c>
      <c r="R641" s="159" t="s">
        <v>1785</v>
      </c>
      <c r="S641" s="165">
        <v>1.89188450159328E-2</v>
      </c>
      <c r="T641" s="166" t="s">
        <v>383</v>
      </c>
      <c r="U641" s="166"/>
      <c r="V641" s="166"/>
      <c r="W641" s="167">
        <f>IF(BetTable[Sport]="","",BetTable[Stake]+BetTable[S2]+BetTable[S3])</f>
        <v>26</v>
      </c>
      <c r="X641" s="164">
        <f>IF(BetTable[Odds]="","",(BetTable[WBA1-Commission])-BetTable[TS])</f>
        <v>27.299999999999997</v>
      </c>
      <c r="Y641" s="168">
        <f>IF(BetTable[Outcome]="","",BetTable[WBA1]+BetTable[WBA2]+BetTable[WBA3]-BetTable[TS])</f>
        <v>0</v>
      </c>
      <c r="Z641" s="164">
        <f>(((BetTable[Odds]-1)*BetTable[Stake])*(1-(BetTable[Comm %]))+BetTable[Stake])</f>
        <v>53.3</v>
      </c>
      <c r="AA641" s="164">
        <f>(((BetTable[O2]-1)*BetTable[S2])*(1-(BetTable[C% 2]))+BetTable[S2])</f>
        <v>0</v>
      </c>
      <c r="AB641" s="164">
        <f>(((BetTable[O3]-1)*BetTable[S3])*(1-(BetTable[C% 3]))+BetTable[S3])</f>
        <v>0</v>
      </c>
      <c r="AC641" s="165">
        <f>IFERROR(IF(BetTable[Sport]="","",BetTable[R1]/BetTable[TS]),"")</f>
        <v>1.0499999999999998</v>
      </c>
      <c r="AD641" s="165" t="str">
        <f>IF(BetTable[O2]="","",#REF!/BetTable[TS])</f>
        <v/>
      </c>
      <c r="AE641" s="165" t="str">
        <f>IFERROR(IF(BetTable[Sport]="","",#REF!/BetTable[TS]),"")</f>
        <v/>
      </c>
      <c r="AF641" s="164">
        <f>IF(BetTable[Outcome]="Win",BetTable[WBA1-Commission],IF(BetTable[Outcome]="Win Half Stake",(BetTable[Stake]/2)+BetTable[WBA1-Commission]/2,IF(BetTable[Outcome]="Lose Half Stake",BetTable[Stake]/2,IF(BetTable[Outcome]="Lose",0,IF(BetTable[Outcome]="Void",BetTable[Stake],)))))</f>
        <v>26</v>
      </c>
      <c r="AG641" s="164">
        <f>IF(BetTable[Outcome2]="Win",BetTable[WBA2-Commission],IF(BetTable[Outcome2]="Win Half Stake",(BetTable[S2]/2)+BetTable[WBA2-Commission]/2,IF(BetTable[Outcome2]="Lose Half Stake",BetTable[S2]/2,IF(BetTable[Outcome2]="Lose",0,IF(BetTable[Outcome2]="Void",BetTable[S2],)))))</f>
        <v>0</v>
      </c>
      <c r="AH641" s="164">
        <f>IF(BetTable[Outcome3]="Win",BetTable[WBA3-Commission],IF(BetTable[Outcome3]="Win Half Stake",(BetTable[S3]/2)+BetTable[WBA3-Commission]/2,IF(BetTable[Outcome3]="Lose Half Stake",BetTable[S3]/2,IF(BetTable[Outcome3]="Lose",0,IF(BetTable[Outcome3]="Void",BetTable[S3],)))))</f>
        <v>0</v>
      </c>
      <c r="AI641" s="168">
        <f>IF(BetTable[Outcome]="",AI640,BetTable[Result]+AI640)</f>
        <v>1281.7352500000009</v>
      </c>
      <c r="AJ641" s="160"/>
    </row>
    <row r="642" spans="1:36" x14ac:dyDescent="0.2">
      <c r="A642" s="159" t="s">
        <v>1690</v>
      </c>
      <c r="B642" s="160" t="s">
        <v>200</v>
      </c>
      <c r="C642" s="161" t="s">
        <v>91</v>
      </c>
      <c r="D642" s="161"/>
      <c r="E642" s="161"/>
      <c r="F642" s="162"/>
      <c r="G642" s="162"/>
      <c r="H642" s="162"/>
      <c r="I642" s="160" t="s">
        <v>1786</v>
      </c>
      <c r="J642" s="163">
        <v>1.95</v>
      </c>
      <c r="K642" s="163"/>
      <c r="L642" s="163"/>
      <c r="M642" s="164">
        <v>24</v>
      </c>
      <c r="N642" s="164"/>
      <c r="O642" s="164"/>
      <c r="P642" s="159" t="s">
        <v>448</v>
      </c>
      <c r="Q642" s="159" t="s">
        <v>506</v>
      </c>
      <c r="R642" s="159" t="s">
        <v>1787</v>
      </c>
      <c r="S642" s="165">
        <v>1.5937552889478301E-2</v>
      </c>
      <c r="T642" s="166" t="s">
        <v>382</v>
      </c>
      <c r="U642" s="166"/>
      <c r="V642" s="166"/>
      <c r="W642" s="167">
        <f>IF(BetTable[Sport]="","",BetTable[Stake]+BetTable[S2]+BetTable[S3])</f>
        <v>24</v>
      </c>
      <c r="X642" s="164">
        <f>IF(BetTable[Odds]="","",(BetTable[WBA1-Commission])-BetTable[TS])</f>
        <v>22.799999999999997</v>
      </c>
      <c r="Y642" s="168">
        <f>IF(BetTable[Outcome]="","",BetTable[WBA1]+BetTable[WBA2]+BetTable[WBA3]-BetTable[TS])</f>
        <v>-24</v>
      </c>
      <c r="Z642" s="164">
        <f>(((BetTable[Odds]-1)*BetTable[Stake])*(1-(BetTable[Comm %]))+BetTable[Stake])</f>
        <v>46.8</v>
      </c>
      <c r="AA642" s="164">
        <f>(((BetTable[O2]-1)*BetTable[S2])*(1-(BetTable[C% 2]))+BetTable[S2])</f>
        <v>0</v>
      </c>
      <c r="AB642" s="164">
        <f>(((BetTable[O3]-1)*BetTable[S3])*(1-(BetTable[C% 3]))+BetTable[S3])</f>
        <v>0</v>
      </c>
      <c r="AC642" s="165">
        <f>IFERROR(IF(BetTable[Sport]="","",BetTable[R1]/BetTable[TS]),"")</f>
        <v>0.94999999999999984</v>
      </c>
      <c r="AD642" s="165" t="str">
        <f>IF(BetTable[O2]="","",#REF!/BetTable[TS])</f>
        <v/>
      </c>
      <c r="AE642" s="165" t="str">
        <f>IFERROR(IF(BetTable[Sport]="","",#REF!/BetTable[TS]),"")</f>
        <v/>
      </c>
      <c r="AF642" s="164">
        <f>IF(BetTable[Outcome]="Win",BetTable[WBA1-Commission],IF(BetTable[Outcome]="Win Half Stake",(BetTable[Stake]/2)+BetTable[WBA1-Commission]/2,IF(BetTable[Outcome]="Lose Half Stake",BetTable[Stake]/2,IF(BetTable[Outcome]="Lose",0,IF(BetTable[Outcome]="Void",BetTable[Stake],)))))</f>
        <v>0</v>
      </c>
      <c r="AG642" s="164">
        <f>IF(BetTable[Outcome2]="Win",BetTable[WBA2-Commission],IF(BetTable[Outcome2]="Win Half Stake",(BetTable[S2]/2)+BetTable[WBA2-Commission]/2,IF(BetTable[Outcome2]="Lose Half Stake",BetTable[S2]/2,IF(BetTable[Outcome2]="Lose",0,IF(BetTable[Outcome2]="Void",BetTable[S2],)))))</f>
        <v>0</v>
      </c>
      <c r="AH642" s="164">
        <f>IF(BetTable[Outcome3]="Win",BetTable[WBA3-Commission],IF(BetTable[Outcome3]="Win Half Stake",(BetTable[S3]/2)+BetTable[WBA3-Commission]/2,IF(BetTable[Outcome3]="Lose Half Stake",BetTable[S3]/2,IF(BetTable[Outcome3]="Lose",0,IF(BetTable[Outcome3]="Void",BetTable[S3],)))))</f>
        <v>0</v>
      </c>
      <c r="AI642" s="168">
        <f>IF(BetTable[Outcome]="",AI641,BetTable[Result]+AI641)</f>
        <v>1257.7352500000009</v>
      </c>
      <c r="AJ642" s="160"/>
    </row>
    <row r="643" spans="1:36" x14ac:dyDescent="0.2">
      <c r="A643" s="159" t="s">
        <v>1690</v>
      </c>
      <c r="B643" s="160" t="s">
        <v>200</v>
      </c>
      <c r="C643" s="161" t="s">
        <v>1714</v>
      </c>
      <c r="D643" s="161"/>
      <c r="E643" s="161"/>
      <c r="F643" s="162"/>
      <c r="G643" s="162"/>
      <c r="H643" s="162"/>
      <c r="I643" s="160" t="s">
        <v>1788</v>
      </c>
      <c r="J643" s="163">
        <v>2.1240000000000001</v>
      </c>
      <c r="K643" s="163"/>
      <c r="L643" s="163"/>
      <c r="M643" s="164">
        <v>27</v>
      </c>
      <c r="N643" s="164"/>
      <c r="O643" s="164"/>
      <c r="P643" s="159" t="s">
        <v>351</v>
      </c>
      <c r="Q643" s="159" t="s">
        <v>530</v>
      </c>
      <c r="R643" s="159" t="s">
        <v>1789</v>
      </c>
      <c r="S643" s="165">
        <v>2.11907287400575E-2</v>
      </c>
      <c r="T643" s="166" t="s">
        <v>372</v>
      </c>
      <c r="U643" s="166"/>
      <c r="V643" s="166"/>
      <c r="W643" s="167">
        <f>IF(BetTable[Sport]="","",BetTable[Stake]+BetTable[S2]+BetTable[S3])</f>
        <v>27</v>
      </c>
      <c r="X643" s="164">
        <f>IF(BetTable[Odds]="","",(BetTable[WBA1-Commission])-BetTable[TS])</f>
        <v>30.347999999999999</v>
      </c>
      <c r="Y643" s="168">
        <f>IF(BetTable[Outcome]="","",BetTable[WBA1]+BetTable[WBA2]+BetTable[WBA3]-BetTable[TS])</f>
        <v>30.347999999999999</v>
      </c>
      <c r="Z643" s="164">
        <f>(((BetTable[Odds]-1)*BetTable[Stake])*(1-(BetTable[Comm %]))+BetTable[Stake])</f>
        <v>57.347999999999999</v>
      </c>
      <c r="AA643" s="164">
        <f>(((BetTable[O2]-1)*BetTable[S2])*(1-(BetTable[C% 2]))+BetTable[S2])</f>
        <v>0</v>
      </c>
      <c r="AB643" s="164">
        <f>(((BetTable[O3]-1)*BetTable[S3])*(1-(BetTable[C% 3]))+BetTable[S3])</f>
        <v>0</v>
      </c>
      <c r="AC643" s="165">
        <f>IFERROR(IF(BetTable[Sport]="","",BetTable[R1]/BetTable[TS]),"")</f>
        <v>1.1239999999999999</v>
      </c>
      <c r="AD643" s="165" t="str">
        <f>IF(BetTable[O2]="","",#REF!/BetTable[TS])</f>
        <v/>
      </c>
      <c r="AE643" s="165" t="str">
        <f>IFERROR(IF(BetTable[Sport]="","",#REF!/BetTable[TS]),"")</f>
        <v/>
      </c>
      <c r="AF643" s="164">
        <f>IF(BetTable[Outcome]="Win",BetTable[WBA1-Commission],IF(BetTable[Outcome]="Win Half Stake",(BetTable[Stake]/2)+BetTable[WBA1-Commission]/2,IF(BetTable[Outcome]="Lose Half Stake",BetTable[Stake]/2,IF(BetTable[Outcome]="Lose",0,IF(BetTable[Outcome]="Void",BetTable[Stake],)))))</f>
        <v>57.347999999999999</v>
      </c>
      <c r="AG643" s="164">
        <f>IF(BetTable[Outcome2]="Win",BetTable[WBA2-Commission],IF(BetTable[Outcome2]="Win Half Stake",(BetTable[S2]/2)+BetTable[WBA2-Commission]/2,IF(BetTable[Outcome2]="Lose Half Stake",BetTable[S2]/2,IF(BetTable[Outcome2]="Lose",0,IF(BetTable[Outcome2]="Void",BetTable[S2],)))))</f>
        <v>0</v>
      </c>
      <c r="AH643" s="164">
        <f>IF(BetTable[Outcome3]="Win",BetTable[WBA3-Commission],IF(BetTable[Outcome3]="Win Half Stake",(BetTable[S3]/2)+BetTable[WBA3-Commission]/2,IF(BetTable[Outcome3]="Lose Half Stake",BetTable[S3]/2,IF(BetTable[Outcome3]="Lose",0,IF(BetTable[Outcome3]="Void",BetTable[S3],)))))</f>
        <v>0</v>
      </c>
      <c r="AI643" s="168">
        <f>IF(BetTable[Outcome]="",AI642,BetTable[Result]+AI642)</f>
        <v>1288.0832500000008</v>
      </c>
      <c r="AJ643" s="160"/>
    </row>
    <row r="644" spans="1:36" x14ac:dyDescent="0.2">
      <c r="A644" s="159" t="s">
        <v>1790</v>
      </c>
      <c r="B644" s="160" t="s">
        <v>201</v>
      </c>
      <c r="C644" s="161" t="s">
        <v>91</v>
      </c>
      <c r="D644" s="161"/>
      <c r="E644" s="161"/>
      <c r="F644" s="162"/>
      <c r="G644" s="162"/>
      <c r="H644" s="162"/>
      <c r="I644" s="160" t="s">
        <v>1791</v>
      </c>
      <c r="J644" s="163">
        <v>2.02</v>
      </c>
      <c r="K644" s="163"/>
      <c r="L644" s="163"/>
      <c r="M644" s="164">
        <v>40</v>
      </c>
      <c r="N644" s="164"/>
      <c r="O644" s="164"/>
      <c r="P644" s="159" t="s">
        <v>1792</v>
      </c>
      <c r="Q644" s="159" t="s">
        <v>1101</v>
      </c>
      <c r="R644" s="159" t="s">
        <v>1793</v>
      </c>
      <c r="S644" s="165">
        <v>2.8682543310459298E-2</v>
      </c>
      <c r="T644" s="166" t="s">
        <v>372</v>
      </c>
      <c r="U644" s="166"/>
      <c r="V644" s="166"/>
      <c r="W644" s="167">
        <f>IF(BetTable[Sport]="","",BetTable[Stake]+BetTable[S2]+BetTable[S3])</f>
        <v>40</v>
      </c>
      <c r="X644" s="164">
        <f>IF(BetTable[Odds]="","",(BetTable[WBA1-Commission])-BetTable[TS])</f>
        <v>40.799999999999997</v>
      </c>
      <c r="Y644" s="168">
        <f>IF(BetTable[Outcome]="","",BetTable[WBA1]+BetTable[WBA2]+BetTable[WBA3]-BetTable[TS])</f>
        <v>40.799999999999997</v>
      </c>
      <c r="Z644" s="164">
        <f>(((BetTable[Odds]-1)*BetTable[Stake])*(1-(BetTable[Comm %]))+BetTable[Stake])</f>
        <v>80.8</v>
      </c>
      <c r="AA644" s="164">
        <f>(((BetTable[O2]-1)*BetTable[S2])*(1-(BetTable[C% 2]))+BetTable[S2])</f>
        <v>0</v>
      </c>
      <c r="AB644" s="164">
        <f>(((BetTable[O3]-1)*BetTable[S3])*(1-(BetTable[C% 3]))+BetTable[S3])</f>
        <v>0</v>
      </c>
      <c r="AC644" s="165">
        <f>IFERROR(IF(BetTable[Sport]="","",BetTable[R1]/BetTable[TS]),"")</f>
        <v>1.02</v>
      </c>
      <c r="AD644" s="165" t="str">
        <f>IF(BetTable[O2]="","",#REF!/BetTable[TS])</f>
        <v/>
      </c>
      <c r="AE644" s="165" t="str">
        <f>IFERROR(IF(BetTable[Sport]="","",#REF!/BetTable[TS]),"")</f>
        <v/>
      </c>
      <c r="AF644" s="164">
        <f>IF(BetTable[Outcome]="Win",BetTable[WBA1-Commission],IF(BetTable[Outcome]="Win Half Stake",(BetTable[Stake]/2)+BetTable[WBA1-Commission]/2,IF(BetTable[Outcome]="Lose Half Stake",BetTable[Stake]/2,IF(BetTable[Outcome]="Lose",0,IF(BetTable[Outcome]="Void",BetTable[Stake],)))))</f>
        <v>80.8</v>
      </c>
      <c r="AG644" s="164">
        <f>IF(BetTable[Outcome2]="Win",BetTable[WBA2-Commission],IF(BetTable[Outcome2]="Win Half Stake",(BetTable[S2]/2)+BetTable[WBA2-Commission]/2,IF(BetTable[Outcome2]="Lose Half Stake",BetTable[S2]/2,IF(BetTable[Outcome2]="Lose",0,IF(BetTable[Outcome2]="Void",BetTable[S2],)))))</f>
        <v>0</v>
      </c>
      <c r="AH644" s="164">
        <f>IF(BetTable[Outcome3]="Win",BetTable[WBA3-Commission],IF(BetTable[Outcome3]="Win Half Stake",(BetTable[S3]/2)+BetTable[WBA3-Commission]/2,IF(BetTable[Outcome3]="Lose Half Stake",BetTable[S3]/2,IF(BetTable[Outcome3]="Lose",0,IF(BetTable[Outcome3]="Void",BetTable[S3],)))))</f>
        <v>0</v>
      </c>
      <c r="AI644" s="168">
        <f>IF(BetTable[Outcome]="",AI643,BetTable[Result]+AI643)</f>
        <v>1328.8832500000008</v>
      </c>
      <c r="AJ644" s="160"/>
    </row>
    <row r="645" spans="1:36" x14ac:dyDescent="0.2">
      <c r="A645" s="159" t="s">
        <v>1790</v>
      </c>
      <c r="B645" s="160" t="s">
        <v>200</v>
      </c>
      <c r="C645" s="161" t="s">
        <v>1714</v>
      </c>
      <c r="D645" s="161"/>
      <c r="E645" s="161"/>
      <c r="F645" s="162"/>
      <c r="G645" s="162"/>
      <c r="H645" s="162"/>
      <c r="I645" s="160" t="s">
        <v>1794</v>
      </c>
      <c r="J645" s="163">
        <v>3.15</v>
      </c>
      <c r="K645" s="163"/>
      <c r="L645" s="163"/>
      <c r="M645" s="164">
        <v>24</v>
      </c>
      <c r="N645" s="164"/>
      <c r="O645" s="164"/>
      <c r="P645" s="159" t="s">
        <v>494</v>
      </c>
      <c r="Q645" s="159" t="s">
        <v>1101</v>
      </c>
      <c r="R645" s="159" t="s">
        <v>1795</v>
      </c>
      <c r="S645" s="165">
        <v>3.5970541451824899E-2</v>
      </c>
      <c r="T645" s="166" t="s">
        <v>372</v>
      </c>
      <c r="U645" s="166"/>
      <c r="V645" s="166"/>
      <c r="W645" s="167">
        <f>IF(BetTable[Sport]="","",BetTable[Stake]+BetTable[S2]+BetTable[S3])</f>
        <v>24</v>
      </c>
      <c r="X645" s="164">
        <f>IF(BetTable[Odds]="","",(BetTable[WBA1-Commission])-BetTable[TS])</f>
        <v>51.599999999999994</v>
      </c>
      <c r="Y645" s="168">
        <f>IF(BetTable[Outcome]="","",BetTable[WBA1]+BetTable[WBA2]+BetTable[WBA3]-BetTable[TS])</f>
        <v>51.599999999999994</v>
      </c>
      <c r="Z645" s="164">
        <f>(((BetTable[Odds]-1)*BetTable[Stake])*(1-(BetTable[Comm %]))+BetTable[Stake])</f>
        <v>75.599999999999994</v>
      </c>
      <c r="AA645" s="164">
        <f>(((BetTable[O2]-1)*BetTable[S2])*(1-(BetTable[C% 2]))+BetTable[S2])</f>
        <v>0</v>
      </c>
      <c r="AB645" s="164">
        <f>(((BetTable[O3]-1)*BetTable[S3])*(1-(BetTable[C% 3]))+BetTable[S3])</f>
        <v>0</v>
      </c>
      <c r="AC645" s="165">
        <f>IFERROR(IF(BetTable[Sport]="","",BetTable[R1]/BetTable[TS]),"")</f>
        <v>2.15</v>
      </c>
      <c r="AD645" s="165" t="str">
        <f>IF(BetTable[O2]="","",#REF!/BetTable[TS])</f>
        <v/>
      </c>
      <c r="AE645" s="165" t="str">
        <f>IFERROR(IF(BetTable[Sport]="","",#REF!/BetTable[TS]),"")</f>
        <v/>
      </c>
      <c r="AF645" s="164">
        <f>IF(BetTable[Outcome]="Win",BetTable[WBA1-Commission],IF(BetTable[Outcome]="Win Half Stake",(BetTable[Stake]/2)+BetTable[WBA1-Commission]/2,IF(BetTable[Outcome]="Lose Half Stake",BetTable[Stake]/2,IF(BetTable[Outcome]="Lose",0,IF(BetTable[Outcome]="Void",BetTable[Stake],)))))</f>
        <v>75.599999999999994</v>
      </c>
      <c r="AG645" s="164">
        <f>IF(BetTable[Outcome2]="Win",BetTable[WBA2-Commission],IF(BetTable[Outcome2]="Win Half Stake",(BetTable[S2]/2)+BetTable[WBA2-Commission]/2,IF(BetTable[Outcome2]="Lose Half Stake",BetTable[S2]/2,IF(BetTable[Outcome2]="Lose",0,IF(BetTable[Outcome2]="Void",BetTable[S2],)))))</f>
        <v>0</v>
      </c>
      <c r="AH645" s="164">
        <f>IF(BetTable[Outcome3]="Win",BetTable[WBA3-Commission],IF(BetTable[Outcome3]="Win Half Stake",(BetTable[S3]/2)+BetTable[WBA3-Commission]/2,IF(BetTable[Outcome3]="Lose Half Stake",BetTable[S3]/2,IF(BetTable[Outcome3]="Lose",0,IF(BetTable[Outcome3]="Void",BetTable[S3],)))))</f>
        <v>0</v>
      </c>
      <c r="AI645" s="168">
        <f>IF(BetTable[Outcome]="",AI644,BetTable[Result]+AI644)</f>
        <v>1380.4832500000007</v>
      </c>
      <c r="AJ645" s="160"/>
    </row>
    <row r="646" spans="1:36" x14ac:dyDescent="0.2">
      <c r="A646" s="159" t="s">
        <v>1790</v>
      </c>
      <c r="B646" s="160" t="s">
        <v>200</v>
      </c>
      <c r="C646" s="161" t="s">
        <v>1714</v>
      </c>
      <c r="D646" s="161"/>
      <c r="E646" s="161"/>
      <c r="F646" s="162"/>
      <c r="G646" s="162"/>
      <c r="H646" s="162"/>
      <c r="I646" s="160" t="s">
        <v>1796</v>
      </c>
      <c r="J646" s="163">
        <v>3.65</v>
      </c>
      <c r="K646" s="163"/>
      <c r="L646" s="163"/>
      <c r="M646" s="164">
        <v>10</v>
      </c>
      <c r="N646" s="164"/>
      <c r="O646" s="164"/>
      <c r="P646" s="159" t="s">
        <v>494</v>
      </c>
      <c r="Q646" s="159" t="s">
        <v>506</v>
      </c>
      <c r="R646" s="159" t="s">
        <v>1797</v>
      </c>
      <c r="S646" s="165">
        <v>1.78048809375758E-2</v>
      </c>
      <c r="T646" s="166" t="s">
        <v>382</v>
      </c>
      <c r="U646" s="166"/>
      <c r="V646" s="166"/>
      <c r="W646" s="167">
        <f>IF(BetTable[Sport]="","",BetTable[Stake]+BetTable[S2]+BetTable[S3])</f>
        <v>10</v>
      </c>
      <c r="X646" s="164">
        <f>IF(BetTable[Odds]="","",(BetTable[WBA1-Commission])-BetTable[TS])</f>
        <v>26.5</v>
      </c>
      <c r="Y646" s="168">
        <f>IF(BetTable[Outcome]="","",BetTable[WBA1]+BetTable[WBA2]+BetTable[WBA3]-BetTable[TS])</f>
        <v>-10</v>
      </c>
      <c r="Z646" s="164">
        <f>(((BetTable[Odds]-1)*BetTable[Stake])*(1-(BetTable[Comm %]))+BetTable[Stake])</f>
        <v>36.5</v>
      </c>
      <c r="AA646" s="164">
        <f>(((BetTable[O2]-1)*BetTable[S2])*(1-(BetTable[C% 2]))+BetTable[S2])</f>
        <v>0</v>
      </c>
      <c r="AB646" s="164">
        <f>(((BetTable[O3]-1)*BetTable[S3])*(1-(BetTable[C% 3]))+BetTable[S3])</f>
        <v>0</v>
      </c>
      <c r="AC646" s="165">
        <f>IFERROR(IF(BetTable[Sport]="","",BetTable[R1]/BetTable[TS]),"")</f>
        <v>2.65</v>
      </c>
      <c r="AD646" s="165" t="str">
        <f>IF(BetTable[O2]="","",#REF!/BetTable[TS])</f>
        <v/>
      </c>
      <c r="AE646" s="165" t="str">
        <f>IFERROR(IF(BetTable[Sport]="","",#REF!/BetTable[TS]),"")</f>
        <v/>
      </c>
      <c r="AF646" s="164">
        <f>IF(BetTable[Outcome]="Win",BetTable[WBA1-Commission],IF(BetTable[Outcome]="Win Half Stake",(BetTable[Stake]/2)+BetTable[WBA1-Commission]/2,IF(BetTable[Outcome]="Lose Half Stake",BetTable[Stake]/2,IF(BetTable[Outcome]="Lose",0,IF(BetTable[Outcome]="Void",BetTable[Stake],)))))</f>
        <v>0</v>
      </c>
      <c r="AG646" s="164">
        <f>IF(BetTable[Outcome2]="Win",BetTable[WBA2-Commission],IF(BetTable[Outcome2]="Win Half Stake",(BetTable[S2]/2)+BetTable[WBA2-Commission]/2,IF(BetTable[Outcome2]="Lose Half Stake",BetTable[S2]/2,IF(BetTable[Outcome2]="Lose",0,IF(BetTable[Outcome2]="Void",BetTable[S2],)))))</f>
        <v>0</v>
      </c>
      <c r="AH646" s="164">
        <f>IF(BetTable[Outcome3]="Win",BetTable[WBA3-Commission],IF(BetTable[Outcome3]="Win Half Stake",(BetTable[S3]/2)+BetTable[WBA3-Commission]/2,IF(BetTable[Outcome3]="Lose Half Stake",BetTable[S3]/2,IF(BetTable[Outcome3]="Lose",0,IF(BetTable[Outcome3]="Void",BetTable[S3],)))))</f>
        <v>0</v>
      </c>
      <c r="AI646" s="168">
        <f>IF(BetTable[Outcome]="",AI645,BetTable[Result]+AI645)</f>
        <v>1370.4832500000007</v>
      </c>
      <c r="AJ646" s="160"/>
    </row>
    <row r="647" spans="1:36" x14ac:dyDescent="0.2">
      <c r="A647" s="159" t="s">
        <v>1790</v>
      </c>
      <c r="B647" s="160" t="s">
        <v>7</v>
      </c>
      <c r="C647" s="161" t="s">
        <v>91</v>
      </c>
      <c r="D647" s="161"/>
      <c r="E647" s="161"/>
      <c r="F647" s="162"/>
      <c r="G647" s="162"/>
      <c r="H647" s="162"/>
      <c r="I647" s="160" t="s">
        <v>1798</v>
      </c>
      <c r="J647" s="163">
        <v>1.78</v>
      </c>
      <c r="K647" s="163"/>
      <c r="L647" s="163"/>
      <c r="M647" s="164">
        <v>37</v>
      </c>
      <c r="N647" s="164"/>
      <c r="O647" s="164"/>
      <c r="P647" s="159" t="s">
        <v>1799</v>
      </c>
      <c r="Q647" s="159" t="s">
        <v>1800</v>
      </c>
      <c r="R647" s="159" t="s">
        <v>1801</v>
      </c>
      <c r="S647" s="165">
        <v>2.0226760705133601E-2</v>
      </c>
      <c r="T647" s="166" t="s">
        <v>382</v>
      </c>
      <c r="U647" s="166"/>
      <c r="V647" s="166"/>
      <c r="W647" s="167">
        <f>IF(BetTable[Sport]="","",BetTable[Stake]+BetTable[S2]+BetTable[S3])</f>
        <v>37</v>
      </c>
      <c r="X647" s="164">
        <f>IF(BetTable[Odds]="","",(BetTable[WBA1-Commission])-BetTable[TS])</f>
        <v>28.86</v>
      </c>
      <c r="Y647" s="168">
        <f>IF(BetTable[Outcome]="","",BetTable[WBA1]+BetTable[WBA2]+BetTable[WBA3]-BetTable[TS])</f>
        <v>-37</v>
      </c>
      <c r="Z647" s="164">
        <f>(((BetTable[Odds]-1)*BetTable[Stake])*(1-(BetTable[Comm %]))+BetTable[Stake])</f>
        <v>65.86</v>
      </c>
      <c r="AA647" s="164">
        <f>(((BetTable[O2]-1)*BetTable[S2])*(1-(BetTable[C% 2]))+BetTable[S2])</f>
        <v>0</v>
      </c>
      <c r="AB647" s="164">
        <f>(((BetTable[O3]-1)*BetTable[S3])*(1-(BetTable[C% 3]))+BetTable[S3])</f>
        <v>0</v>
      </c>
      <c r="AC647" s="165">
        <f>IFERROR(IF(BetTable[Sport]="","",BetTable[R1]/BetTable[TS]),"")</f>
        <v>0.78</v>
      </c>
      <c r="AD647" s="165" t="str">
        <f>IF(BetTable[O2]="","",#REF!/BetTable[TS])</f>
        <v/>
      </c>
      <c r="AE647" s="165" t="str">
        <f>IFERROR(IF(BetTable[Sport]="","",#REF!/BetTable[TS]),"")</f>
        <v/>
      </c>
      <c r="AF647" s="164">
        <f>IF(BetTable[Outcome]="Win",BetTable[WBA1-Commission],IF(BetTable[Outcome]="Win Half Stake",(BetTable[Stake]/2)+BetTable[WBA1-Commission]/2,IF(BetTable[Outcome]="Lose Half Stake",BetTable[Stake]/2,IF(BetTable[Outcome]="Lose",0,IF(BetTable[Outcome]="Void",BetTable[Stake],)))))</f>
        <v>0</v>
      </c>
      <c r="AG647" s="164">
        <f>IF(BetTable[Outcome2]="Win",BetTable[WBA2-Commission],IF(BetTable[Outcome2]="Win Half Stake",(BetTable[S2]/2)+BetTable[WBA2-Commission]/2,IF(BetTable[Outcome2]="Lose Half Stake",BetTable[S2]/2,IF(BetTable[Outcome2]="Lose",0,IF(BetTable[Outcome2]="Void",BetTable[S2],)))))</f>
        <v>0</v>
      </c>
      <c r="AH647" s="164">
        <f>IF(BetTable[Outcome3]="Win",BetTable[WBA3-Commission],IF(BetTable[Outcome3]="Win Half Stake",(BetTable[S3]/2)+BetTable[WBA3-Commission]/2,IF(BetTable[Outcome3]="Lose Half Stake",BetTable[S3]/2,IF(BetTable[Outcome3]="Lose",0,IF(BetTable[Outcome3]="Void",BetTable[S3],)))))</f>
        <v>0</v>
      </c>
      <c r="AI647" s="168">
        <f>IF(BetTable[Outcome]="",AI646,BetTable[Result]+AI646)</f>
        <v>1333.4832500000007</v>
      </c>
      <c r="AJ647" s="160"/>
    </row>
    <row r="648" spans="1:36" x14ac:dyDescent="0.2">
      <c r="A648" s="159" t="s">
        <v>1790</v>
      </c>
      <c r="B648" s="160" t="s">
        <v>7</v>
      </c>
      <c r="C648" s="161" t="s">
        <v>1714</v>
      </c>
      <c r="D648" s="161"/>
      <c r="E648" s="161"/>
      <c r="F648" s="162"/>
      <c r="G648" s="162"/>
      <c r="H648" s="162"/>
      <c r="I648" s="160" t="s">
        <v>1802</v>
      </c>
      <c r="J648" s="163">
        <v>1.92</v>
      </c>
      <c r="K648" s="163"/>
      <c r="L648" s="163"/>
      <c r="M648" s="164">
        <v>29</v>
      </c>
      <c r="N648" s="164"/>
      <c r="O648" s="164"/>
      <c r="P648" s="159" t="s">
        <v>1803</v>
      </c>
      <c r="Q648" s="159" t="s">
        <v>1733</v>
      </c>
      <c r="R648" s="159" t="s">
        <v>1804</v>
      </c>
      <c r="S648" s="165">
        <v>1.8522641977904201E-2</v>
      </c>
      <c r="T648" s="166" t="s">
        <v>382</v>
      </c>
      <c r="U648" s="166"/>
      <c r="V648" s="166"/>
      <c r="W648" s="167">
        <f>IF(BetTable[Sport]="","",BetTable[Stake]+BetTable[S2]+BetTable[S3])</f>
        <v>29</v>
      </c>
      <c r="X648" s="164">
        <f>IF(BetTable[Odds]="","",(BetTable[WBA1-Commission])-BetTable[TS])</f>
        <v>26.68</v>
      </c>
      <c r="Y648" s="168">
        <f>IF(BetTable[Outcome]="","",BetTable[WBA1]+BetTable[WBA2]+BetTable[WBA3]-BetTable[TS])</f>
        <v>-29</v>
      </c>
      <c r="Z648" s="164">
        <f>(((BetTable[Odds]-1)*BetTable[Stake])*(1-(BetTable[Comm %]))+BetTable[Stake])</f>
        <v>55.68</v>
      </c>
      <c r="AA648" s="164">
        <f>(((BetTable[O2]-1)*BetTable[S2])*(1-(BetTable[C% 2]))+BetTable[S2])</f>
        <v>0</v>
      </c>
      <c r="AB648" s="164">
        <f>(((BetTable[O3]-1)*BetTable[S3])*(1-(BetTable[C% 3]))+BetTable[S3])</f>
        <v>0</v>
      </c>
      <c r="AC648" s="165">
        <f>IFERROR(IF(BetTable[Sport]="","",BetTable[R1]/BetTable[TS]),"")</f>
        <v>0.92</v>
      </c>
      <c r="AD648" s="165" t="str">
        <f>IF(BetTable[O2]="","",#REF!/BetTable[TS])</f>
        <v/>
      </c>
      <c r="AE648" s="165" t="str">
        <f>IFERROR(IF(BetTable[Sport]="","",#REF!/BetTable[TS]),"")</f>
        <v/>
      </c>
      <c r="AF648" s="164">
        <f>IF(BetTable[Outcome]="Win",BetTable[WBA1-Commission],IF(BetTable[Outcome]="Win Half Stake",(BetTable[Stake]/2)+BetTable[WBA1-Commission]/2,IF(BetTable[Outcome]="Lose Half Stake",BetTable[Stake]/2,IF(BetTable[Outcome]="Lose",0,IF(BetTable[Outcome]="Void",BetTable[Stake],)))))</f>
        <v>0</v>
      </c>
      <c r="AG648" s="164">
        <f>IF(BetTable[Outcome2]="Win",BetTable[WBA2-Commission],IF(BetTable[Outcome2]="Win Half Stake",(BetTable[S2]/2)+BetTable[WBA2-Commission]/2,IF(BetTable[Outcome2]="Lose Half Stake",BetTable[S2]/2,IF(BetTable[Outcome2]="Lose",0,IF(BetTable[Outcome2]="Void",BetTable[S2],)))))</f>
        <v>0</v>
      </c>
      <c r="AH648" s="164">
        <f>IF(BetTable[Outcome3]="Win",BetTable[WBA3-Commission],IF(BetTable[Outcome3]="Win Half Stake",(BetTable[S3]/2)+BetTable[WBA3-Commission]/2,IF(BetTable[Outcome3]="Lose Half Stake",BetTable[S3]/2,IF(BetTable[Outcome3]="Lose",0,IF(BetTable[Outcome3]="Void",BetTable[S3],)))))</f>
        <v>0</v>
      </c>
      <c r="AI648" s="168">
        <f>IF(BetTable[Outcome]="",AI647,BetTable[Result]+AI647)</f>
        <v>1304.4832500000007</v>
      </c>
      <c r="AJ648" s="160"/>
    </row>
    <row r="649" spans="1:36" x14ac:dyDescent="0.2">
      <c r="A649" s="159" t="s">
        <v>1790</v>
      </c>
      <c r="B649" s="160" t="s">
        <v>7</v>
      </c>
      <c r="C649" s="161" t="s">
        <v>91</v>
      </c>
      <c r="D649" s="161"/>
      <c r="E649" s="161"/>
      <c r="F649" s="162"/>
      <c r="G649" s="162"/>
      <c r="H649" s="162"/>
      <c r="I649" s="160" t="s">
        <v>1798</v>
      </c>
      <c r="J649" s="163">
        <v>2.17</v>
      </c>
      <c r="K649" s="163"/>
      <c r="L649" s="163"/>
      <c r="M649" s="164">
        <v>21</v>
      </c>
      <c r="N649" s="164"/>
      <c r="O649" s="164"/>
      <c r="P649" s="159" t="s">
        <v>1805</v>
      </c>
      <c r="Q649" s="159" t="s">
        <v>1800</v>
      </c>
      <c r="R649" s="159" t="s">
        <v>1806</v>
      </c>
      <c r="S649" s="165">
        <v>1.6704980842911801E-2</v>
      </c>
      <c r="T649" s="166" t="s">
        <v>372</v>
      </c>
      <c r="U649" s="166"/>
      <c r="V649" s="166"/>
      <c r="W649" s="167">
        <f>IF(BetTable[Sport]="","",BetTable[Stake]+BetTable[S2]+BetTable[S3])</f>
        <v>21</v>
      </c>
      <c r="X649" s="164">
        <f>IF(BetTable[Odds]="","",(BetTable[WBA1-Commission])-BetTable[TS])</f>
        <v>24.57</v>
      </c>
      <c r="Y649" s="168">
        <f>IF(BetTable[Outcome]="","",BetTable[WBA1]+BetTable[WBA2]+BetTable[WBA3]-BetTable[TS])</f>
        <v>24.57</v>
      </c>
      <c r="Z649" s="164">
        <f>(((BetTable[Odds]-1)*BetTable[Stake])*(1-(BetTable[Comm %]))+BetTable[Stake])</f>
        <v>45.57</v>
      </c>
      <c r="AA649" s="164">
        <f>(((BetTable[O2]-1)*BetTable[S2])*(1-(BetTable[C% 2]))+BetTable[S2])</f>
        <v>0</v>
      </c>
      <c r="AB649" s="164">
        <f>(((BetTable[O3]-1)*BetTable[S3])*(1-(BetTable[C% 3]))+BetTable[S3])</f>
        <v>0</v>
      </c>
      <c r="AC649" s="165">
        <f>IFERROR(IF(BetTable[Sport]="","",BetTable[R1]/BetTable[TS]),"")</f>
        <v>1.17</v>
      </c>
      <c r="AD649" s="165" t="str">
        <f>IF(BetTable[O2]="","",#REF!/BetTable[TS])</f>
        <v/>
      </c>
      <c r="AE649" s="165" t="str">
        <f>IFERROR(IF(BetTable[Sport]="","",#REF!/BetTable[TS]),"")</f>
        <v/>
      </c>
      <c r="AF649" s="164">
        <f>IF(BetTable[Outcome]="Win",BetTable[WBA1-Commission],IF(BetTable[Outcome]="Win Half Stake",(BetTable[Stake]/2)+BetTable[WBA1-Commission]/2,IF(BetTable[Outcome]="Lose Half Stake",BetTable[Stake]/2,IF(BetTable[Outcome]="Lose",0,IF(BetTable[Outcome]="Void",BetTable[Stake],)))))</f>
        <v>45.57</v>
      </c>
      <c r="AG649" s="164">
        <f>IF(BetTable[Outcome2]="Win",BetTable[WBA2-Commission],IF(BetTable[Outcome2]="Win Half Stake",(BetTable[S2]/2)+BetTable[WBA2-Commission]/2,IF(BetTable[Outcome2]="Lose Half Stake",BetTable[S2]/2,IF(BetTable[Outcome2]="Lose",0,IF(BetTable[Outcome2]="Void",BetTable[S2],)))))</f>
        <v>0</v>
      </c>
      <c r="AH649" s="164">
        <f>IF(BetTable[Outcome3]="Win",BetTable[WBA3-Commission],IF(BetTable[Outcome3]="Win Half Stake",(BetTable[S3]/2)+BetTable[WBA3-Commission]/2,IF(BetTable[Outcome3]="Lose Half Stake",BetTable[S3]/2,IF(BetTable[Outcome3]="Lose",0,IF(BetTable[Outcome3]="Void",BetTable[S3],)))))</f>
        <v>0</v>
      </c>
      <c r="AI649" s="168">
        <f>IF(BetTable[Outcome]="",AI648,BetTable[Result]+AI648)</f>
        <v>1329.0532500000006</v>
      </c>
      <c r="AJ649" s="160"/>
    </row>
    <row r="650" spans="1:36" x14ac:dyDescent="0.2">
      <c r="A650" s="159" t="s">
        <v>1790</v>
      </c>
      <c r="B650" s="160" t="s">
        <v>8</v>
      </c>
      <c r="C650" s="161" t="s">
        <v>91</v>
      </c>
      <c r="D650" s="161"/>
      <c r="E650" s="161"/>
      <c r="F650" s="162"/>
      <c r="G650" s="162"/>
      <c r="H650" s="162"/>
      <c r="I650" s="160" t="s">
        <v>1807</v>
      </c>
      <c r="J650" s="163">
        <v>1.92</v>
      </c>
      <c r="K650" s="163"/>
      <c r="L650" s="163"/>
      <c r="M650" s="164">
        <v>32</v>
      </c>
      <c r="N650" s="164"/>
      <c r="O650" s="164"/>
      <c r="P650" s="159" t="s">
        <v>435</v>
      </c>
      <c r="Q650" s="159" t="s">
        <v>581</v>
      </c>
      <c r="R650" s="159" t="s">
        <v>1808</v>
      </c>
      <c r="S650" s="165">
        <v>1.9275502513387902E-2</v>
      </c>
      <c r="T650" s="166" t="s">
        <v>382</v>
      </c>
      <c r="U650" s="166"/>
      <c r="V650" s="166"/>
      <c r="W650" s="167">
        <f>IF(BetTable[Sport]="","",BetTable[Stake]+BetTable[S2]+BetTable[S3])</f>
        <v>32</v>
      </c>
      <c r="X650" s="164">
        <f>IF(BetTable[Odds]="","",(BetTable[WBA1-Commission])-BetTable[TS])</f>
        <v>29.439999999999998</v>
      </c>
      <c r="Y650" s="168">
        <f>IF(BetTable[Outcome]="","",BetTable[WBA1]+BetTable[WBA2]+BetTable[WBA3]-BetTable[TS])</f>
        <v>-32</v>
      </c>
      <c r="Z650" s="164">
        <f>(((BetTable[Odds]-1)*BetTable[Stake])*(1-(BetTable[Comm %]))+BetTable[Stake])</f>
        <v>61.44</v>
      </c>
      <c r="AA650" s="164">
        <f>(((BetTable[O2]-1)*BetTable[S2])*(1-(BetTable[C% 2]))+BetTable[S2])</f>
        <v>0</v>
      </c>
      <c r="AB650" s="164">
        <f>(((BetTable[O3]-1)*BetTable[S3])*(1-(BetTable[C% 3]))+BetTable[S3])</f>
        <v>0</v>
      </c>
      <c r="AC650" s="165">
        <f>IFERROR(IF(BetTable[Sport]="","",BetTable[R1]/BetTable[TS]),"")</f>
        <v>0.91999999999999993</v>
      </c>
      <c r="AD650" s="165" t="str">
        <f>IF(BetTable[O2]="","",#REF!/BetTable[TS])</f>
        <v/>
      </c>
      <c r="AE650" s="165" t="str">
        <f>IFERROR(IF(BetTable[Sport]="","",#REF!/BetTable[TS]),"")</f>
        <v/>
      </c>
      <c r="AF650" s="164">
        <f>IF(BetTable[Outcome]="Win",BetTable[WBA1-Commission],IF(BetTable[Outcome]="Win Half Stake",(BetTable[Stake]/2)+BetTable[WBA1-Commission]/2,IF(BetTable[Outcome]="Lose Half Stake",BetTable[Stake]/2,IF(BetTable[Outcome]="Lose",0,IF(BetTable[Outcome]="Void",BetTable[Stake],)))))</f>
        <v>0</v>
      </c>
      <c r="AG650" s="164">
        <f>IF(BetTable[Outcome2]="Win",BetTable[WBA2-Commission],IF(BetTable[Outcome2]="Win Half Stake",(BetTable[S2]/2)+BetTable[WBA2-Commission]/2,IF(BetTable[Outcome2]="Lose Half Stake",BetTable[S2]/2,IF(BetTable[Outcome2]="Lose",0,IF(BetTable[Outcome2]="Void",BetTable[S2],)))))</f>
        <v>0</v>
      </c>
      <c r="AH650" s="164">
        <f>IF(BetTable[Outcome3]="Win",BetTable[WBA3-Commission],IF(BetTable[Outcome3]="Win Half Stake",(BetTable[S3]/2)+BetTable[WBA3-Commission]/2,IF(BetTable[Outcome3]="Lose Half Stake",BetTable[S3]/2,IF(BetTable[Outcome3]="Lose",0,IF(BetTable[Outcome3]="Void",BetTable[S3],)))))</f>
        <v>0</v>
      </c>
      <c r="AI650" s="168">
        <f>IF(BetTable[Outcome]="",AI649,BetTable[Result]+AI649)</f>
        <v>1297.0532500000006</v>
      </c>
      <c r="AJ650" s="160"/>
    </row>
    <row r="651" spans="1:36" x14ac:dyDescent="0.2">
      <c r="A651" s="159" t="s">
        <v>1790</v>
      </c>
      <c r="B651" s="160" t="s">
        <v>200</v>
      </c>
      <c r="C651" s="161" t="s">
        <v>1714</v>
      </c>
      <c r="D651" s="161"/>
      <c r="E651" s="161"/>
      <c r="F651" s="162"/>
      <c r="G651" s="162"/>
      <c r="H651" s="162"/>
      <c r="I651" s="160" t="s">
        <v>1809</v>
      </c>
      <c r="J651" s="163">
        <v>1.95</v>
      </c>
      <c r="K651" s="163"/>
      <c r="L651" s="163"/>
      <c r="M651" s="164">
        <v>35</v>
      </c>
      <c r="N651" s="164"/>
      <c r="O651" s="164"/>
      <c r="P651" s="159" t="s">
        <v>336</v>
      </c>
      <c r="Q651" s="159" t="s">
        <v>1171</v>
      </c>
      <c r="R651" s="159" t="s">
        <v>1810</v>
      </c>
      <c r="S651" s="165">
        <v>2.1322442442990499E-2</v>
      </c>
      <c r="T651" s="166" t="s">
        <v>382</v>
      </c>
      <c r="U651" s="166"/>
      <c r="V651" s="166"/>
      <c r="W651" s="167">
        <f>IF(BetTable[Sport]="","",BetTable[Stake]+BetTable[S2]+BetTable[S3])</f>
        <v>35</v>
      </c>
      <c r="X651" s="164">
        <f>IF(BetTable[Odds]="","",(BetTable[WBA1-Commission])-BetTable[TS])</f>
        <v>33.25</v>
      </c>
      <c r="Y651" s="168">
        <f>IF(BetTable[Outcome]="","",BetTable[WBA1]+BetTable[WBA2]+BetTable[WBA3]-BetTable[TS])</f>
        <v>-35</v>
      </c>
      <c r="Z651" s="164">
        <f>(((BetTable[Odds]-1)*BetTable[Stake])*(1-(BetTable[Comm %]))+BetTable[Stake])</f>
        <v>68.25</v>
      </c>
      <c r="AA651" s="164">
        <f>(((BetTable[O2]-1)*BetTable[S2])*(1-(BetTable[C% 2]))+BetTable[S2])</f>
        <v>0</v>
      </c>
      <c r="AB651" s="164">
        <f>(((BetTable[O3]-1)*BetTable[S3])*(1-(BetTable[C% 3]))+BetTable[S3])</f>
        <v>0</v>
      </c>
      <c r="AC651" s="165">
        <f>IFERROR(IF(BetTable[Sport]="","",BetTable[R1]/BetTable[TS]),"")</f>
        <v>0.95</v>
      </c>
      <c r="AD651" s="165" t="str">
        <f>IF(BetTable[O2]="","",#REF!/BetTable[TS])</f>
        <v/>
      </c>
      <c r="AE651" s="165" t="str">
        <f>IFERROR(IF(BetTable[Sport]="","",#REF!/BetTable[TS]),"")</f>
        <v/>
      </c>
      <c r="AF651" s="164">
        <f>IF(BetTable[Outcome]="Win",BetTable[WBA1-Commission],IF(BetTable[Outcome]="Win Half Stake",(BetTable[Stake]/2)+BetTable[WBA1-Commission]/2,IF(BetTable[Outcome]="Lose Half Stake",BetTable[Stake]/2,IF(BetTable[Outcome]="Lose",0,IF(BetTable[Outcome]="Void",BetTable[Stake],)))))</f>
        <v>0</v>
      </c>
      <c r="AG651" s="164">
        <f>IF(BetTable[Outcome2]="Win",BetTable[WBA2-Commission],IF(BetTable[Outcome2]="Win Half Stake",(BetTable[S2]/2)+BetTable[WBA2-Commission]/2,IF(BetTable[Outcome2]="Lose Half Stake",BetTable[S2]/2,IF(BetTable[Outcome2]="Lose",0,IF(BetTable[Outcome2]="Void",BetTable[S2],)))))</f>
        <v>0</v>
      </c>
      <c r="AH651" s="164">
        <f>IF(BetTable[Outcome3]="Win",BetTable[WBA3-Commission],IF(BetTable[Outcome3]="Win Half Stake",(BetTable[S3]/2)+BetTable[WBA3-Commission]/2,IF(BetTable[Outcome3]="Lose Half Stake",BetTable[S3]/2,IF(BetTable[Outcome3]="Lose",0,IF(BetTable[Outcome3]="Void",BetTable[S3],)))))</f>
        <v>0</v>
      </c>
      <c r="AI651" s="168">
        <f>IF(BetTable[Outcome]="",AI650,BetTable[Result]+AI650)</f>
        <v>1262.0532500000006</v>
      </c>
      <c r="AJ651" s="160"/>
    </row>
    <row r="652" spans="1:36" x14ac:dyDescent="0.2">
      <c r="A652" s="159" t="s">
        <v>1790</v>
      </c>
      <c r="B652" s="160" t="s">
        <v>200</v>
      </c>
      <c r="C652" s="161" t="s">
        <v>1714</v>
      </c>
      <c r="D652" s="161"/>
      <c r="E652" s="161"/>
      <c r="F652" s="162"/>
      <c r="G652" s="162"/>
      <c r="H652" s="162"/>
      <c r="I652" s="160" t="s">
        <v>1811</v>
      </c>
      <c r="J652" s="163">
        <v>2.97</v>
      </c>
      <c r="K652" s="163"/>
      <c r="L652" s="163"/>
      <c r="M652" s="164">
        <v>14</v>
      </c>
      <c r="N652" s="164"/>
      <c r="O652" s="164"/>
      <c r="P652" s="159" t="s">
        <v>494</v>
      </c>
      <c r="Q652" s="159" t="s">
        <v>506</v>
      </c>
      <c r="R652" s="159" t="s">
        <v>1812</v>
      </c>
      <c r="S652" s="165">
        <v>1.7419245245115102E-2</v>
      </c>
      <c r="T652" s="166" t="s">
        <v>382</v>
      </c>
      <c r="U652" s="166"/>
      <c r="V652" s="166"/>
      <c r="W652" s="167">
        <f>IF(BetTable[Sport]="","",BetTable[Stake]+BetTable[S2]+BetTable[S3])</f>
        <v>14</v>
      </c>
      <c r="X652" s="164">
        <f>IF(BetTable[Odds]="","",(BetTable[WBA1-Commission])-BetTable[TS])</f>
        <v>27.58</v>
      </c>
      <c r="Y652" s="168">
        <f>IF(BetTable[Outcome]="","",BetTable[WBA1]+BetTable[WBA2]+BetTable[WBA3]-BetTable[TS])</f>
        <v>-14</v>
      </c>
      <c r="Z652" s="164">
        <f>(((BetTable[Odds]-1)*BetTable[Stake])*(1-(BetTable[Comm %]))+BetTable[Stake])</f>
        <v>41.58</v>
      </c>
      <c r="AA652" s="164">
        <f>(((BetTable[O2]-1)*BetTable[S2])*(1-(BetTable[C% 2]))+BetTable[S2])</f>
        <v>0</v>
      </c>
      <c r="AB652" s="164">
        <f>(((BetTable[O3]-1)*BetTable[S3])*(1-(BetTable[C% 3]))+BetTable[S3])</f>
        <v>0</v>
      </c>
      <c r="AC652" s="165">
        <f>IFERROR(IF(BetTable[Sport]="","",BetTable[R1]/BetTable[TS]),"")</f>
        <v>1.97</v>
      </c>
      <c r="AD652" s="165" t="str">
        <f>IF(BetTable[O2]="","",#REF!/BetTable[TS])</f>
        <v/>
      </c>
      <c r="AE652" s="165" t="str">
        <f>IFERROR(IF(BetTable[Sport]="","",#REF!/BetTable[TS]),"")</f>
        <v/>
      </c>
      <c r="AF652" s="164">
        <f>IF(BetTable[Outcome]="Win",BetTable[WBA1-Commission],IF(BetTable[Outcome]="Win Half Stake",(BetTable[Stake]/2)+BetTable[WBA1-Commission]/2,IF(BetTable[Outcome]="Lose Half Stake",BetTable[Stake]/2,IF(BetTable[Outcome]="Lose",0,IF(BetTable[Outcome]="Void",BetTable[Stake],)))))</f>
        <v>0</v>
      </c>
      <c r="AG652" s="164">
        <f>IF(BetTable[Outcome2]="Win",BetTable[WBA2-Commission],IF(BetTable[Outcome2]="Win Half Stake",(BetTable[S2]/2)+BetTable[WBA2-Commission]/2,IF(BetTable[Outcome2]="Lose Half Stake",BetTable[S2]/2,IF(BetTable[Outcome2]="Lose",0,IF(BetTable[Outcome2]="Void",BetTable[S2],)))))</f>
        <v>0</v>
      </c>
      <c r="AH652" s="164">
        <f>IF(BetTable[Outcome3]="Win",BetTable[WBA3-Commission],IF(BetTable[Outcome3]="Win Half Stake",(BetTable[S3]/2)+BetTable[WBA3-Commission]/2,IF(BetTable[Outcome3]="Lose Half Stake",BetTable[S3]/2,IF(BetTable[Outcome3]="Lose",0,IF(BetTable[Outcome3]="Void",BetTable[S3],)))))</f>
        <v>0</v>
      </c>
      <c r="AI652" s="168">
        <f>IF(BetTable[Outcome]="",AI651,BetTable[Result]+AI651)</f>
        <v>1248.0532500000006</v>
      </c>
      <c r="AJ652" s="160"/>
    </row>
    <row r="653" spans="1:36" x14ac:dyDescent="0.2">
      <c r="A653" s="159" t="s">
        <v>1790</v>
      </c>
      <c r="B653" s="160" t="s">
        <v>200</v>
      </c>
      <c r="C653" s="161" t="s">
        <v>1714</v>
      </c>
      <c r="D653" s="161"/>
      <c r="E653" s="161"/>
      <c r="F653" s="162"/>
      <c r="G653" s="162"/>
      <c r="H653" s="162"/>
      <c r="I653" s="160" t="s">
        <v>1813</v>
      </c>
      <c r="J653" s="163">
        <v>1.85</v>
      </c>
      <c r="K653" s="163"/>
      <c r="L653" s="163"/>
      <c r="M653" s="164">
        <v>66</v>
      </c>
      <c r="N653" s="164"/>
      <c r="O653" s="164"/>
      <c r="P653" s="159" t="s">
        <v>1572</v>
      </c>
      <c r="Q653" s="159" t="s">
        <v>1171</v>
      </c>
      <c r="R653" s="159" t="s">
        <v>1814</v>
      </c>
      <c r="S653" s="165">
        <v>3.6126660739382803E-2</v>
      </c>
      <c r="T653" s="166" t="s">
        <v>382</v>
      </c>
      <c r="U653" s="166"/>
      <c r="V653" s="166"/>
      <c r="W653" s="167">
        <f>IF(BetTable[Sport]="","",BetTable[Stake]+BetTable[S2]+BetTable[S3])</f>
        <v>66</v>
      </c>
      <c r="X653" s="164">
        <f>IF(BetTable[Odds]="","",(BetTable[WBA1-Commission])-BetTable[TS])</f>
        <v>56.100000000000009</v>
      </c>
      <c r="Y653" s="168">
        <f>IF(BetTable[Outcome]="","",BetTable[WBA1]+BetTable[WBA2]+BetTable[WBA3]-BetTable[TS])</f>
        <v>-66</v>
      </c>
      <c r="Z653" s="164">
        <f>(((BetTable[Odds]-1)*BetTable[Stake])*(1-(BetTable[Comm %]))+BetTable[Stake])</f>
        <v>122.10000000000001</v>
      </c>
      <c r="AA653" s="164">
        <f>(((BetTable[O2]-1)*BetTable[S2])*(1-(BetTable[C% 2]))+BetTable[S2])</f>
        <v>0</v>
      </c>
      <c r="AB653" s="164">
        <f>(((BetTable[O3]-1)*BetTable[S3])*(1-(BetTable[C% 3]))+BetTable[S3])</f>
        <v>0</v>
      </c>
      <c r="AC653" s="165">
        <f>IFERROR(IF(BetTable[Sport]="","",BetTable[R1]/BetTable[TS]),"")</f>
        <v>0.85000000000000009</v>
      </c>
      <c r="AD653" s="165" t="str">
        <f>IF(BetTable[O2]="","",#REF!/BetTable[TS])</f>
        <v/>
      </c>
      <c r="AE653" s="165" t="str">
        <f>IFERROR(IF(BetTable[Sport]="","",#REF!/BetTable[TS]),"")</f>
        <v/>
      </c>
      <c r="AF653" s="164">
        <f>IF(BetTable[Outcome]="Win",BetTable[WBA1-Commission],IF(BetTable[Outcome]="Win Half Stake",(BetTable[Stake]/2)+BetTable[WBA1-Commission]/2,IF(BetTable[Outcome]="Lose Half Stake",BetTable[Stake]/2,IF(BetTable[Outcome]="Lose",0,IF(BetTable[Outcome]="Void",BetTable[Stake],)))))</f>
        <v>0</v>
      </c>
      <c r="AG653" s="164">
        <f>IF(BetTable[Outcome2]="Win",BetTable[WBA2-Commission],IF(BetTable[Outcome2]="Win Half Stake",(BetTable[S2]/2)+BetTable[WBA2-Commission]/2,IF(BetTable[Outcome2]="Lose Half Stake",BetTable[S2]/2,IF(BetTable[Outcome2]="Lose",0,IF(BetTable[Outcome2]="Void",BetTable[S2],)))))</f>
        <v>0</v>
      </c>
      <c r="AH653" s="164">
        <f>IF(BetTable[Outcome3]="Win",BetTable[WBA3-Commission],IF(BetTable[Outcome3]="Win Half Stake",(BetTable[S3]/2)+BetTable[WBA3-Commission]/2,IF(BetTable[Outcome3]="Lose Half Stake",BetTable[S3]/2,IF(BetTable[Outcome3]="Lose",0,IF(BetTable[Outcome3]="Void",BetTable[S3],)))))</f>
        <v>0</v>
      </c>
      <c r="AI653" s="168">
        <f>IF(BetTable[Outcome]="",AI652,BetTable[Result]+AI652)</f>
        <v>1182.0532500000006</v>
      </c>
      <c r="AJ653" s="160"/>
    </row>
    <row r="654" spans="1:36" x14ac:dyDescent="0.2">
      <c r="A654" s="159" t="s">
        <v>1790</v>
      </c>
      <c r="B654" s="160" t="s">
        <v>200</v>
      </c>
      <c r="C654" s="161" t="s">
        <v>1714</v>
      </c>
      <c r="D654" s="161"/>
      <c r="E654" s="161"/>
      <c r="F654" s="162"/>
      <c r="G654" s="162"/>
      <c r="H654" s="162"/>
      <c r="I654" s="160" t="s">
        <v>1815</v>
      </c>
      <c r="J654" s="163">
        <v>1.62</v>
      </c>
      <c r="K654" s="163"/>
      <c r="L654" s="163"/>
      <c r="M654" s="164">
        <v>47</v>
      </c>
      <c r="N654" s="164"/>
      <c r="O654" s="164"/>
      <c r="P654" s="159" t="s">
        <v>1565</v>
      </c>
      <c r="Q654" s="159" t="s">
        <v>968</v>
      </c>
      <c r="R654" s="159" t="s">
        <v>1816</v>
      </c>
      <c r="S654" s="165">
        <v>1.8919807380193901E-2</v>
      </c>
      <c r="T654" s="166" t="s">
        <v>372</v>
      </c>
      <c r="U654" s="166"/>
      <c r="V654" s="166"/>
      <c r="W654" s="167">
        <f>IF(BetTable[Sport]="","",BetTable[Stake]+BetTable[S2]+BetTable[S3])</f>
        <v>47</v>
      </c>
      <c r="X654" s="164">
        <f>IF(BetTable[Odds]="","",(BetTable[WBA1-Commission])-BetTable[TS])</f>
        <v>29.14</v>
      </c>
      <c r="Y654" s="168">
        <f>IF(BetTable[Outcome]="","",BetTable[WBA1]+BetTable[WBA2]+BetTable[WBA3]-BetTable[TS])</f>
        <v>29.14</v>
      </c>
      <c r="Z654" s="164">
        <f>(((BetTable[Odds]-1)*BetTable[Stake])*(1-(BetTable[Comm %]))+BetTable[Stake])</f>
        <v>76.14</v>
      </c>
      <c r="AA654" s="164">
        <f>(((BetTable[O2]-1)*BetTable[S2])*(1-(BetTable[C% 2]))+BetTable[S2])</f>
        <v>0</v>
      </c>
      <c r="AB654" s="164">
        <f>(((BetTable[O3]-1)*BetTable[S3])*(1-(BetTable[C% 3]))+BetTable[S3])</f>
        <v>0</v>
      </c>
      <c r="AC654" s="165">
        <f>IFERROR(IF(BetTable[Sport]="","",BetTable[R1]/BetTable[TS]),"")</f>
        <v>0.62</v>
      </c>
      <c r="AD654" s="165" t="str">
        <f>IF(BetTable[O2]="","",#REF!/BetTable[TS])</f>
        <v/>
      </c>
      <c r="AE654" s="165" t="str">
        <f>IFERROR(IF(BetTable[Sport]="","",#REF!/BetTable[TS]),"")</f>
        <v/>
      </c>
      <c r="AF654" s="164">
        <f>IF(BetTable[Outcome]="Win",BetTable[WBA1-Commission],IF(BetTable[Outcome]="Win Half Stake",(BetTable[Stake]/2)+BetTable[WBA1-Commission]/2,IF(BetTable[Outcome]="Lose Half Stake",BetTable[Stake]/2,IF(BetTable[Outcome]="Lose",0,IF(BetTable[Outcome]="Void",BetTable[Stake],)))))</f>
        <v>76.14</v>
      </c>
      <c r="AG654" s="164">
        <f>IF(BetTable[Outcome2]="Win",BetTable[WBA2-Commission],IF(BetTable[Outcome2]="Win Half Stake",(BetTable[S2]/2)+BetTable[WBA2-Commission]/2,IF(BetTable[Outcome2]="Lose Half Stake",BetTable[S2]/2,IF(BetTable[Outcome2]="Lose",0,IF(BetTable[Outcome2]="Void",BetTable[S2],)))))</f>
        <v>0</v>
      </c>
      <c r="AH654" s="164">
        <f>IF(BetTable[Outcome3]="Win",BetTable[WBA3-Commission],IF(BetTable[Outcome3]="Win Half Stake",(BetTable[S3]/2)+BetTable[WBA3-Commission]/2,IF(BetTable[Outcome3]="Lose Half Stake",BetTable[S3]/2,IF(BetTable[Outcome3]="Lose",0,IF(BetTable[Outcome3]="Void",BetTable[S3],)))))</f>
        <v>0</v>
      </c>
      <c r="AI654" s="168">
        <f>IF(BetTable[Outcome]="",AI653,BetTable[Result]+AI653)</f>
        <v>1211.1932500000007</v>
      </c>
      <c r="AJ654" s="160"/>
    </row>
    <row r="655" spans="1:36" x14ac:dyDescent="0.2">
      <c r="A655" s="159" t="s">
        <v>1790</v>
      </c>
      <c r="B655" s="160" t="s">
        <v>8</v>
      </c>
      <c r="C655" s="161" t="s">
        <v>216</v>
      </c>
      <c r="D655" s="161"/>
      <c r="E655" s="161"/>
      <c r="F655" s="162"/>
      <c r="G655" s="162"/>
      <c r="H655" s="162"/>
      <c r="I655" s="160" t="s">
        <v>1817</v>
      </c>
      <c r="J655" s="163">
        <v>1.5409999999999999</v>
      </c>
      <c r="K655" s="163"/>
      <c r="L655" s="163"/>
      <c r="M655" s="164">
        <v>92.5</v>
      </c>
      <c r="N655" s="164"/>
      <c r="O655" s="164"/>
      <c r="P655" s="159" t="s">
        <v>435</v>
      </c>
      <c r="Q655" s="159" t="s">
        <v>552</v>
      </c>
      <c r="R655" s="159" t="s">
        <v>1818</v>
      </c>
      <c r="S655" s="165">
        <v>4.1153435782697999E-2</v>
      </c>
      <c r="T655" s="166" t="s">
        <v>382</v>
      </c>
      <c r="U655" s="166"/>
      <c r="V655" s="166"/>
      <c r="W655" s="167">
        <f>IF(BetTable[Sport]="","",BetTable[Stake]+BetTable[S2]+BetTable[S3])</f>
        <v>92.5</v>
      </c>
      <c r="X655" s="164">
        <f>IF(BetTable[Odds]="","",(BetTable[WBA1-Commission])-BetTable[TS])</f>
        <v>50.04249999999999</v>
      </c>
      <c r="Y655" s="168">
        <f>IF(BetTable[Outcome]="","",BetTable[WBA1]+BetTable[WBA2]+BetTable[WBA3]-BetTable[TS])</f>
        <v>-92.5</v>
      </c>
      <c r="Z655" s="164">
        <f>(((BetTable[Odds]-1)*BetTable[Stake])*(1-(BetTable[Comm %]))+BetTable[Stake])</f>
        <v>142.54249999999999</v>
      </c>
      <c r="AA655" s="164">
        <f>(((BetTable[O2]-1)*BetTable[S2])*(1-(BetTable[C% 2]))+BetTable[S2])</f>
        <v>0</v>
      </c>
      <c r="AB655" s="164">
        <f>(((BetTable[O3]-1)*BetTable[S3])*(1-(BetTable[C% 3]))+BetTable[S3])</f>
        <v>0</v>
      </c>
      <c r="AC655" s="165">
        <f>IFERROR(IF(BetTable[Sport]="","",BetTable[R1]/BetTable[TS]),"")</f>
        <v>0.54099999999999993</v>
      </c>
      <c r="AD655" s="165" t="str">
        <f>IF(BetTable[O2]="","",#REF!/BetTable[TS])</f>
        <v/>
      </c>
      <c r="AE655" s="165" t="str">
        <f>IFERROR(IF(BetTable[Sport]="","",#REF!/BetTable[TS]),"")</f>
        <v/>
      </c>
      <c r="AF655" s="164">
        <f>IF(BetTable[Outcome]="Win",BetTable[WBA1-Commission],IF(BetTable[Outcome]="Win Half Stake",(BetTable[Stake]/2)+BetTable[WBA1-Commission]/2,IF(BetTable[Outcome]="Lose Half Stake",BetTable[Stake]/2,IF(BetTable[Outcome]="Lose",0,IF(BetTable[Outcome]="Void",BetTable[Stake],)))))</f>
        <v>0</v>
      </c>
      <c r="AG655" s="164">
        <f>IF(BetTable[Outcome2]="Win",BetTable[WBA2-Commission],IF(BetTable[Outcome2]="Win Half Stake",(BetTable[S2]/2)+BetTable[WBA2-Commission]/2,IF(BetTable[Outcome2]="Lose Half Stake",BetTable[S2]/2,IF(BetTable[Outcome2]="Lose",0,IF(BetTable[Outcome2]="Void",BetTable[S2],)))))</f>
        <v>0</v>
      </c>
      <c r="AH655" s="164">
        <f>IF(BetTable[Outcome3]="Win",BetTable[WBA3-Commission],IF(BetTable[Outcome3]="Win Half Stake",(BetTable[S3]/2)+BetTable[WBA3-Commission]/2,IF(BetTable[Outcome3]="Lose Half Stake",BetTable[S3]/2,IF(BetTable[Outcome3]="Lose",0,IF(BetTable[Outcome3]="Void",BetTable[S3],)))))</f>
        <v>0</v>
      </c>
      <c r="AI655" s="168">
        <f>IF(BetTable[Outcome]="",AI654,BetTable[Result]+AI654)</f>
        <v>1118.6932500000007</v>
      </c>
      <c r="AJ655" s="160"/>
    </row>
    <row r="656" spans="1:36" x14ac:dyDescent="0.2">
      <c r="A656" s="159" t="s">
        <v>1790</v>
      </c>
      <c r="B656" s="160" t="s">
        <v>175</v>
      </c>
      <c r="C656" s="161" t="s">
        <v>91</v>
      </c>
      <c r="D656" s="161"/>
      <c r="E656" s="161"/>
      <c r="F656" s="162"/>
      <c r="G656" s="162"/>
      <c r="H656" s="162"/>
      <c r="I656" s="160" t="s">
        <v>1819</v>
      </c>
      <c r="J656" s="163">
        <v>1.81</v>
      </c>
      <c r="K656" s="163"/>
      <c r="L656" s="163"/>
      <c r="M656" s="164">
        <v>35</v>
      </c>
      <c r="N656" s="164"/>
      <c r="O656" s="164"/>
      <c r="P656" s="159" t="s">
        <v>635</v>
      </c>
      <c r="Q656" s="159" t="s">
        <v>585</v>
      </c>
      <c r="R656" s="159" t="s">
        <v>1820</v>
      </c>
      <c r="S656" s="165">
        <v>1.80982684030279E-2</v>
      </c>
      <c r="T656" s="166" t="s">
        <v>372</v>
      </c>
      <c r="U656" s="166"/>
      <c r="V656" s="166"/>
      <c r="W656" s="167">
        <f>IF(BetTable[Sport]="","",BetTable[Stake]+BetTable[S2]+BetTable[S3])</f>
        <v>35</v>
      </c>
      <c r="X656" s="164">
        <f>IF(BetTable[Odds]="","",(BetTable[WBA1-Commission])-BetTable[TS])</f>
        <v>28.35</v>
      </c>
      <c r="Y656" s="168">
        <f>IF(BetTable[Outcome]="","",BetTable[WBA1]+BetTable[WBA2]+BetTable[WBA3]-BetTable[TS])</f>
        <v>28.35</v>
      </c>
      <c r="Z656" s="164">
        <f>(((BetTable[Odds]-1)*BetTable[Stake])*(1-(BetTable[Comm %]))+BetTable[Stake])</f>
        <v>63.35</v>
      </c>
      <c r="AA656" s="164">
        <f>(((BetTable[O2]-1)*BetTable[S2])*(1-(BetTable[C% 2]))+BetTable[S2])</f>
        <v>0</v>
      </c>
      <c r="AB656" s="164">
        <f>(((BetTable[O3]-1)*BetTable[S3])*(1-(BetTable[C% 3]))+BetTable[S3])</f>
        <v>0</v>
      </c>
      <c r="AC656" s="165">
        <f>IFERROR(IF(BetTable[Sport]="","",BetTable[R1]/BetTable[TS]),"")</f>
        <v>0.81</v>
      </c>
      <c r="AD656" s="165" t="str">
        <f>IF(BetTable[O2]="","",#REF!/BetTable[TS])</f>
        <v/>
      </c>
      <c r="AE656" s="165" t="str">
        <f>IFERROR(IF(BetTable[Sport]="","",#REF!/BetTable[TS]),"")</f>
        <v/>
      </c>
      <c r="AF656" s="164">
        <f>IF(BetTable[Outcome]="Win",BetTable[WBA1-Commission],IF(BetTable[Outcome]="Win Half Stake",(BetTable[Stake]/2)+BetTable[WBA1-Commission]/2,IF(BetTable[Outcome]="Lose Half Stake",BetTable[Stake]/2,IF(BetTable[Outcome]="Lose",0,IF(BetTable[Outcome]="Void",BetTable[Stake],)))))</f>
        <v>63.35</v>
      </c>
      <c r="AG656" s="164">
        <f>IF(BetTable[Outcome2]="Win",BetTable[WBA2-Commission],IF(BetTable[Outcome2]="Win Half Stake",(BetTable[S2]/2)+BetTable[WBA2-Commission]/2,IF(BetTable[Outcome2]="Lose Half Stake",BetTable[S2]/2,IF(BetTable[Outcome2]="Lose",0,IF(BetTable[Outcome2]="Void",BetTable[S2],)))))</f>
        <v>0</v>
      </c>
      <c r="AH656" s="164">
        <f>IF(BetTable[Outcome3]="Win",BetTable[WBA3-Commission],IF(BetTable[Outcome3]="Win Half Stake",(BetTable[S3]/2)+BetTable[WBA3-Commission]/2,IF(BetTable[Outcome3]="Lose Half Stake",BetTable[S3]/2,IF(BetTable[Outcome3]="Lose",0,IF(BetTable[Outcome3]="Void",BetTable[S3],)))))</f>
        <v>0</v>
      </c>
      <c r="AI656" s="168">
        <f>IF(BetTable[Outcome]="",AI655,BetTable[Result]+AI655)</f>
        <v>1147.0432500000006</v>
      </c>
      <c r="AJ656" s="160"/>
    </row>
    <row r="657" spans="1:36" x14ac:dyDescent="0.2">
      <c r="A657" s="159" t="s">
        <v>1790</v>
      </c>
      <c r="B657" s="160" t="s">
        <v>200</v>
      </c>
      <c r="C657" s="161" t="s">
        <v>1714</v>
      </c>
      <c r="D657" s="161"/>
      <c r="E657" s="161"/>
      <c r="F657" s="162"/>
      <c r="G657" s="162"/>
      <c r="H657" s="162"/>
      <c r="I657" s="160" t="s">
        <v>1821</v>
      </c>
      <c r="J657" s="163">
        <v>2.95</v>
      </c>
      <c r="K657" s="163"/>
      <c r="L657" s="163"/>
      <c r="M657" s="164">
        <v>13</v>
      </c>
      <c r="N657" s="164"/>
      <c r="O657" s="164"/>
      <c r="P657" s="159" t="s">
        <v>494</v>
      </c>
      <c r="Q657" s="159" t="s">
        <v>773</v>
      </c>
      <c r="R657" s="159" t="s">
        <v>1822</v>
      </c>
      <c r="S657" s="165">
        <v>1.6190497951225399E-2</v>
      </c>
      <c r="T657" s="166" t="s">
        <v>372</v>
      </c>
      <c r="U657" s="166"/>
      <c r="V657" s="166"/>
      <c r="W657" s="167">
        <f>IF(BetTable[Sport]="","",BetTable[Stake]+BetTable[S2]+BetTable[S3])</f>
        <v>13</v>
      </c>
      <c r="X657" s="164">
        <f>IF(BetTable[Odds]="","",(BetTable[WBA1-Commission])-BetTable[TS])</f>
        <v>25.35</v>
      </c>
      <c r="Y657" s="168">
        <f>IF(BetTable[Outcome]="","",BetTable[WBA1]+BetTable[WBA2]+BetTable[WBA3]-BetTable[TS])</f>
        <v>25.35</v>
      </c>
      <c r="Z657" s="164">
        <f>(((BetTable[Odds]-1)*BetTable[Stake])*(1-(BetTable[Comm %]))+BetTable[Stake])</f>
        <v>38.35</v>
      </c>
      <c r="AA657" s="164">
        <f>(((BetTable[O2]-1)*BetTable[S2])*(1-(BetTable[C% 2]))+BetTable[S2])</f>
        <v>0</v>
      </c>
      <c r="AB657" s="164">
        <f>(((BetTable[O3]-1)*BetTable[S3])*(1-(BetTable[C% 3]))+BetTable[S3])</f>
        <v>0</v>
      </c>
      <c r="AC657" s="165">
        <f>IFERROR(IF(BetTable[Sport]="","",BetTable[R1]/BetTable[TS]),"")</f>
        <v>1.9500000000000002</v>
      </c>
      <c r="AD657" s="165" t="str">
        <f>IF(BetTable[O2]="","",#REF!/BetTable[TS])</f>
        <v/>
      </c>
      <c r="AE657" s="165" t="str">
        <f>IFERROR(IF(BetTable[Sport]="","",#REF!/BetTable[TS]),"")</f>
        <v/>
      </c>
      <c r="AF657" s="164">
        <f>IF(BetTable[Outcome]="Win",BetTable[WBA1-Commission],IF(BetTable[Outcome]="Win Half Stake",(BetTable[Stake]/2)+BetTable[WBA1-Commission]/2,IF(BetTable[Outcome]="Lose Half Stake",BetTable[Stake]/2,IF(BetTable[Outcome]="Lose",0,IF(BetTable[Outcome]="Void",BetTable[Stake],)))))</f>
        <v>38.35</v>
      </c>
      <c r="AG657" s="164">
        <f>IF(BetTable[Outcome2]="Win",BetTable[WBA2-Commission],IF(BetTable[Outcome2]="Win Half Stake",(BetTable[S2]/2)+BetTable[WBA2-Commission]/2,IF(BetTable[Outcome2]="Lose Half Stake",BetTable[S2]/2,IF(BetTable[Outcome2]="Lose",0,IF(BetTable[Outcome2]="Void",BetTable[S2],)))))</f>
        <v>0</v>
      </c>
      <c r="AH657" s="164">
        <f>IF(BetTable[Outcome3]="Win",BetTable[WBA3-Commission],IF(BetTable[Outcome3]="Win Half Stake",(BetTable[S3]/2)+BetTable[WBA3-Commission]/2,IF(BetTable[Outcome3]="Lose Half Stake",BetTable[S3]/2,IF(BetTable[Outcome3]="Lose",0,IF(BetTable[Outcome3]="Void",BetTable[S3],)))))</f>
        <v>0</v>
      </c>
      <c r="AI657" s="168">
        <f>IF(BetTable[Outcome]="",AI656,BetTable[Result]+AI656)</f>
        <v>1172.3932500000005</v>
      </c>
      <c r="AJ657" s="160"/>
    </row>
    <row r="658" spans="1:36" x14ac:dyDescent="0.2">
      <c r="A658" s="159" t="s">
        <v>1790</v>
      </c>
      <c r="B658" s="160" t="s">
        <v>9</v>
      </c>
      <c r="C658" s="161" t="s">
        <v>216</v>
      </c>
      <c r="D658" s="161"/>
      <c r="E658" s="161"/>
      <c r="F658" s="162"/>
      <c r="G658" s="162"/>
      <c r="H658" s="162"/>
      <c r="I658" s="160" t="s">
        <v>1823</v>
      </c>
      <c r="J658" s="163">
        <v>1.8</v>
      </c>
      <c r="K658" s="163"/>
      <c r="L658" s="163"/>
      <c r="M658" s="164">
        <v>32</v>
      </c>
      <c r="N658" s="164"/>
      <c r="O658" s="164"/>
      <c r="P658" s="159" t="s">
        <v>1044</v>
      </c>
      <c r="Q658" s="159" t="s">
        <v>439</v>
      </c>
      <c r="R658" s="159" t="s">
        <v>1824</v>
      </c>
      <c r="S658" s="165">
        <v>4.2858693881982497E-2</v>
      </c>
      <c r="T658" s="166" t="s">
        <v>382</v>
      </c>
      <c r="U658" s="166"/>
      <c r="V658" s="166"/>
      <c r="W658" s="167">
        <f>IF(BetTable[Sport]="","",BetTable[Stake]+BetTable[S2]+BetTable[S3])</f>
        <v>32</v>
      </c>
      <c r="X658" s="164">
        <f>IF(BetTable[Odds]="","",(BetTable[WBA1-Commission])-BetTable[TS])</f>
        <v>25.6</v>
      </c>
      <c r="Y658" s="168">
        <f>IF(BetTable[Outcome]="","",BetTable[WBA1]+BetTable[WBA2]+BetTable[WBA3]-BetTable[TS])</f>
        <v>-32</v>
      </c>
      <c r="Z658" s="164">
        <f>(((BetTable[Odds]-1)*BetTable[Stake])*(1-(BetTable[Comm %]))+BetTable[Stake])</f>
        <v>57.6</v>
      </c>
      <c r="AA658" s="164">
        <f>(((BetTable[O2]-1)*BetTable[S2])*(1-(BetTable[C% 2]))+BetTable[S2])</f>
        <v>0</v>
      </c>
      <c r="AB658" s="164">
        <f>(((BetTable[O3]-1)*BetTable[S3])*(1-(BetTable[C% 3]))+BetTable[S3])</f>
        <v>0</v>
      </c>
      <c r="AC658" s="165">
        <f>IFERROR(IF(BetTable[Sport]="","",BetTable[R1]/BetTable[TS]),"")</f>
        <v>0.8</v>
      </c>
      <c r="AD658" s="165" t="str">
        <f>IF(BetTable[O2]="","",#REF!/BetTable[TS])</f>
        <v/>
      </c>
      <c r="AE658" s="165" t="str">
        <f>IFERROR(IF(BetTable[Sport]="","",#REF!/BetTable[TS]),"")</f>
        <v/>
      </c>
      <c r="AF658" s="164">
        <f>IF(BetTable[Outcome]="Win",BetTable[WBA1-Commission],IF(BetTable[Outcome]="Win Half Stake",(BetTable[Stake]/2)+BetTable[WBA1-Commission]/2,IF(BetTable[Outcome]="Lose Half Stake",BetTable[Stake]/2,IF(BetTable[Outcome]="Lose",0,IF(BetTable[Outcome]="Void",BetTable[Stake],)))))</f>
        <v>0</v>
      </c>
      <c r="AG658" s="164">
        <f>IF(BetTable[Outcome2]="Win",BetTable[WBA2-Commission],IF(BetTable[Outcome2]="Win Half Stake",(BetTable[S2]/2)+BetTable[WBA2-Commission]/2,IF(BetTable[Outcome2]="Lose Half Stake",BetTable[S2]/2,IF(BetTable[Outcome2]="Lose",0,IF(BetTable[Outcome2]="Void",BetTable[S2],)))))</f>
        <v>0</v>
      </c>
      <c r="AH658" s="164">
        <f>IF(BetTable[Outcome3]="Win",BetTable[WBA3-Commission],IF(BetTable[Outcome3]="Win Half Stake",(BetTable[S3]/2)+BetTable[WBA3-Commission]/2,IF(BetTable[Outcome3]="Lose Half Stake",BetTable[S3]/2,IF(BetTable[Outcome3]="Lose",0,IF(BetTable[Outcome3]="Void",BetTable[S3],)))))</f>
        <v>0</v>
      </c>
      <c r="AI658" s="168">
        <f>IF(BetTable[Outcome]="",AI657,BetTable[Result]+AI657)</f>
        <v>1140.3932500000005</v>
      </c>
      <c r="AJ658" s="160"/>
    </row>
    <row r="659" spans="1:36" x14ac:dyDescent="0.2">
      <c r="A659" s="159" t="s">
        <v>1790</v>
      </c>
      <c r="B659" s="160" t="s">
        <v>9</v>
      </c>
      <c r="C659" s="161" t="s">
        <v>216</v>
      </c>
      <c r="D659" s="161"/>
      <c r="E659" s="161"/>
      <c r="F659" s="162"/>
      <c r="G659" s="162"/>
      <c r="H659" s="162"/>
      <c r="I659" s="160" t="s">
        <v>1825</v>
      </c>
      <c r="J659" s="163">
        <v>1.8</v>
      </c>
      <c r="K659" s="163"/>
      <c r="L659" s="163"/>
      <c r="M659" s="164">
        <v>32</v>
      </c>
      <c r="N659" s="164"/>
      <c r="O659" s="164"/>
      <c r="P659" s="159" t="s">
        <v>1086</v>
      </c>
      <c r="Q659" s="159" t="s">
        <v>461</v>
      </c>
      <c r="R659" s="159" t="s">
        <v>1826</v>
      </c>
      <c r="S659" s="165">
        <v>1.6785810887051701E-2</v>
      </c>
      <c r="T659" s="166" t="s">
        <v>382</v>
      </c>
      <c r="U659" s="166"/>
      <c r="V659" s="166"/>
      <c r="W659" s="167">
        <f>IF(BetTable[Sport]="","",BetTable[Stake]+BetTable[S2]+BetTable[S3])</f>
        <v>32</v>
      </c>
      <c r="X659" s="164">
        <f>IF(BetTable[Odds]="","",(BetTable[WBA1-Commission])-BetTable[TS])</f>
        <v>25.6</v>
      </c>
      <c r="Y659" s="168">
        <f>IF(BetTable[Outcome]="","",BetTable[WBA1]+BetTable[WBA2]+BetTable[WBA3]-BetTable[TS])</f>
        <v>-32</v>
      </c>
      <c r="Z659" s="164">
        <f>(((BetTable[Odds]-1)*BetTable[Stake])*(1-(BetTable[Comm %]))+BetTable[Stake])</f>
        <v>57.6</v>
      </c>
      <c r="AA659" s="164">
        <f>(((BetTable[O2]-1)*BetTable[S2])*(1-(BetTable[C% 2]))+BetTable[S2])</f>
        <v>0</v>
      </c>
      <c r="AB659" s="164">
        <f>(((BetTable[O3]-1)*BetTable[S3])*(1-(BetTable[C% 3]))+BetTable[S3])</f>
        <v>0</v>
      </c>
      <c r="AC659" s="165">
        <f>IFERROR(IF(BetTable[Sport]="","",BetTable[R1]/BetTable[TS]),"")</f>
        <v>0.8</v>
      </c>
      <c r="AD659" s="165" t="str">
        <f>IF(BetTable[O2]="","",#REF!/BetTable[TS])</f>
        <v/>
      </c>
      <c r="AE659" s="165" t="str">
        <f>IFERROR(IF(BetTable[Sport]="","",#REF!/BetTable[TS]),"")</f>
        <v/>
      </c>
      <c r="AF659" s="164">
        <f>IF(BetTable[Outcome]="Win",BetTable[WBA1-Commission],IF(BetTable[Outcome]="Win Half Stake",(BetTable[Stake]/2)+BetTable[WBA1-Commission]/2,IF(BetTable[Outcome]="Lose Half Stake",BetTable[Stake]/2,IF(BetTable[Outcome]="Lose",0,IF(BetTable[Outcome]="Void",BetTable[Stake],)))))</f>
        <v>0</v>
      </c>
      <c r="AG659" s="164">
        <f>IF(BetTable[Outcome2]="Win",BetTable[WBA2-Commission],IF(BetTable[Outcome2]="Win Half Stake",(BetTable[S2]/2)+BetTable[WBA2-Commission]/2,IF(BetTable[Outcome2]="Lose Half Stake",BetTable[S2]/2,IF(BetTable[Outcome2]="Lose",0,IF(BetTable[Outcome2]="Void",BetTable[S2],)))))</f>
        <v>0</v>
      </c>
      <c r="AH659" s="164">
        <f>IF(BetTable[Outcome3]="Win",BetTable[WBA3-Commission],IF(BetTable[Outcome3]="Win Half Stake",(BetTable[S3]/2)+BetTable[WBA3-Commission]/2,IF(BetTable[Outcome3]="Lose Half Stake",BetTable[S3]/2,IF(BetTable[Outcome3]="Lose",0,IF(BetTable[Outcome3]="Void",BetTable[S3],)))))</f>
        <v>0</v>
      </c>
      <c r="AI659" s="168">
        <f>IF(BetTable[Outcome]="",AI658,BetTable[Result]+AI658)</f>
        <v>1108.3932500000005</v>
      </c>
      <c r="AJ659" s="160"/>
    </row>
    <row r="660" spans="1:36" x14ac:dyDescent="0.2">
      <c r="A660" s="159" t="s">
        <v>1790</v>
      </c>
      <c r="B660" s="160" t="s">
        <v>9</v>
      </c>
      <c r="C660" s="161" t="s">
        <v>216</v>
      </c>
      <c r="D660" s="161"/>
      <c r="E660" s="161"/>
      <c r="F660" s="162"/>
      <c r="G660" s="162"/>
      <c r="H660" s="162"/>
      <c r="I660" s="160" t="s">
        <v>1827</v>
      </c>
      <c r="J660" s="163">
        <v>2</v>
      </c>
      <c r="K660" s="163"/>
      <c r="L660" s="163"/>
      <c r="M660" s="164">
        <v>29</v>
      </c>
      <c r="N660" s="164"/>
      <c r="O660" s="164"/>
      <c r="P660" s="159" t="s">
        <v>635</v>
      </c>
      <c r="Q660" s="159" t="s">
        <v>461</v>
      </c>
      <c r="R660" s="159" t="s">
        <v>1828</v>
      </c>
      <c r="S660" s="165">
        <v>1.9044112680638801E-2</v>
      </c>
      <c r="T660" s="166" t="s">
        <v>382</v>
      </c>
      <c r="U660" s="166"/>
      <c r="V660" s="166"/>
      <c r="W660" s="167">
        <f>IF(BetTable[Sport]="","",BetTable[Stake]+BetTable[S2]+BetTable[S3])</f>
        <v>29</v>
      </c>
      <c r="X660" s="164">
        <f>IF(BetTable[Odds]="","",(BetTable[WBA1-Commission])-BetTable[TS])</f>
        <v>29</v>
      </c>
      <c r="Y660" s="168">
        <f>IF(BetTable[Outcome]="","",BetTable[WBA1]+BetTable[WBA2]+BetTable[WBA3]-BetTable[TS])</f>
        <v>-29</v>
      </c>
      <c r="Z660" s="164">
        <f>(((BetTable[Odds]-1)*BetTable[Stake])*(1-(BetTable[Comm %]))+BetTable[Stake])</f>
        <v>58</v>
      </c>
      <c r="AA660" s="164">
        <f>(((BetTable[O2]-1)*BetTable[S2])*(1-(BetTable[C% 2]))+BetTable[S2])</f>
        <v>0</v>
      </c>
      <c r="AB660" s="164">
        <f>(((BetTable[O3]-1)*BetTable[S3])*(1-(BetTable[C% 3]))+BetTable[S3])</f>
        <v>0</v>
      </c>
      <c r="AC660" s="165">
        <f>IFERROR(IF(BetTable[Sport]="","",BetTable[R1]/BetTable[TS]),"")</f>
        <v>1</v>
      </c>
      <c r="AD660" s="165" t="str">
        <f>IF(BetTable[O2]="","",#REF!/BetTable[TS])</f>
        <v/>
      </c>
      <c r="AE660" s="165" t="str">
        <f>IFERROR(IF(BetTable[Sport]="","",#REF!/BetTable[TS]),"")</f>
        <v/>
      </c>
      <c r="AF660" s="164">
        <f>IF(BetTable[Outcome]="Win",BetTable[WBA1-Commission],IF(BetTable[Outcome]="Win Half Stake",(BetTable[Stake]/2)+BetTable[WBA1-Commission]/2,IF(BetTable[Outcome]="Lose Half Stake",BetTable[Stake]/2,IF(BetTable[Outcome]="Lose",0,IF(BetTable[Outcome]="Void",BetTable[Stake],)))))</f>
        <v>0</v>
      </c>
      <c r="AG660" s="164">
        <f>IF(BetTable[Outcome2]="Win",BetTable[WBA2-Commission],IF(BetTable[Outcome2]="Win Half Stake",(BetTable[S2]/2)+BetTable[WBA2-Commission]/2,IF(BetTable[Outcome2]="Lose Half Stake",BetTable[S2]/2,IF(BetTable[Outcome2]="Lose",0,IF(BetTable[Outcome2]="Void",BetTable[S2],)))))</f>
        <v>0</v>
      </c>
      <c r="AH660" s="164">
        <f>IF(BetTable[Outcome3]="Win",BetTable[WBA3-Commission],IF(BetTable[Outcome3]="Win Half Stake",(BetTable[S3]/2)+BetTable[WBA3-Commission]/2,IF(BetTable[Outcome3]="Lose Half Stake",BetTable[S3]/2,IF(BetTable[Outcome3]="Lose",0,IF(BetTable[Outcome3]="Void",BetTable[S3],)))))</f>
        <v>0</v>
      </c>
      <c r="AI660" s="168">
        <f>IF(BetTable[Outcome]="",AI659,BetTable[Result]+AI659)</f>
        <v>1079.3932500000005</v>
      </c>
      <c r="AJ660" s="160"/>
    </row>
    <row r="661" spans="1:36" x14ac:dyDescent="0.2">
      <c r="A661" s="159" t="s">
        <v>1790</v>
      </c>
      <c r="B661" s="160" t="s">
        <v>9</v>
      </c>
      <c r="C661" s="161" t="s">
        <v>216</v>
      </c>
      <c r="D661" s="161"/>
      <c r="E661" s="161"/>
      <c r="F661" s="162"/>
      <c r="G661" s="162"/>
      <c r="H661" s="162"/>
      <c r="I661" s="160" t="s">
        <v>1829</v>
      </c>
      <c r="J661" s="163">
        <v>2</v>
      </c>
      <c r="K661" s="163"/>
      <c r="L661" s="163"/>
      <c r="M661" s="164">
        <v>25</v>
      </c>
      <c r="N661" s="164"/>
      <c r="O661" s="164"/>
      <c r="P661" s="159" t="s">
        <v>791</v>
      </c>
      <c r="Q661" s="159" t="s">
        <v>485</v>
      </c>
      <c r="R661" s="159" t="s">
        <v>1830</v>
      </c>
      <c r="S661" s="165">
        <v>1.8497567634118101E-2</v>
      </c>
      <c r="T661" s="166" t="s">
        <v>382</v>
      </c>
      <c r="U661" s="166"/>
      <c r="V661" s="166"/>
      <c r="W661" s="167">
        <f>IF(BetTable[Sport]="","",BetTable[Stake]+BetTable[S2]+BetTable[S3])</f>
        <v>25</v>
      </c>
      <c r="X661" s="164">
        <f>IF(BetTable[Odds]="","",(BetTable[WBA1-Commission])-BetTable[TS])</f>
        <v>25</v>
      </c>
      <c r="Y661" s="168">
        <f>IF(BetTable[Outcome]="","",BetTable[WBA1]+BetTable[WBA2]+BetTable[WBA3]-BetTable[TS])</f>
        <v>-25</v>
      </c>
      <c r="Z661" s="164">
        <f>(((BetTable[Odds]-1)*BetTable[Stake])*(1-(BetTable[Comm %]))+BetTable[Stake])</f>
        <v>50</v>
      </c>
      <c r="AA661" s="164">
        <f>(((BetTable[O2]-1)*BetTable[S2])*(1-(BetTable[C% 2]))+BetTable[S2])</f>
        <v>0</v>
      </c>
      <c r="AB661" s="164">
        <f>(((BetTable[O3]-1)*BetTable[S3])*(1-(BetTable[C% 3]))+BetTable[S3])</f>
        <v>0</v>
      </c>
      <c r="AC661" s="165">
        <f>IFERROR(IF(BetTable[Sport]="","",BetTable[R1]/BetTable[TS]),"")</f>
        <v>1</v>
      </c>
      <c r="AD661" s="165" t="str">
        <f>IF(BetTable[O2]="","",#REF!/BetTable[TS])</f>
        <v/>
      </c>
      <c r="AE661" s="165" t="str">
        <f>IFERROR(IF(BetTable[Sport]="","",#REF!/BetTable[TS]),"")</f>
        <v/>
      </c>
      <c r="AF661" s="164">
        <f>IF(BetTable[Outcome]="Win",BetTable[WBA1-Commission],IF(BetTable[Outcome]="Win Half Stake",(BetTable[Stake]/2)+BetTable[WBA1-Commission]/2,IF(BetTable[Outcome]="Lose Half Stake",BetTable[Stake]/2,IF(BetTable[Outcome]="Lose",0,IF(BetTable[Outcome]="Void",BetTable[Stake],)))))</f>
        <v>0</v>
      </c>
      <c r="AG661" s="164">
        <f>IF(BetTable[Outcome2]="Win",BetTable[WBA2-Commission],IF(BetTable[Outcome2]="Win Half Stake",(BetTable[S2]/2)+BetTable[WBA2-Commission]/2,IF(BetTable[Outcome2]="Lose Half Stake",BetTable[S2]/2,IF(BetTable[Outcome2]="Lose",0,IF(BetTable[Outcome2]="Void",BetTable[S2],)))))</f>
        <v>0</v>
      </c>
      <c r="AH661" s="164">
        <f>IF(BetTable[Outcome3]="Win",BetTable[WBA3-Commission],IF(BetTable[Outcome3]="Win Half Stake",(BetTable[S3]/2)+BetTable[WBA3-Commission]/2,IF(BetTable[Outcome3]="Lose Half Stake",BetTable[S3]/2,IF(BetTable[Outcome3]="Lose",0,IF(BetTable[Outcome3]="Void",BetTable[S3],)))))</f>
        <v>0</v>
      </c>
      <c r="AI661" s="168">
        <f>IF(BetTable[Outcome]="",AI660,BetTable[Result]+AI660)</f>
        <v>1054.3932500000005</v>
      </c>
      <c r="AJ661" s="160"/>
    </row>
    <row r="662" spans="1:36" x14ac:dyDescent="0.2">
      <c r="A662" s="159" t="s">
        <v>1790</v>
      </c>
      <c r="B662" s="160" t="s">
        <v>200</v>
      </c>
      <c r="C662" s="161" t="s">
        <v>1714</v>
      </c>
      <c r="D662" s="161"/>
      <c r="E662" s="161"/>
      <c r="F662" s="162"/>
      <c r="G662" s="162"/>
      <c r="H662" s="162"/>
      <c r="I662" s="160" t="s">
        <v>1831</v>
      </c>
      <c r="J662" s="163">
        <v>2.234</v>
      </c>
      <c r="K662" s="163"/>
      <c r="L662" s="163"/>
      <c r="M662" s="164">
        <v>21</v>
      </c>
      <c r="N662" s="164"/>
      <c r="O662" s="164"/>
      <c r="P662" s="159" t="s">
        <v>782</v>
      </c>
      <c r="Q662" s="159" t="s">
        <v>1171</v>
      </c>
      <c r="R662" s="159" t="s">
        <v>1832</v>
      </c>
      <c r="S662" s="165">
        <v>1.6483079522226701E-2</v>
      </c>
      <c r="T662" s="166" t="s">
        <v>382</v>
      </c>
      <c r="U662" s="166"/>
      <c r="V662" s="166"/>
      <c r="W662" s="167">
        <f>IF(BetTable[Sport]="","",BetTable[Stake]+BetTable[S2]+BetTable[S3])</f>
        <v>21</v>
      </c>
      <c r="X662" s="164">
        <f>IF(BetTable[Odds]="","",(BetTable[WBA1-Commission])-BetTable[TS])</f>
        <v>25.914000000000001</v>
      </c>
      <c r="Y662" s="168">
        <f>IF(BetTable[Outcome]="","",BetTable[WBA1]+BetTable[WBA2]+BetTable[WBA3]-BetTable[TS])</f>
        <v>-21</v>
      </c>
      <c r="Z662" s="164">
        <f>(((BetTable[Odds]-1)*BetTable[Stake])*(1-(BetTable[Comm %]))+BetTable[Stake])</f>
        <v>46.914000000000001</v>
      </c>
      <c r="AA662" s="164">
        <f>(((BetTable[O2]-1)*BetTable[S2])*(1-(BetTable[C% 2]))+BetTable[S2])</f>
        <v>0</v>
      </c>
      <c r="AB662" s="164">
        <f>(((BetTable[O3]-1)*BetTable[S3])*(1-(BetTable[C% 3]))+BetTable[S3])</f>
        <v>0</v>
      </c>
      <c r="AC662" s="165">
        <f>IFERROR(IF(BetTable[Sport]="","",BetTable[R1]/BetTable[TS]),"")</f>
        <v>1.234</v>
      </c>
      <c r="AD662" s="165" t="str">
        <f>IF(BetTable[O2]="","",#REF!/BetTable[TS])</f>
        <v/>
      </c>
      <c r="AE662" s="165" t="str">
        <f>IFERROR(IF(BetTable[Sport]="","",#REF!/BetTable[TS]),"")</f>
        <v/>
      </c>
      <c r="AF662" s="164">
        <f>IF(BetTable[Outcome]="Win",BetTable[WBA1-Commission],IF(BetTable[Outcome]="Win Half Stake",(BetTable[Stake]/2)+BetTable[WBA1-Commission]/2,IF(BetTable[Outcome]="Lose Half Stake",BetTable[Stake]/2,IF(BetTable[Outcome]="Lose",0,IF(BetTable[Outcome]="Void",BetTable[Stake],)))))</f>
        <v>0</v>
      </c>
      <c r="AG662" s="164">
        <f>IF(BetTable[Outcome2]="Win",BetTable[WBA2-Commission],IF(BetTable[Outcome2]="Win Half Stake",(BetTable[S2]/2)+BetTable[WBA2-Commission]/2,IF(BetTable[Outcome2]="Lose Half Stake",BetTable[S2]/2,IF(BetTable[Outcome2]="Lose",0,IF(BetTable[Outcome2]="Void",BetTable[S2],)))))</f>
        <v>0</v>
      </c>
      <c r="AH662" s="164">
        <f>IF(BetTable[Outcome3]="Win",BetTable[WBA3-Commission],IF(BetTable[Outcome3]="Win Half Stake",(BetTable[S3]/2)+BetTable[WBA3-Commission]/2,IF(BetTable[Outcome3]="Lose Half Stake",BetTable[S3]/2,IF(BetTable[Outcome3]="Lose",0,IF(BetTable[Outcome3]="Void",BetTable[S3],)))))</f>
        <v>0</v>
      </c>
      <c r="AI662" s="168">
        <f>IF(BetTable[Outcome]="",AI661,BetTable[Result]+AI661)</f>
        <v>1033.3932500000005</v>
      </c>
      <c r="AJ662" s="160"/>
    </row>
    <row r="663" spans="1:36" x14ac:dyDescent="0.2">
      <c r="A663" s="159" t="s">
        <v>1790</v>
      </c>
      <c r="B663" s="160" t="s">
        <v>200</v>
      </c>
      <c r="C663" s="161" t="s">
        <v>1714</v>
      </c>
      <c r="D663" s="161"/>
      <c r="E663" s="161"/>
      <c r="F663" s="162"/>
      <c r="G663" s="162"/>
      <c r="H663" s="162"/>
      <c r="I663" s="160" t="s">
        <v>1833</v>
      </c>
      <c r="J663" s="163">
        <v>1.71</v>
      </c>
      <c r="K663" s="163"/>
      <c r="L663" s="163"/>
      <c r="M663" s="164">
        <v>41</v>
      </c>
      <c r="N663" s="164"/>
      <c r="O663" s="164"/>
      <c r="P663" s="159" t="s">
        <v>351</v>
      </c>
      <c r="Q663" s="159" t="s">
        <v>503</v>
      </c>
      <c r="R663" s="159" t="s">
        <v>1834</v>
      </c>
      <c r="S663" s="165">
        <v>1.8583359232597699E-2</v>
      </c>
      <c r="T663" s="166" t="s">
        <v>382</v>
      </c>
      <c r="U663" s="166"/>
      <c r="V663" s="166"/>
      <c r="W663" s="167">
        <f>IF(BetTable[Sport]="","",BetTable[Stake]+BetTable[S2]+BetTable[S3])</f>
        <v>41</v>
      </c>
      <c r="X663" s="164">
        <f>IF(BetTable[Odds]="","",(BetTable[WBA1-Commission])-BetTable[TS])</f>
        <v>29.11</v>
      </c>
      <c r="Y663" s="168">
        <f>IF(BetTable[Outcome]="","",BetTable[WBA1]+BetTable[WBA2]+BetTable[WBA3]-BetTable[TS])</f>
        <v>-41</v>
      </c>
      <c r="Z663" s="164">
        <f>(((BetTable[Odds]-1)*BetTable[Stake])*(1-(BetTable[Comm %]))+BetTable[Stake])</f>
        <v>70.11</v>
      </c>
      <c r="AA663" s="164">
        <f>(((BetTable[O2]-1)*BetTable[S2])*(1-(BetTable[C% 2]))+BetTable[S2])</f>
        <v>0</v>
      </c>
      <c r="AB663" s="164">
        <f>(((BetTable[O3]-1)*BetTable[S3])*(1-(BetTable[C% 3]))+BetTable[S3])</f>
        <v>0</v>
      </c>
      <c r="AC663" s="165">
        <f>IFERROR(IF(BetTable[Sport]="","",BetTable[R1]/BetTable[TS]),"")</f>
        <v>0.71</v>
      </c>
      <c r="AD663" s="165" t="str">
        <f>IF(BetTable[O2]="","",#REF!/BetTable[TS])</f>
        <v/>
      </c>
      <c r="AE663" s="165" t="str">
        <f>IFERROR(IF(BetTable[Sport]="","",#REF!/BetTable[TS]),"")</f>
        <v/>
      </c>
      <c r="AF663" s="164">
        <f>IF(BetTable[Outcome]="Win",BetTable[WBA1-Commission],IF(BetTable[Outcome]="Win Half Stake",(BetTable[Stake]/2)+BetTable[WBA1-Commission]/2,IF(BetTable[Outcome]="Lose Half Stake",BetTable[Stake]/2,IF(BetTable[Outcome]="Lose",0,IF(BetTable[Outcome]="Void",BetTable[Stake],)))))</f>
        <v>0</v>
      </c>
      <c r="AG663" s="164">
        <f>IF(BetTable[Outcome2]="Win",BetTable[WBA2-Commission],IF(BetTable[Outcome2]="Win Half Stake",(BetTable[S2]/2)+BetTable[WBA2-Commission]/2,IF(BetTable[Outcome2]="Lose Half Stake",BetTable[S2]/2,IF(BetTable[Outcome2]="Lose",0,IF(BetTable[Outcome2]="Void",BetTable[S2],)))))</f>
        <v>0</v>
      </c>
      <c r="AH663" s="164">
        <f>IF(BetTable[Outcome3]="Win",BetTable[WBA3-Commission],IF(BetTable[Outcome3]="Win Half Stake",(BetTable[S3]/2)+BetTable[WBA3-Commission]/2,IF(BetTable[Outcome3]="Lose Half Stake",BetTable[S3]/2,IF(BetTable[Outcome3]="Lose",0,IF(BetTable[Outcome3]="Void",BetTable[S3],)))))</f>
        <v>0</v>
      </c>
      <c r="AI663" s="168">
        <f>IF(BetTable[Outcome]="",AI662,BetTable[Result]+AI662)</f>
        <v>992.39325000000053</v>
      </c>
      <c r="AJ663" s="160"/>
    </row>
    <row r="664" spans="1:36" x14ac:dyDescent="0.2">
      <c r="A664" s="159" t="s">
        <v>1790</v>
      </c>
      <c r="B664" s="160" t="s">
        <v>7</v>
      </c>
      <c r="C664" s="161" t="s">
        <v>91</v>
      </c>
      <c r="D664" s="161"/>
      <c r="E664" s="161"/>
      <c r="F664" s="162"/>
      <c r="G664" s="162"/>
      <c r="H664" s="162"/>
      <c r="I664" s="160" t="s">
        <v>1835</v>
      </c>
      <c r="J664" s="163">
        <v>1.9</v>
      </c>
      <c r="K664" s="163"/>
      <c r="L664" s="163"/>
      <c r="M664" s="164">
        <v>52</v>
      </c>
      <c r="N664" s="164"/>
      <c r="O664" s="164"/>
      <c r="P664" s="159" t="s">
        <v>551</v>
      </c>
      <c r="Q664" s="159" t="s">
        <v>474</v>
      </c>
      <c r="R664" s="159" t="s">
        <v>1836</v>
      </c>
      <c r="S664" s="165">
        <v>3.0225985967819901E-2</v>
      </c>
      <c r="T664" s="166" t="s">
        <v>372</v>
      </c>
      <c r="U664" s="166"/>
      <c r="V664" s="166"/>
      <c r="W664" s="167">
        <f>IF(BetTable[Sport]="","",BetTable[Stake]+BetTable[S2]+BetTable[S3])</f>
        <v>52</v>
      </c>
      <c r="X664" s="164">
        <f>IF(BetTable[Odds]="","",(BetTable[WBA1-Commission])-BetTable[TS])</f>
        <v>46.8</v>
      </c>
      <c r="Y664" s="168">
        <f>IF(BetTable[Outcome]="","",BetTable[WBA1]+BetTable[WBA2]+BetTable[WBA3]-BetTable[TS])</f>
        <v>46.8</v>
      </c>
      <c r="Z664" s="164">
        <f>(((BetTable[Odds]-1)*BetTable[Stake])*(1-(BetTable[Comm %]))+BetTable[Stake])</f>
        <v>98.8</v>
      </c>
      <c r="AA664" s="164">
        <f>(((BetTable[O2]-1)*BetTable[S2])*(1-(BetTable[C% 2]))+BetTable[S2])</f>
        <v>0</v>
      </c>
      <c r="AB664" s="164">
        <f>(((BetTable[O3]-1)*BetTable[S3])*(1-(BetTable[C% 3]))+BetTable[S3])</f>
        <v>0</v>
      </c>
      <c r="AC664" s="165">
        <f>IFERROR(IF(BetTable[Sport]="","",BetTable[R1]/BetTable[TS]),"")</f>
        <v>0.89999999999999991</v>
      </c>
      <c r="AD664" s="165" t="str">
        <f>IF(BetTable[O2]="","",#REF!/BetTable[TS])</f>
        <v/>
      </c>
      <c r="AE664" s="165" t="str">
        <f>IFERROR(IF(BetTable[Sport]="","",#REF!/BetTable[TS]),"")</f>
        <v/>
      </c>
      <c r="AF664" s="164">
        <f>IF(BetTable[Outcome]="Win",BetTable[WBA1-Commission],IF(BetTable[Outcome]="Win Half Stake",(BetTable[Stake]/2)+BetTable[WBA1-Commission]/2,IF(BetTable[Outcome]="Lose Half Stake",BetTable[Stake]/2,IF(BetTable[Outcome]="Lose",0,IF(BetTable[Outcome]="Void",BetTable[Stake],)))))</f>
        <v>98.8</v>
      </c>
      <c r="AG664" s="164">
        <f>IF(BetTable[Outcome2]="Win",BetTable[WBA2-Commission],IF(BetTable[Outcome2]="Win Half Stake",(BetTable[S2]/2)+BetTable[WBA2-Commission]/2,IF(BetTable[Outcome2]="Lose Half Stake",BetTable[S2]/2,IF(BetTable[Outcome2]="Lose",0,IF(BetTable[Outcome2]="Void",BetTable[S2],)))))</f>
        <v>0</v>
      </c>
      <c r="AH664" s="164">
        <f>IF(BetTable[Outcome3]="Win",BetTable[WBA3-Commission],IF(BetTable[Outcome3]="Win Half Stake",(BetTable[S3]/2)+BetTable[WBA3-Commission]/2,IF(BetTable[Outcome3]="Lose Half Stake",BetTable[S3]/2,IF(BetTable[Outcome3]="Lose",0,IF(BetTable[Outcome3]="Void",BetTable[S3],)))))</f>
        <v>0</v>
      </c>
      <c r="AI664" s="168">
        <f>IF(BetTable[Outcome]="",AI663,BetTable[Result]+AI663)</f>
        <v>1039.1932500000005</v>
      </c>
      <c r="AJ664" s="160"/>
    </row>
    <row r="665" spans="1:36" x14ac:dyDescent="0.2">
      <c r="A665" s="159" t="s">
        <v>1790</v>
      </c>
      <c r="B665" s="160" t="s">
        <v>200</v>
      </c>
      <c r="C665" s="161" t="s">
        <v>1714</v>
      </c>
      <c r="D665" s="161"/>
      <c r="E665" s="161"/>
      <c r="F665" s="162"/>
      <c r="G665" s="162"/>
      <c r="H665" s="162"/>
      <c r="I665" s="160" t="s">
        <v>1837</v>
      </c>
      <c r="J665" s="163">
        <v>1.82</v>
      </c>
      <c r="K665" s="163"/>
      <c r="L665" s="163"/>
      <c r="M665" s="164">
        <v>32</v>
      </c>
      <c r="N665" s="164"/>
      <c r="O665" s="164"/>
      <c r="P665" s="159" t="s">
        <v>688</v>
      </c>
      <c r="Q665" s="159" t="s">
        <v>677</v>
      </c>
      <c r="R665" s="159" t="s">
        <v>1838</v>
      </c>
      <c r="S665" s="165">
        <v>1.6748450479644E-2</v>
      </c>
      <c r="T665" s="166" t="s">
        <v>382</v>
      </c>
      <c r="U665" s="166"/>
      <c r="V665" s="166"/>
      <c r="W665" s="167">
        <f>IF(BetTable[Sport]="","",BetTable[Stake]+BetTable[S2]+BetTable[S3])</f>
        <v>32</v>
      </c>
      <c r="X665" s="164">
        <f>IF(BetTable[Odds]="","",(BetTable[WBA1-Commission])-BetTable[TS])</f>
        <v>26.240000000000002</v>
      </c>
      <c r="Y665" s="168">
        <f>IF(BetTable[Outcome]="","",BetTable[WBA1]+BetTable[WBA2]+BetTable[WBA3]-BetTable[TS])</f>
        <v>-32</v>
      </c>
      <c r="Z665" s="164">
        <f>(((BetTable[Odds]-1)*BetTable[Stake])*(1-(BetTable[Comm %]))+BetTable[Stake])</f>
        <v>58.24</v>
      </c>
      <c r="AA665" s="164">
        <f>(((BetTable[O2]-1)*BetTable[S2])*(1-(BetTable[C% 2]))+BetTable[S2])</f>
        <v>0</v>
      </c>
      <c r="AB665" s="164">
        <f>(((BetTable[O3]-1)*BetTable[S3])*(1-(BetTable[C% 3]))+BetTable[S3])</f>
        <v>0</v>
      </c>
      <c r="AC665" s="165">
        <f>IFERROR(IF(BetTable[Sport]="","",BetTable[R1]/BetTable[TS]),"")</f>
        <v>0.82000000000000006</v>
      </c>
      <c r="AD665" s="165" t="str">
        <f>IF(BetTable[O2]="","",#REF!/BetTable[TS])</f>
        <v/>
      </c>
      <c r="AE665" s="165" t="str">
        <f>IFERROR(IF(BetTable[Sport]="","",#REF!/BetTable[TS]),"")</f>
        <v/>
      </c>
      <c r="AF665" s="164">
        <f>IF(BetTable[Outcome]="Win",BetTable[WBA1-Commission],IF(BetTable[Outcome]="Win Half Stake",(BetTable[Stake]/2)+BetTable[WBA1-Commission]/2,IF(BetTable[Outcome]="Lose Half Stake",BetTable[Stake]/2,IF(BetTable[Outcome]="Lose",0,IF(BetTable[Outcome]="Void",BetTable[Stake],)))))</f>
        <v>0</v>
      </c>
      <c r="AG665" s="164">
        <f>IF(BetTable[Outcome2]="Win",BetTable[WBA2-Commission],IF(BetTable[Outcome2]="Win Half Stake",(BetTable[S2]/2)+BetTable[WBA2-Commission]/2,IF(BetTable[Outcome2]="Lose Half Stake",BetTable[S2]/2,IF(BetTable[Outcome2]="Lose",0,IF(BetTable[Outcome2]="Void",BetTable[S2],)))))</f>
        <v>0</v>
      </c>
      <c r="AH665" s="164">
        <f>IF(BetTable[Outcome3]="Win",BetTable[WBA3-Commission],IF(BetTable[Outcome3]="Win Half Stake",(BetTable[S3]/2)+BetTable[WBA3-Commission]/2,IF(BetTable[Outcome3]="Lose Half Stake",BetTable[S3]/2,IF(BetTable[Outcome3]="Lose",0,IF(BetTable[Outcome3]="Void",BetTable[S3],)))))</f>
        <v>0</v>
      </c>
      <c r="AI665" s="168">
        <f>IF(BetTable[Outcome]="",AI664,BetTable[Result]+AI664)</f>
        <v>1007.1932500000005</v>
      </c>
      <c r="AJ665" s="160"/>
    </row>
    <row r="666" spans="1:36" x14ac:dyDescent="0.2">
      <c r="A666" s="159" t="s">
        <v>1790</v>
      </c>
      <c r="B666" s="160" t="s">
        <v>9</v>
      </c>
      <c r="C666" s="161" t="s">
        <v>91</v>
      </c>
      <c r="D666" s="161"/>
      <c r="E666" s="161"/>
      <c r="F666" s="162"/>
      <c r="G666" s="162"/>
      <c r="H666" s="162"/>
      <c r="I666" s="160" t="s">
        <v>1839</v>
      </c>
      <c r="J666" s="163">
        <v>2.0499999999999998</v>
      </c>
      <c r="K666" s="163"/>
      <c r="L666" s="163"/>
      <c r="M666" s="164">
        <v>30</v>
      </c>
      <c r="N666" s="164"/>
      <c r="O666" s="164"/>
      <c r="P666" s="159" t="s">
        <v>1044</v>
      </c>
      <c r="Q666" s="159" t="s">
        <v>458</v>
      </c>
      <c r="R666" s="159" t="s">
        <v>1840</v>
      </c>
      <c r="S666" s="165">
        <v>2.0261053802355499E-2</v>
      </c>
      <c r="T666" s="166" t="s">
        <v>382</v>
      </c>
      <c r="U666" s="166"/>
      <c r="V666" s="166"/>
      <c r="W666" s="167">
        <f>IF(BetTable[Sport]="","",BetTable[Stake]+BetTable[S2]+BetTable[S3])</f>
        <v>30</v>
      </c>
      <c r="X666" s="164">
        <f>IF(BetTable[Odds]="","",(BetTable[WBA1-Commission])-BetTable[TS])</f>
        <v>31.499999999999993</v>
      </c>
      <c r="Y666" s="168">
        <f>IF(BetTable[Outcome]="","",BetTable[WBA1]+BetTable[WBA2]+BetTable[WBA3]-BetTable[TS])</f>
        <v>-30</v>
      </c>
      <c r="Z666" s="164">
        <f>(((BetTable[Odds]-1)*BetTable[Stake])*(1-(BetTable[Comm %]))+BetTable[Stake])</f>
        <v>61.499999999999993</v>
      </c>
      <c r="AA666" s="164">
        <f>(((BetTable[O2]-1)*BetTable[S2])*(1-(BetTable[C% 2]))+BetTable[S2])</f>
        <v>0</v>
      </c>
      <c r="AB666" s="164">
        <f>(((BetTable[O3]-1)*BetTable[S3])*(1-(BetTable[C% 3]))+BetTable[S3])</f>
        <v>0</v>
      </c>
      <c r="AC666" s="165">
        <f>IFERROR(IF(BetTable[Sport]="","",BetTable[R1]/BetTable[TS]),"")</f>
        <v>1.0499999999999998</v>
      </c>
      <c r="AD666" s="165" t="str">
        <f>IF(BetTable[O2]="","",#REF!/BetTable[TS])</f>
        <v/>
      </c>
      <c r="AE666" s="165" t="str">
        <f>IFERROR(IF(BetTable[Sport]="","",#REF!/BetTable[TS]),"")</f>
        <v/>
      </c>
      <c r="AF666" s="164">
        <f>IF(BetTable[Outcome]="Win",BetTable[WBA1-Commission],IF(BetTable[Outcome]="Win Half Stake",(BetTable[Stake]/2)+BetTable[WBA1-Commission]/2,IF(BetTable[Outcome]="Lose Half Stake",BetTable[Stake]/2,IF(BetTable[Outcome]="Lose",0,IF(BetTable[Outcome]="Void",BetTable[Stake],)))))</f>
        <v>0</v>
      </c>
      <c r="AG666" s="164">
        <f>IF(BetTable[Outcome2]="Win",BetTable[WBA2-Commission],IF(BetTable[Outcome2]="Win Half Stake",(BetTable[S2]/2)+BetTable[WBA2-Commission]/2,IF(BetTable[Outcome2]="Lose Half Stake",BetTable[S2]/2,IF(BetTable[Outcome2]="Lose",0,IF(BetTable[Outcome2]="Void",BetTable[S2],)))))</f>
        <v>0</v>
      </c>
      <c r="AH666" s="164">
        <f>IF(BetTable[Outcome3]="Win",BetTable[WBA3-Commission],IF(BetTable[Outcome3]="Win Half Stake",(BetTable[S3]/2)+BetTable[WBA3-Commission]/2,IF(BetTable[Outcome3]="Lose Half Stake",BetTable[S3]/2,IF(BetTable[Outcome3]="Lose",0,IF(BetTable[Outcome3]="Void",BetTable[S3],)))))</f>
        <v>0</v>
      </c>
      <c r="AI666" s="168">
        <f>IF(BetTable[Outcome]="",AI665,BetTable[Result]+AI665)</f>
        <v>977.19325000000049</v>
      </c>
      <c r="AJ666" s="160"/>
    </row>
    <row r="667" spans="1:36" x14ac:dyDescent="0.2">
      <c r="A667" s="159" t="s">
        <v>1790</v>
      </c>
      <c r="B667" s="160" t="s">
        <v>8</v>
      </c>
      <c r="C667" s="161" t="s">
        <v>91</v>
      </c>
      <c r="D667" s="161"/>
      <c r="E667" s="161"/>
      <c r="F667" s="162"/>
      <c r="G667" s="162"/>
      <c r="H667" s="162"/>
      <c r="I667" s="160" t="s">
        <v>1841</v>
      </c>
      <c r="J667" s="163">
        <v>2.5099999999999998</v>
      </c>
      <c r="K667" s="163"/>
      <c r="L667" s="163"/>
      <c r="M667" s="164">
        <v>21</v>
      </c>
      <c r="N667" s="164"/>
      <c r="O667" s="164"/>
      <c r="P667" s="159" t="s">
        <v>435</v>
      </c>
      <c r="Q667" s="159" t="s">
        <v>1842</v>
      </c>
      <c r="R667" s="159" t="s">
        <v>1843</v>
      </c>
      <c r="S667" s="165">
        <v>3.3852467929502701E-2</v>
      </c>
      <c r="T667" s="166" t="s">
        <v>383</v>
      </c>
      <c r="U667" s="166"/>
      <c r="V667" s="166"/>
      <c r="W667" s="167">
        <f>IF(BetTable[Sport]="","",BetTable[Stake]+BetTable[S2]+BetTable[S3])</f>
        <v>21</v>
      </c>
      <c r="X667" s="164">
        <f>IF(BetTable[Odds]="","",(BetTable[WBA1-Commission])-BetTable[TS])</f>
        <v>31.709999999999994</v>
      </c>
      <c r="Y667" s="168">
        <f>IF(BetTable[Outcome]="","",BetTable[WBA1]+BetTable[WBA2]+BetTable[WBA3]-BetTable[TS])</f>
        <v>0</v>
      </c>
      <c r="Z667" s="164">
        <f>(((BetTable[Odds]-1)*BetTable[Stake])*(1-(BetTable[Comm %]))+BetTable[Stake])</f>
        <v>52.709999999999994</v>
      </c>
      <c r="AA667" s="164">
        <f>(((BetTable[O2]-1)*BetTable[S2])*(1-(BetTable[C% 2]))+BetTable[S2])</f>
        <v>0</v>
      </c>
      <c r="AB667" s="164">
        <f>(((BetTable[O3]-1)*BetTable[S3])*(1-(BetTable[C% 3]))+BetTable[S3])</f>
        <v>0</v>
      </c>
      <c r="AC667" s="165">
        <f>IFERROR(IF(BetTable[Sport]="","",BetTable[R1]/BetTable[TS]),"")</f>
        <v>1.5099999999999998</v>
      </c>
      <c r="AD667" s="165" t="str">
        <f>IF(BetTable[O2]="","",#REF!/BetTable[TS])</f>
        <v/>
      </c>
      <c r="AE667" s="165" t="str">
        <f>IFERROR(IF(BetTable[Sport]="","",#REF!/BetTable[TS]),"")</f>
        <v/>
      </c>
      <c r="AF667" s="164">
        <f>IF(BetTable[Outcome]="Win",BetTable[WBA1-Commission],IF(BetTable[Outcome]="Win Half Stake",(BetTable[Stake]/2)+BetTable[WBA1-Commission]/2,IF(BetTable[Outcome]="Lose Half Stake",BetTable[Stake]/2,IF(BetTable[Outcome]="Lose",0,IF(BetTable[Outcome]="Void",BetTable[Stake],)))))</f>
        <v>21</v>
      </c>
      <c r="AG667" s="164">
        <f>IF(BetTable[Outcome2]="Win",BetTable[WBA2-Commission],IF(BetTable[Outcome2]="Win Half Stake",(BetTable[S2]/2)+BetTable[WBA2-Commission]/2,IF(BetTable[Outcome2]="Lose Half Stake",BetTable[S2]/2,IF(BetTable[Outcome2]="Lose",0,IF(BetTable[Outcome2]="Void",BetTable[S2],)))))</f>
        <v>0</v>
      </c>
      <c r="AH667" s="164">
        <f>IF(BetTable[Outcome3]="Win",BetTable[WBA3-Commission],IF(BetTable[Outcome3]="Win Half Stake",(BetTable[S3]/2)+BetTable[WBA3-Commission]/2,IF(BetTable[Outcome3]="Lose Half Stake",BetTable[S3]/2,IF(BetTable[Outcome3]="Lose",0,IF(BetTable[Outcome3]="Void",BetTable[S3],)))))</f>
        <v>0</v>
      </c>
      <c r="AI667" s="168">
        <f>IF(BetTable[Outcome]="",AI666,BetTable[Result]+AI666)</f>
        <v>977.19325000000049</v>
      </c>
      <c r="AJ667" s="160"/>
    </row>
    <row r="668" spans="1:36" x14ac:dyDescent="0.2">
      <c r="A668" s="159" t="s">
        <v>1790</v>
      </c>
      <c r="B668" s="160" t="s">
        <v>200</v>
      </c>
      <c r="C668" s="161" t="s">
        <v>1714</v>
      </c>
      <c r="D668" s="161"/>
      <c r="E668" s="161"/>
      <c r="F668" s="162"/>
      <c r="G668" s="162"/>
      <c r="H668" s="162"/>
      <c r="I668" s="160" t="s">
        <v>1765</v>
      </c>
      <c r="J668" s="163">
        <v>1.9</v>
      </c>
      <c r="K668" s="163"/>
      <c r="L668" s="163"/>
      <c r="M668" s="164">
        <v>59</v>
      </c>
      <c r="N668" s="164"/>
      <c r="O668" s="164"/>
      <c r="P668" s="159" t="s">
        <v>435</v>
      </c>
      <c r="Q668" s="159" t="s">
        <v>968</v>
      </c>
      <c r="R668" s="159" t="s">
        <v>1844</v>
      </c>
      <c r="S668" s="165">
        <v>3.4164987603132198E-2</v>
      </c>
      <c r="T668" s="166" t="s">
        <v>382</v>
      </c>
      <c r="U668" s="166"/>
      <c r="V668" s="166"/>
      <c r="W668" s="167">
        <f>IF(BetTable[Sport]="","",BetTable[Stake]+BetTable[S2]+BetTable[S3])</f>
        <v>59</v>
      </c>
      <c r="X668" s="164">
        <f>IF(BetTable[Odds]="","",(BetTable[WBA1-Commission])-BetTable[TS])</f>
        <v>53.099999999999994</v>
      </c>
      <c r="Y668" s="168">
        <f>IF(BetTable[Outcome]="","",BetTable[WBA1]+BetTable[WBA2]+BetTable[WBA3]-BetTable[TS])</f>
        <v>-59</v>
      </c>
      <c r="Z668" s="164">
        <f>(((BetTable[Odds]-1)*BetTable[Stake])*(1-(BetTable[Comm %]))+BetTable[Stake])</f>
        <v>112.1</v>
      </c>
      <c r="AA668" s="164">
        <f>(((BetTable[O2]-1)*BetTable[S2])*(1-(BetTable[C% 2]))+BetTable[S2])</f>
        <v>0</v>
      </c>
      <c r="AB668" s="164">
        <f>(((BetTable[O3]-1)*BetTable[S3])*(1-(BetTable[C% 3]))+BetTable[S3])</f>
        <v>0</v>
      </c>
      <c r="AC668" s="165">
        <f>IFERROR(IF(BetTable[Sport]="","",BetTable[R1]/BetTable[TS]),"")</f>
        <v>0.89999999999999991</v>
      </c>
      <c r="AD668" s="165" t="str">
        <f>IF(BetTable[O2]="","",#REF!/BetTable[TS])</f>
        <v/>
      </c>
      <c r="AE668" s="165" t="str">
        <f>IFERROR(IF(BetTable[Sport]="","",#REF!/BetTable[TS]),"")</f>
        <v/>
      </c>
      <c r="AF668" s="164">
        <f>IF(BetTable[Outcome]="Win",BetTable[WBA1-Commission],IF(BetTable[Outcome]="Win Half Stake",(BetTable[Stake]/2)+BetTable[WBA1-Commission]/2,IF(BetTable[Outcome]="Lose Half Stake",BetTable[Stake]/2,IF(BetTable[Outcome]="Lose",0,IF(BetTable[Outcome]="Void",BetTable[Stake],)))))</f>
        <v>0</v>
      </c>
      <c r="AG668" s="164">
        <f>IF(BetTable[Outcome2]="Win",BetTable[WBA2-Commission],IF(BetTable[Outcome2]="Win Half Stake",(BetTable[S2]/2)+BetTable[WBA2-Commission]/2,IF(BetTable[Outcome2]="Lose Half Stake",BetTable[S2]/2,IF(BetTable[Outcome2]="Lose",0,IF(BetTable[Outcome2]="Void",BetTable[S2],)))))</f>
        <v>0</v>
      </c>
      <c r="AH668" s="164">
        <f>IF(BetTable[Outcome3]="Win",BetTable[WBA3-Commission],IF(BetTable[Outcome3]="Win Half Stake",(BetTable[S3]/2)+BetTable[WBA3-Commission]/2,IF(BetTable[Outcome3]="Lose Half Stake",BetTable[S3]/2,IF(BetTable[Outcome3]="Lose",0,IF(BetTable[Outcome3]="Void",BetTable[S3],)))))</f>
        <v>0</v>
      </c>
      <c r="AI668" s="168">
        <f>IF(BetTable[Outcome]="",AI667,BetTable[Result]+AI667)</f>
        <v>918.19325000000049</v>
      </c>
      <c r="AJ668" s="160"/>
    </row>
    <row r="669" spans="1:36" x14ac:dyDescent="0.2">
      <c r="A669" s="159" t="s">
        <v>1790</v>
      </c>
      <c r="B669" s="160" t="s">
        <v>200</v>
      </c>
      <c r="C669" s="161" t="s">
        <v>1714</v>
      </c>
      <c r="D669" s="161"/>
      <c r="E669" s="161"/>
      <c r="F669" s="162"/>
      <c r="G669" s="162"/>
      <c r="H669" s="162"/>
      <c r="I669" s="160" t="s">
        <v>1845</v>
      </c>
      <c r="J669" s="163">
        <v>1.75</v>
      </c>
      <c r="K669" s="163"/>
      <c r="L669" s="163"/>
      <c r="M669" s="164">
        <v>67</v>
      </c>
      <c r="N669" s="164"/>
      <c r="O669" s="164"/>
      <c r="P669" s="159" t="s">
        <v>336</v>
      </c>
      <c r="Q669" s="159" t="s">
        <v>674</v>
      </c>
      <c r="R669" s="159" t="s">
        <v>1846</v>
      </c>
      <c r="S669" s="165">
        <v>3.2343118350468103E-2</v>
      </c>
      <c r="T669" s="166" t="s">
        <v>372</v>
      </c>
      <c r="U669" s="166"/>
      <c r="V669" s="166"/>
      <c r="W669" s="167">
        <f>IF(BetTable[Sport]="","",BetTable[Stake]+BetTable[S2]+BetTable[S3])</f>
        <v>67</v>
      </c>
      <c r="X669" s="164">
        <f>IF(BetTable[Odds]="","",(BetTable[WBA1-Commission])-BetTable[TS])</f>
        <v>50.25</v>
      </c>
      <c r="Y669" s="168">
        <f>IF(BetTable[Outcome]="","",BetTable[WBA1]+BetTable[WBA2]+BetTable[WBA3]-BetTable[TS])</f>
        <v>50.25</v>
      </c>
      <c r="Z669" s="164">
        <f>(((BetTable[Odds]-1)*BetTable[Stake])*(1-(BetTable[Comm %]))+BetTable[Stake])</f>
        <v>117.25</v>
      </c>
      <c r="AA669" s="164">
        <f>(((BetTable[O2]-1)*BetTable[S2])*(1-(BetTable[C% 2]))+BetTable[S2])</f>
        <v>0</v>
      </c>
      <c r="AB669" s="164">
        <f>(((BetTable[O3]-1)*BetTable[S3])*(1-(BetTable[C% 3]))+BetTable[S3])</f>
        <v>0</v>
      </c>
      <c r="AC669" s="165">
        <f>IFERROR(IF(BetTable[Sport]="","",BetTable[R1]/BetTable[TS]),"")</f>
        <v>0.75</v>
      </c>
      <c r="AD669" s="165" t="str">
        <f>IF(BetTable[O2]="","",#REF!/BetTable[TS])</f>
        <v/>
      </c>
      <c r="AE669" s="165" t="str">
        <f>IFERROR(IF(BetTable[Sport]="","",#REF!/BetTable[TS]),"")</f>
        <v/>
      </c>
      <c r="AF669" s="164">
        <f>IF(BetTable[Outcome]="Win",BetTable[WBA1-Commission],IF(BetTable[Outcome]="Win Half Stake",(BetTable[Stake]/2)+BetTable[WBA1-Commission]/2,IF(BetTable[Outcome]="Lose Half Stake",BetTable[Stake]/2,IF(BetTable[Outcome]="Lose",0,IF(BetTable[Outcome]="Void",BetTable[Stake],)))))</f>
        <v>117.25</v>
      </c>
      <c r="AG669" s="164">
        <f>IF(BetTable[Outcome2]="Win",BetTable[WBA2-Commission],IF(BetTable[Outcome2]="Win Half Stake",(BetTable[S2]/2)+BetTable[WBA2-Commission]/2,IF(BetTable[Outcome2]="Lose Half Stake",BetTable[S2]/2,IF(BetTable[Outcome2]="Lose",0,IF(BetTable[Outcome2]="Void",BetTable[S2],)))))</f>
        <v>0</v>
      </c>
      <c r="AH669" s="164">
        <f>IF(BetTable[Outcome3]="Win",BetTable[WBA3-Commission],IF(BetTable[Outcome3]="Win Half Stake",(BetTable[S3]/2)+BetTable[WBA3-Commission]/2,IF(BetTable[Outcome3]="Lose Half Stake",BetTable[S3]/2,IF(BetTable[Outcome3]="Lose",0,IF(BetTable[Outcome3]="Void",BetTable[S3],)))))</f>
        <v>0</v>
      </c>
      <c r="AI669" s="168">
        <f>IF(BetTable[Outcome]="",AI668,BetTable[Result]+AI668)</f>
        <v>968.44325000000049</v>
      </c>
      <c r="AJ669" s="160"/>
    </row>
    <row r="670" spans="1:36" x14ac:dyDescent="0.2">
      <c r="A670" s="159" t="s">
        <v>1790</v>
      </c>
      <c r="B670" s="160" t="s">
        <v>200</v>
      </c>
      <c r="C670" s="161" t="s">
        <v>1714</v>
      </c>
      <c r="D670" s="161"/>
      <c r="E670" s="161"/>
      <c r="F670" s="162"/>
      <c r="G670" s="162"/>
      <c r="H670" s="162"/>
      <c r="I670" s="160" t="s">
        <v>1847</v>
      </c>
      <c r="J670" s="163">
        <v>2.92</v>
      </c>
      <c r="K670" s="163"/>
      <c r="L670" s="163"/>
      <c r="M670" s="164">
        <v>20</v>
      </c>
      <c r="N670" s="164"/>
      <c r="O670" s="164"/>
      <c r="P670" s="159" t="s">
        <v>494</v>
      </c>
      <c r="Q670" s="159" t="s">
        <v>1848</v>
      </c>
      <c r="R670" s="159" t="s">
        <v>1849</v>
      </c>
      <c r="S670" s="165">
        <v>2.4211046563051199E-2</v>
      </c>
      <c r="T670" s="166" t="s">
        <v>382</v>
      </c>
      <c r="U670" s="166"/>
      <c r="V670" s="166"/>
      <c r="W670" s="167">
        <f>IF(BetTable[Sport]="","",BetTable[Stake]+BetTable[S2]+BetTable[S3])</f>
        <v>20</v>
      </c>
      <c r="X670" s="164">
        <f>IF(BetTable[Odds]="","",(BetTable[WBA1-Commission])-BetTable[TS])</f>
        <v>38.4</v>
      </c>
      <c r="Y670" s="168">
        <f>IF(BetTable[Outcome]="","",BetTable[WBA1]+BetTable[WBA2]+BetTable[WBA3]-BetTable[TS])</f>
        <v>-20</v>
      </c>
      <c r="Z670" s="164">
        <f>(((BetTable[Odds]-1)*BetTable[Stake])*(1-(BetTable[Comm %]))+BetTable[Stake])</f>
        <v>58.4</v>
      </c>
      <c r="AA670" s="164">
        <f>(((BetTable[O2]-1)*BetTable[S2])*(1-(BetTable[C% 2]))+BetTable[S2])</f>
        <v>0</v>
      </c>
      <c r="AB670" s="164">
        <f>(((BetTable[O3]-1)*BetTable[S3])*(1-(BetTable[C% 3]))+BetTable[S3])</f>
        <v>0</v>
      </c>
      <c r="AC670" s="165">
        <f>IFERROR(IF(BetTable[Sport]="","",BetTable[R1]/BetTable[TS]),"")</f>
        <v>1.92</v>
      </c>
      <c r="AD670" s="165" t="str">
        <f>IF(BetTable[O2]="","",#REF!/BetTable[TS])</f>
        <v/>
      </c>
      <c r="AE670" s="165" t="str">
        <f>IFERROR(IF(BetTable[Sport]="","",#REF!/BetTable[TS]),"")</f>
        <v/>
      </c>
      <c r="AF670" s="164">
        <f>IF(BetTable[Outcome]="Win",BetTable[WBA1-Commission],IF(BetTable[Outcome]="Win Half Stake",(BetTable[Stake]/2)+BetTable[WBA1-Commission]/2,IF(BetTable[Outcome]="Lose Half Stake",BetTable[Stake]/2,IF(BetTable[Outcome]="Lose",0,IF(BetTable[Outcome]="Void",BetTable[Stake],)))))</f>
        <v>0</v>
      </c>
      <c r="AG670" s="164">
        <f>IF(BetTable[Outcome2]="Win",BetTable[WBA2-Commission],IF(BetTable[Outcome2]="Win Half Stake",(BetTable[S2]/2)+BetTable[WBA2-Commission]/2,IF(BetTable[Outcome2]="Lose Half Stake",BetTable[S2]/2,IF(BetTable[Outcome2]="Lose",0,IF(BetTable[Outcome2]="Void",BetTable[S2],)))))</f>
        <v>0</v>
      </c>
      <c r="AH670" s="164">
        <f>IF(BetTable[Outcome3]="Win",BetTable[WBA3-Commission],IF(BetTable[Outcome3]="Win Half Stake",(BetTable[S3]/2)+BetTable[WBA3-Commission]/2,IF(BetTable[Outcome3]="Lose Half Stake",BetTable[S3]/2,IF(BetTable[Outcome3]="Lose",0,IF(BetTable[Outcome3]="Void",BetTable[S3],)))))</f>
        <v>0</v>
      </c>
      <c r="AI670" s="168">
        <f>IF(BetTable[Outcome]="",AI669,BetTable[Result]+AI669)</f>
        <v>948.44325000000049</v>
      </c>
      <c r="AJ670" s="160"/>
    </row>
    <row r="671" spans="1:36" x14ac:dyDescent="0.2">
      <c r="A671" s="159" t="s">
        <v>1790</v>
      </c>
      <c r="B671" s="160" t="s">
        <v>200</v>
      </c>
      <c r="C671" s="161" t="s">
        <v>1714</v>
      </c>
      <c r="D671" s="161"/>
      <c r="E671" s="161"/>
      <c r="F671" s="162"/>
      <c r="G671" s="162"/>
      <c r="H671" s="162"/>
      <c r="I671" s="160" t="s">
        <v>1850</v>
      </c>
      <c r="J671" s="163">
        <v>3.9</v>
      </c>
      <c r="K671" s="163"/>
      <c r="L671" s="163"/>
      <c r="M671" s="164">
        <v>10</v>
      </c>
      <c r="N671" s="164"/>
      <c r="O671" s="164"/>
      <c r="P671" s="159" t="s">
        <v>428</v>
      </c>
      <c r="Q671" s="159" t="s">
        <v>957</v>
      </c>
      <c r="R671" s="159" t="s">
        <v>1851</v>
      </c>
      <c r="S671" s="165">
        <v>1.7914313784084201E-2</v>
      </c>
      <c r="T671" s="166" t="s">
        <v>372</v>
      </c>
      <c r="U671" s="166"/>
      <c r="V671" s="166"/>
      <c r="W671" s="167">
        <f>IF(BetTable[Sport]="","",BetTable[Stake]+BetTable[S2]+BetTable[S3])</f>
        <v>10</v>
      </c>
      <c r="X671" s="164">
        <f>IF(BetTable[Odds]="","",(BetTable[WBA1-Commission])-BetTable[TS])</f>
        <v>29</v>
      </c>
      <c r="Y671" s="168">
        <f>IF(BetTable[Outcome]="","",BetTable[WBA1]+BetTable[WBA2]+BetTable[WBA3]-BetTable[TS])</f>
        <v>29</v>
      </c>
      <c r="Z671" s="164">
        <f>(((BetTable[Odds]-1)*BetTable[Stake])*(1-(BetTable[Comm %]))+BetTable[Stake])</f>
        <v>39</v>
      </c>
      <c r="AA671" s="164">
        <f>(((BetTable[O2]-1)*BetTable[S2])*(1-(BetTable[C% 2]))+BetTable[S2])</f>
        <v>0</v>
      </c>
      <c r="AB671" s="164">
        <f>(((BetTable[O3]-1)*BetTable[S3])*(1-(BetTable[C% 3]))+BetTable[S3])</f>
        <v>0</v>
      </c>
      <c r="AC671" s="165">
        <f>IFERROR(IF(BetTable[Sport]="","",BetTable[R1]/BetTable[TS]),"")</f>
        <v>2.9</v>
      </c>
      <c r="AD671" s="165" t="str">
        <f>IF(BetTable[O2]="","",#REF!/BetTable[TS])</f>
        <v/>
      </c>
      <c r="AE671" s="165" t="str">
        <f>IFERROR(IF(BetTable[Sport]="","",#REF!/BetTable[TS]),"")</f>
        <v/>
      </c>
      <c r="AF671" s="164">
        <f>IF(BetTable[Outcome]="Win",BetTable[WBA1-Commission],IF(BetTable[Outcome]="Win Half Stake",(BetTable[Stake]/2)+BetTable[WBA1-Commission]/2,IF(BetTable[Outcome]="Lose Half Stake",BetTable[Stake]/2,IF(BetTable[Outcome]="Lose",0,IF(BetTable[Outcome]="Void",BetTable[Stake],)))))</f>
        <v>39</v>
      </c>
      <c r="AG671" s="164">
        <f>IF(BetTable[Outcome2]="Win",BetTable[WBA2-Commission],IF(BetTable[Outcome2]="Win Half Stake",(BetTable[S2]/2)+BetTable[WBA2-Commission]/2,IF(BetTable[Outcome2]="Lose Half Stake",BetTable[S2]/2,IF(BetTable[Outcome2]="Lose",0,IF(BetTable[Outcome2]="Void",BetTable[S2],)))))</f>
        <v>0</v>
      </c>
      <c r="AH671" s="164">
        <f>IF(BetTable[Outcome3]="Win",BetTable[WBA3-Commission],IF(BetTable[Outcome3]="Win Half Stake",(BetTable[S3]/2)+BetTable[WBA3-Commission]/2,IF(BetTable[Outcome3]="Lose Half Stake",BetTable[S3]/2,IF(BetTable[Outcome3]="Lose",0,IF(BetTable[Outcome3]="Void",BetTable[S3],)))))</f>
        <v>0</v>
      </c>
      <c r="AI671" s="168">
        <f>IF(BetTable[Outcome]="",AI670,BetTable[Result]+AI670)</f>
        <v>977.44325000000049</v>
      </c>
      <c r="AJ671" s="160"/>
    </row>
    <row r="672" spans="1:36" x14ac:dyDescent="0.2">
      <c r="A672" s="159" t="s">
        <v>1790</v>
      </c>
      <c r="B672" s="160" t="s">
        <v>200</v>
      </c>
      <c r="C672" s="161" t="s">
        <v>1714</v>
      </c>
      <c r="D672" s="161"/>
      <c r="E672" s="161"/>
      <c r="F672" s="162"/>
      <c r="G672" s="162"/>
      <c r="H672" s="162"/>
      <c r="I672" s="160" t="s">
        <v>1765</v>
      </c>
      <c r="J672" s="163">
        <v>1.91</v>
      </c>
      <c r="K672" s="163"/>
      <c r="L672" s="163"/>
      <c r="M672" s="164">
        <v>49</v>
      </c>
      <c r="N672" s="164"/>
      <c r="O672" s="164"/>
      <c r="P672" s="159" t="s">
        <v>448</v>
      </c>
      <c r="Q672" s="159" t="s">
        <v>968</v>
      </c>
      <c r="R672" s="159" t="s">
        <v>1852</v>
      </c>
      <c r="S672" s="165">
        <v>2.8929184847259499E-2</v>
      </c>
      <c r="T672" s="166" t="s">
        <v>382</v>
      </c>
      <c r="U672" s="166"/>
      <c r="V672" s="166"/>
      <c r="W672" s="167">
        <f>IF(BetTable[Sport]="","",BetTable[Stake]+BetTable[S2]+BetTable[S3])</f>
        <v>49</v>
      </c>
      <c r="X672" s="164">
        <f>IF(BetTable[Odds]="","",(BetTable[WBA1-Commission])-BetTable[TS])</f>
        <v>44.59</v>
      </c>
      <c r="Y672" s="168">
        <f>IF(BetTable[Outcome]="","",BetTable[WBA1]+BetTable[WBA2]+BetTable[WBA3]-BetTable[TS])</f>
        <v>-49</v>
      </c>
      <c r="Z672" s="164">
        <f>(((BetTable[Odds]-1)*BetTable[Stake])*(1-(BetTable[Comm %]))+BetTable[Stake])</f>
        <v>93.59</v>
      </c>
      <c r="AA672" s="164">
        <f>(((BetTable[O2]-1)*BetTable[S2])*(1-(BetTable[C% 2]))+BetTable[S2])</f>
        <v>0</v>
      </c>
      <c r="AB672" s="164">
        <f>(((BetTable[O3]-1)*BetTable[S3])*(1-(BetTable[C% 3]))+BetTable[S3])</f>
        <v>0</v>
      </c>
      <c r="AC672" s="165">
        <f>IFERROR(IF(BetTable[Sport]="","",BetTable[R1]/BetTable[TS]),"")</f>
        <v>0.91</v>
      </c>
      <c r="AD672" s="165" t="str">
        <f>IF(BetTable[O2]="","",#REF!/BetTable[TS])</f>
        <v/>
      </c>
      <c r="AE672" s="165" t="str">
        <f>IFERROR(IF(BetTable[Sport]="","",#REF!/BetTable[TS]),"")</f>
        <v/>
      </c>
      <c r="AF672" s="164">
        <f>IF(BetTable[Outcome]="Win",BetTable[WBA1-Commission],IF(BetTable[Outcome]="Win Half Stake",(BetTable[Stake]/2)+BetTable[WBA1-Commission]/2,IF(BetTable[Outcome]="Lose Half Stake",BetTable[Stake]/2,IF(BetTable[Outcome]="Lose",0,IF(BetTable[Outcome]="Void",BetTable[Stake],)))))</f>
        <v>0</v>
      </c>
      <c r="AG672" s="164">
        <f>IF(BetTable[Outcome2]="Win",BetTable[WBA2-Commission],IF(BetTable[Outcome2]="Win Half Stake",(BetTable[S2]/2)+BetTable[WBA2-Commission]/2,IF(BetTable[Outcome2]="Lose Half Stake",BetTable[S2]/2,IF(BetTable[Outcome2]="Lose",0,IF(BetTable[Outcome2]="Void",BetTable[S2],)))))</f>
        <v>0</v>
      </c>
      <c r="AH672" s="164">
        <f>IF(BetTable[Outcome3]="Win",BetTable[WBA3-Commission],IF(BetTable[Outcome3]="Win Half Stake",(BetTable[S3]/2)+BetTable[WBA3-Commission]/2,IF(BetTable[Outcome3]="Lose Half Stake",BetTable[S3]/2,IF(BetTable[Outcome3]="Lose",0,IF(BetTable[Outcome3]="Void",BetTable[S3],)))))</f>
        <v>0</v>
      </c>
      <c r="AI672" s="168">
        <f>IF(BetTable[Outcome]="",AI671,BetTable[Result]+AI671)</f>
        <v>928.44325000000049</v>
      </c>
      <c r="AJ672" s="160"/>
    </row>
    <row r="673" spans="1:36" x14ac:dyDescent="0.2">
      <c r="A673" s="159" t="s">
        <v>1790</v>
      </c>
      <c r="B673" s="160" t="s">
        <v>200</v>
      </c>
      <c r="C673" s="161" t="s">
        <v>1714</v>
      </c>
      <c r="D673" s="161"/>
      <c r="E673" s="161"/>
      <c r="F673" s="162"/>
      <c r="G673" s="162"/>
      <c r="H673" s="162"/>
      <c r="I673" s="160" t="s">
        <v>1853</v>
      </c>
      <c r="J673" s="163">
        <v>2.2000000000000002</v>
      </c>
      <c r="K673" s="163"/>
      <c r="L673" s="163"/>
      <c r="M673" s="164">
        <v>28</v>
      </c>
      <c r="N673" s="164"/>
      <c r="O673" s="164"/>
      <c r="P673" s="159" t="s">
        <v>360</v>
      </c>
      <c r="Q673" s="159" t="s">
        <v>439</v>
      </c>
      <c r="R673" s="159" t="s">
        <v>1854</v>
      </c>
      <c r="S673" s="165">
        <v>2.16718266253869E-2</v>
      </c>
      <c r="T673" s="166" t="s">
        <v>372</v>
      </c>
      <c r="U673" s="166"/>
      <c r="V673" s="166"/>
      <c r="W673" s="167">
        <f>IF(BetTable[Sport]="","",BetTable[Stake]+BetTable[S2]+BetTable[S3])</f>
        <v>28</v>
      </c>
      <c r="X673" s="164">
        <f>IF(BetTable[Odds]="","",(BetTable[WBA1-Commission])-BetTable[TS])</f>
        <v>33.600000000000009</v>
      </c>
      <c r="Y673" s="168">
        <f>IF(BetTable[Outcome]="","",BetTable[WBA1]+BetTable[WBA2]+BetTable[WBA3]-BetTable[TS])</f>
        <v>33.600000000000009</v>
      </c>
      <c r="Z673" s="164">
        <f>(((BetTable[Odds]-1)*BetTable[Stake])*(1-(BetTable[Comm %]))+BetTable[Stake])</f>
        <v>61.600000000000009</v>
      </c>
      <c r="AA673" s="164">
        <f>(((BetTable[O2]-1)*BetTable[S2])*(1-(BetTable[C% 2]))+BetTable[S2])</f>
        <v>0</v>
      </c>
      <c r="AB673" s="164">
        <f>(((BetTable[O3]-1)*BetTable[S3])*(1-(BetTable[C% 3]))+BetTable[S3])</f>
        <v>0</v>
      </c>
      <c r="AC673" s="165">
        <f>IFERROR(IF(BetTable[Sport]="","",BetTable[R1]/BetTable[TS]),"")</f>
        <v>1.2000000000000004</v>
      </c>
      <c r="AD673" s="165" t="str">
        <f>IF(BetTable[O2]="","",#REF!/BetTable[TS])</f>
        <v/>
      </c>
      <c r="AE673" s="165" t="str">
        <f>IFERROR(IF(BetTable[Sport]="","",#REF!/BetTable[TS]),"")</f>
        <v/>
      </c>
      <c r="AF673" s="164">
        <f>IF(BetTable[Outcome]="Win",BetTable[WBA1-Commission],IF(BetTable[Outcome]="Win Half Stake",(BetTable[Stake]/2)+BetTable[WBA1-Commission]/2,IF(BetTable[Outcome]="Lose Half Stake",BetTable[Stake]/2,IF(BetTable[Outcome]="Lose",0,IF(BetTable[Outcome]="Void",BetTable[Stake],)))))</f>
        <v>61.600000000000009</v>
      </c>
      <c r="AG673" s="164">
        <f>IF(BetTable[Outcome2]="Win",BetTable[WBA2-Commission],IF(BetTable[Outcome2]="Win Half Stake",(BetTable[S2]/2)+BetTable[WBA2-Commission]/2,IF(BetTable[Outcome2]="Lose Half Stake",BetTable[S2]/2,IF(BetTable[Outcome2]="Lose",0,IF(BetTable[Outcome2]="Void",BetTable[S2],)))))</f>
        <v>0</v>
      </c>
      <c r="AH673" s="164">
        <f>IF(BetTable[Outcome3]="Win",BetTable[WBA3-Commission],IF(BetTable[Outcome3]="Win Half Stake",(BetTable[S3]/2)+BetTable[WBA3-Commission]/2,IF(BetTable[Outcome3]="Lose Half Stake",BetTable[S3]/2,IF(BetTable[Outcome3]="Lose",0,IF(BetTable[Outcome3]="Void",BetTable[S3],)))))</f>
        <v>0</v>
      </c>
      <c r="AI673" s="168">
        <f>IF(BetTable[Outcome]="",AI672,BetTable[Result]+AI672)</f>
        <v>962.04325000000051</v>
      </c>
      <c r="AJ673" s="160"/>
    </row>
    <row r="674" spans="1:36" x14ac:dyDescent="0.2">
      <c r="A674" s="159" t="s">
        <v>1790</v>
      </c>
      <c r="B674" s="160" t="s">
        <v>200</v>
      </c>
      <c r="C674" s="161" t="s">
        <v>1714</v>
      </c>
      <c r="D674" s="161"/>
      <c r="E674" s="161"/>
      <c r="F674" s="162"/>
      <c r="G674" s="162"/>
      <c r="H674" s="162"/>
      <c r="I674" s="160" t="s">
        <v>1855</v>
      </c>
      <c r="J674" s="163">
        <v>2.25</v>
      </c>
      <c r="K674" s="163"/>
      <c r="L674" s="163"/>
      <c r="M674" s="164">
        <v>21</v>
      </c>
      <c r="N674" s="164"/>
      <c r="O674" s="164"/>
      <c r="P674" s="159" t="s">
        <v>336</v>
      </c>
      <c r="Q674" s="159" t="s">
        <v>488</v>
      </c>
      <c r="R674" s="159" t="s">
        <v>1856</v>
      </c>
      <c r="S674" s="165">
        <v>1.69659540984766E-2</v>
      </c>
      <c r="T674" s="166" t="s">
        <v>382</v>
      </c>
      <c r="U674" s="166"/>
      <c r="V674" s="166"/>
      <c r="W674" s="167">
        <f>IF(BetTable[Sport]="","",BetTable[Stake]+BetTable[S2]+BetTable[S3])</f>
        <v>21</v>
      </c>
      <c r="X674" s="164">
        <f>IF(BetTable[Odds]="","",(BetTable[WBA1-Commission])-BetTable[TS])</f>
        <v>26.25</v>
      </c>
      <c r="Y674" s="168">
        <f>IF(BetTable[Outcome]="","",BetTable[WBA1]+BetTable[WBA2]+BetTable[WBA3]-BetTable[TS])</f>
        <v>-21</v>
      </c>
      <c r="Z674" s="164">
        <f>(((BetTable[Odds]-1)*BetTable[Stake])*(1-(BetTable[Comm %]))+BetTable[Stake])</f>
        <v>47.25</v>
      </c>
      <c r="AA674" s="164">
        <f>(((BetTable[O2]-1)*BetTable[S2])*(1-(BetTable[C% 2]))+BetTable[S2])</f>
        <v>0</v>
      </c>
      <c r="AB674" s="164">
        <f>(((BetTable[O3]-1)*BetTable[S3])*(1-(BetTable[C% 3]))+BetTable[S3])</f>
        <v>0</v>
      </c>
      <c r="AC674" s="165">
        <f>IFERROR(IF(BetTable[Sport]="","",BetTable[R1]/BetTable[TS]),"")</f>
        <v>1.25</v>
      </c>
      <c r="AD674" s="165" t="str">
        <f>IF(BetTable[O2]="","",#REF!/BetTable[TS])</f>
        <v/>
      </c>
      <c r="AE674" s="165" t="str">
        <f>IFERROR(IF(BetTable[Sport]="","",#REF!/BetTable[TS]),"")</f>
        <v/>
      </c>
      <c r="AF674" s="164">
        <f>IF(BetTable[Outcome]="Win",BetTable[WBA1-Commission],IF(BetTable[Outcome]="Win Half Stake",(BetTable[Stake]/2)+BetTable[WBA1-Commission]/2,IF(BetTable[Outcome]="Lose Half Stake",BetTable[Stake]/2,IF(BetTable[Outcome]="Lose",0,IF(BetTable[Outcome]="Void",BetTable[Stake],)))))</f>
        <v>0</v>
      </c>
      <c r="AG674" s="164">
        <f>IF(BetTable[Outcome2]="Win",BetTable[WBA2-Commission],IF(BetTable[Outcome2]="Win Half Stake",(BetTable[S2]/2)+BetTable[WBA2-Commission]/2,IF(BetTable[Outcome2]="Lose Half Stake",BetTable[S2]/2,IF(BetTable[Outcome2]="Lose",0,IF(BetTable[Outcome2]="Void",BetTable[S2],)))))</f>
        <v>0</v>
      </c>
      <c r="AH674" s="164">
        <f>IF(BetTable[Outcome3]="Win",BetTable[WBA3-Commission],IF(BetTable[Outcome3]="Win Half Stake",(BetTable[S3]/2)+BetTable[WBA3-Commission]/2,IF(BetTable[Outcome3]="Lose Half Stake",BetTable[S3]/2,IF(BetTable[Outcome3]="Lose",0,IF(BetTable[Outcome3]="Void",BetTable[S3],)))))</f>
        <v>0</v>
      </c>
      <c r="AI674" s="168">
        <f>IF(BetTable[Outcome]="",AI673,BetTable[Result]+AI673)</f>
        <v>941.04325000000051</v>
      </c>
      <c r="AJ674" s="160"/>
    </row>
    <row r="675" spans="1:36" x14ac:dyDescent="0.2">
      <c r="A675" s="159" t="s">
        <v>1790</v>
      </c>
      <c r="B675" s="160" t="s">
        <v>200</v>
      </c>
      <c r="C675" s="161" t="s">
        <v>1714</v>
      </c>
      <c r="D675" s="161"/>
      <c r="E675" s="161"/>
      <c r="F675" s="162"/>
      <c r="G675" s="162"/>
      <c r="H675" s="162"/>
      <c r="I675" s="160" t="s">
        <v>1857</v>
      </c>
      <c r="J675" s="163">
        <v>1.97</v>
      </c>
      <c r="K675" s="163"/>
      <c r="L675" s="163"/>
      <c r="M675" s="164">
        <v>30</v>
      </c>
      <c r="N675" s="164"/>
      <c r="O675" s="164"/>
      <c r="P675" s="159" t="s">
        <v>852</v>
      </c>
      <c r="Q675" s="159" t="s">
        <v>429</v>
      </c>
      <c r="R675" s="159" t="s">
        <v>1858</v>
      </c>
      <c r="S675" s="165">
        <v>1.8706414726309999E-2</v>
      </c>
      <c r="T675" s="166" t="s">
        <v>382</v>
      </c>
      <c r="U675" s="166"/>
      <c r="V675" s="166"/>
      <c r="W675" s="167">
        <f>IF(BetTable[Sport]="","",BetTable[Stake]+BetTable[S2]+BetTable[S3])</f>
        <v>30</v>
      </c>
      <c r="X675" s="164">
        <f>IF(BetTable[Odds]="","",(BetTable[WBA1-Commission])-BetTable[TS])</f>
        <v>29.099999999999994</v>
      </c>
      <c r="Y675" s="168">
        <f>IF(BetTable[Outcome]="","",BetTable[WBA1]+BetTable[WBA2]+BetTable[WBA3]-BetTable[TS])</f>
        <v>-30</v>
      </c>
      <c r="Z675" s="164">
        <f>(((BetTable[Odds]-1)*BetTable[Stake])*(1-(BetTable[Comm %]))+BetTable[Stake])</f>
        <v>59.099999999999994</v>
      </c>
      <c r="AA675" s="164">
        <f>(((BetTable[O2]-1)*BetTable[S2])*(1-(BetTable[C% 2]))+BetTable[S2])</f>
        <v>0</v>
      </c>
      <c r="AB675" s="164">
        <f>(((BetTable[O3]-1)*BetTable[S3])*(1-(BetTable[C% 3]))+BetTable[S3])</f>
        <v>0</v>
      </c>
      <c r="AC675" s="165">
        <f>IFERROR(IF(BetTable[Sport]="","",BetTable[R1]/BetTable[TS]),"")</f>
        <v>0.96999999999999986</v>
      </c>
      <c r="AD675" s="165" t="str">
        <f>IF(BetTable[O2]="","",#REF!/BetTable[TS])</f>
        <v/>
      </c>
      <c r="AE675" s="165" t="str">
        <f>IFERROR(IF(BetTable[Sport]="","",#REF!/BetTable[TS]),"")</f>
        <v/>
      </c>
      <c r="AF675" s="164">
        <f>IF(BetTable[Outcome]="Win",BetTable[WBA1-Commission],IF(BetTable[Outcome]="Win Half Stake",(BetTable[Stake]/2)+BetTable[WBA1-Commission]/2,IF(BetTable[Outcome]="Lose Half Stake",BetTable[Stake]/2,IF(BetTable[Outcome]="Lose",0,IF(BetTable[Outcome]="Void",BetTable[Stake],)))))</f>
        <v>0</v>
      </c>
      <c r="AG675" s="164">
        <f>IF(BetTable[Outcome2]="Win",BetTable[WBA2-Commission],IF(BetTable[Outcome2]="Win Half Stake",(BetTable[S2]/2)+BetTable[WBA2-Commission]/2,IF(BetTable[Outcome2]="Lose Half Stake",BetTable[S2]/2,IF(BetTable[Outcome2]="Lose",0,IF(BetTable[Outcome2]="Void",BetTable[S2],)))))</f>
        <v>0</v>
      </c>
      <c r="AH675" s="164">
        <f>IF(BetTable[Outcome3]="Win",BetTable[WBA3-Commission],IF(BetTable[Outcome3]="Win Half Stake",(BetTable[S3]/2)+BetTable[WBA3-Commission]/2,IF(BetTable[Outcome3]="Lose Half Stake",BetTable[S3]/2,IF(BetTable[Outcome3]="Lose",0,IF(BetTable[Outcome3]="Void",BetTable[S3],)))))</f>
        <v>0</v>
      </c>
      <c r="AI675" s="168">
        <f>IF(BetTable[Outcome]="",AI674,BetTable[Result]+AI674)</f>
        <v>911.04325000000051</v>
      </c>
      <c r="AJ675" s="160"/>
    </row>
    <row r="676" spans="1:36" x14ac:dyDescent="0.2">
      <c r="A676" s="159" t="s">
        <v>1790</v>
      </c>
      <c r="B676" s="160" t="s">
        <v>200</v>
      </c>
      <c r="C676" s="161" t="s">
        <v>1714</v>
      </c>
      <c r="D676" s="161"/>
      <c r="E676" s="161"/>
      <c r="F676" s="162"/>
      <c r="G676" s="162"/>
      <c r="H676" s="162"/>
      <c r="I676" s="160" t="s">
        <v>1859</v>
      </c>
      <c r="J676" s="163">
        <v>1.91</v>
      </c>
      <c r="K676" s="163"/>
      <c r="L676" s="163"/>
      <c r="M676" s="164">
        <v>31</v>
      </c>
      <c r="N676" s="164"/>
      <c r="O676" s="164"/>
      <c r="P676" s="159" t="s">
        <v>351</v>
      </c>
      <c r="Q676" s="159" t="s">
        <v>495</v>
      </c>
      <c r="R676" s="159" t="s">
        <v>1860</v>
      </c>
      <c r="S676" s="165">
        <v>1.8368073649470198E-2</v>
      </c>
      <c r="T676" s="166" t="s">
        <v>372</v>
      </c>
      <c r="U676" s="166"/>
      <c r="V676" s="166"/>
      <c r="W676" s="167">
        <f>IF(BetTable[Sport]="","",BetTable[Stake]+BetTable[S2]+BetTable[S3])</f>
        <v>31</v>
      </c>
      <c r="X676" s="164">
        <f>IF(BetTable[Odds]="","",(BetTable[WBA1-Commission])-BetTable[TS])</f>
        <v>28.209999999999994</v>
      </c>
      <c r="Y676" s="168">
        <f>IF(BetTable[Outcome]="","",BetTable[WBA1]+BetTable[WBA2]+BetTable[WBA3]-BetTable[TS])</f>
        <v>28.209999999999994</v>
      </c>
      <c r="Z676" s="164">
        <f>(((BetTable[Odds]-1)*BetTable[Stake])*(1-(BetTable[Comm %]))+BetTable[Stake])</f>
        <v>59.209999999999994</v>
      </c>
      <c r="AA676" s="164">
        <f>(((BetTable[O2]-1)*BetTable[S2])*(1-(BetTable[C% 2]))+BetTable[S2])</f>
        <v>0</v>
      </c>
      <c r="AB676" s="164">
        <f>(((BetTable[O3]-1)*BetTable[S3])*(1-(BetTable[C% 3]))+BetTable[S3])</f>
        <v>0</v>
      </c>
      <c r="AC676" s="165">
        <f>IFERROR(IF(BetTable[Sport]="","",BetTable[R1]/BetTable[TS]),"")</f>
        <v>0.90999999999999981</v>
      </c>
      <c r="AD676" s="165" t="str">
        <f>IF(BetTable[O2]="","",#REF!/BetTable[TS])</f>
        <v/>
      </c>
      <c r="AE676" s="165" t="str">
        <f>IFERROR(IF(BetTable[Sport]="","",#REF!/BetTable[TS]),"")</f>
        <v/>
      </c>
      <c r="AF676" s="164">
        <f>IF(BetTable[Outcome]="Win",BetTable[WBA1-Commission],IF(BetTable[Outcome]="Win Half Stake",(BetTable[Stake]/2)+BetTable[WBA1-Commission]/2,IF(BetTable[Outcome]="Lose Half Stake",BetTable[Stake]/2,IF(BetTable[Outcome]="Lose",0,IF(BetTable[Outcome]="Void",BetTable[Stake],)))))</f>
        <v>59.209999999999994</v>
      </c>
      <c r="AG676" s="164">
        <f>IF(BetTable[Outcome2]="Win",BetTable[WBA2-Commission],IF(BetTable[Outcome2]="Win Half Stake",(BetTable[S2]/2)+BetTable[WBA2-Commission]/2,IF(BetTable[Outcome2]="Lose Half Stake",BetTable[S2]/2,IF(BetTable[Outcome2]="Lose",0,IF(BetTable[Outcome2]="Void",BetTable[S2],)))))</f>
        <v>0</v>
      </c>
      <c r="AH676" s="164">
        <f>IF(BetTable[Outcome3]="Win",BetTable[WBA3-Commission],IF(BetTable[Outcome3]="Win Half Stake",(BetTable[S3]/2)+BetTable[WBA3-Commission]/2,IF(BetTable[Outcome3]="Lose Half Stake",BetTable[S3]/2,IF(BetTable[Outcome3]="Lose",0,IF(BetTable[Outcome3]="Void",BetTable[S3],)))))</f>
        <v>0</v>
      </c>
      <c r="AI676" s="168">
        <f>IF(BetTable[Outcome]="",AI675,BetTable[Result]+AI675)</f>
        <v>939.25325000000055</v>
      </c>
      <c r="AJ676" s="160"/>
    </row>
    <row r="677" spans="1:36" x14ac:dyDescent="0.2">
      <c r="A677" s="159" t="s">
        <v>1790</v>
      </c>
      <c r="B677" s="160" t="s">
        <v>200</v>
      </c>
      <c r="C677" s="161" t="s">
        <v>1714</v>
      </c>
      <c r="D677" s="161"/>
      <c r="E677" s="161"/>
      <c r="F677" s="162"/>
      <c r="G677" s="162"/>
      <c r="H677" s="162"/>
      <c r="I677" s="160" t="s">
        <v>1861</v>
      </c>
      <c r="J677" s="163">
        <v>2.85</v>
      </c>
      <c r="K677" s="163"/>
      <c r="L677" s="163"/>
      <c r="M677" s="164">
        <v>55</v>
      </c>
      <c r="N677" s="164"/>
      <c r="O677" s="164"/>
      <c r="P677" s="159" t="s">
        <v>494</v>
      </c>
      <c r="Q677" s="159" t="s">
        <v>495</v>
      </c>
      <c r="R677" s="159" t="s">
        <v>1862</v>
      </c>
      <c r="S677" s="165">
        <v>6.5931372549019596E-2</v>
      </c>
      <c r="T677" s="166" t="s">
        <v>372</v>
      </c>
      <c r="U677" s="166"/>
      <c r="V677" s="166"/>
      <c r="W677" s="167">
        <f>IF(BetTable[Sport]="","",BetTable[Stake]+BetTable[S2]+BetTable[S3])</f>
        <v>55</v>
      </c>
      <c r="X677" s="164">
        <f>IF(BetTable[Odds]="","",(BetTable[WBA1-Commission])-BetTable[TS])</f>
        <v>101.75</v>
      </c>
      <c r="Y677" s="168">
        <f>IF(BetTable[Outcome]="","",BetTable[WBA1]+BetTable[WBA2]+BetTable[WBA3]-BetTable[TS])</f>
        <v>101.75</v>
      </c>
      <c r="Z677" s="164">
        <f>(((BetTable[Odds]-1)*BetTable[Stake])*(1-(BetTable[Comm %]))+BetTable[Stake])</f>
        <v>156.75</v>
      </c>
      <c r="AA677" s="164">
        <f>(((BetTable[O2]-1)*BetTable[S2])*(1-(BetTable[C% 2]))+BetTable[S2])</f>
        <v>0</v>
      </c>
      <c r="AB677" s="164">
        <f>(((BetTable[O3]-1)*BetTable[S3])*(1-(BetTable[C% 3]))+BetTable[S3])</f>
        <v>0</v>
      </c>
      <c r="AC677" s="165">
        <f>IFERROR(IF(BetTable[Sport]="","",BetTable[R1]/BetTable[TS]),"")</f>
        <v>1.85</v>
      </c>
      <c r="AD677" s="165" t="str">
        <f>IF(BetTable[O2]="","",#REF!/BetTable[TS])</f>
        <v/>
      </c>
      <c r="AE677" s="165" t="str">
        <f>IFERROR(IF(BetTable[Sport]="","",#REF!/BetTable[TS]),"")</f>
        <v/>
      </c>
      <c r="AF677" s="164">
        <f>IF(BetTable[Outcome]="Win",BetTable[WBA1-Commission],IF(BetTable[Outcome]="Win Half Stake",(BetTable[Stake]/2)+BetTable[WBA1-Commission]/2,IF(BetTable[Outcome]="Lose Half Stake",BetTable[Stake]/2,IF(BetTable[Outcome]="Lose",0,IF(BetTable[Outcome]="Void",BetTable[Stake],)))))</f>
        <v>156.75</v>
      </c>
      <c r="AG677" s="164">
        <f>IF(BetTable[Outcome2]="Win",BetTable[WBA2-Commission],IF(BetTable[Outcome2]="Win Half Stake",(BetTable[S2]/2)+BetTable[WBA2-Commission]/2,IF(BetTable[Outcome2]="Lose Half Stake",BetTable[S2]/2,IF(BetTable[Outcome2]="Lose",0,IF(BetTable[Outcome2]="Void",BetTable[S2],)))))</f>
        <v>0</v>
      </c>
      <c r="AH677" s="164">
        <f>IF(BetTable[Outcome3]="Win",BetTable[WBA3-Commission],IF(BetTable[Outcome3]="Win Half Stake",(BetTable[S3]/2)+BetTable[WBA3-Commission]/2,IF(BetTable[Outcome3]="Lose Half Stake",BetTable[S3]/2,IF(BetTable[Outcome3]="Lose",0,IF(BetTable[Outcome3]="Void",BetTable[S3],)))))</f>
        <v>0</v>
      </c>
      <c r="AI677" s="168">
        <f>IF(BetTable[Outcome]="",AI676,BetTable[Result]+AI676)</f>
        <v>1041.0032500000007</v>
      </c>
      <c r="AJ677" s="160"/>
    </row>
    <row r="678" spans="1:36" x14ac:dyDescent="0.2">
      <c r="A678" s="159" t="s">
        <v>1790</v>
      </c>
      <c r="B678" s="160" t="s">
        <v>200</v>
      </c>
      <c r="C678" s="161" t="s">
        <v>1714</v>
      </c>
      <c r="D678" s="161"/>
      <c r="E678" s="161"/>
      <c r="F678" s="162"/>
      <c r="G678" s="162"/>
      <c r="H678" s="162"/>
      <c r="I678" s="160" t="s">
        <v>1863</v>
      </c>
      <c r="J678" s="163">
        <v>1.74</v>
      </c>
      <c r="K678" s="163"/>
      <c r="L678" s="163"/>
      <c r="M678" s="164">
        <v>34</v>
      </c>
      <c r="N678" s="164"/>
      <c r="O678" s="164"/>
      <c r="P678" s="159" t="s">
        <v>1636</v>
      </c>
      <c r="Q678" s="159" t="s">
        <v>461</v>
      </c>
      <c r="R678" s="159" t="s">
        <v>1864</v>
      </c>
      <c r="S678" s="165">
        <v>1.6048353458325702E-2</v>
      </c>
      <c r="T678" s="166" t="s">
        <v>372</v>
      </c>
      <c r="U678" s="166"/>
      <c r="V678" s="166"/>
      <c r="W678" s="167">
        <f>IF(BetTable[Sport]="","",BetTable[Stake]+BetTable[S2]+BetTable[S3])</f>
        <v>34</v>
      </c>
      <c r="X678" s="164">
        <f>IF(BetTable[Odds]="","",(BetTable[WBA1-Commission])-BetTable[TS])</f>
        <v>25.159999999999997</v>
      </c>
      <c r="Y678" s="168">
        <f>IF(BetTable[Outcome]="","",BetTable[WBA1]+BetTable[WBA2]+BetTable[WBA3]-BetTable[TS])</f>
        <v>25.159999999999997</v>
      </c>
      <c r="Z678" s="164">
        <f>(((BetTable[Odds]-1)*BetTable[Stake])*(1-(BetTable[Comm %]))+BetTable[Stake])</f>
        <v>59.16</v>
      </c>
      <c r="AA678" s="164">
        <f>(((BetTable[O2]-1)*BetTable[S2])*(1-(BetTable[C% 2]))+BetTable[S2])</f>
        <v>0</v>
      </c>
      <c r="AB678" s="164">
        <f>(((BetTable[O3]-1)*BetTable[S3])*(1-(BetTable[C% 3]))+BetTable[S3])</f>
        <v>0</v>
      </c>
      <c r="AC678" s="165">
        <f>IFERROR(IF(BetTable[Sport]="","",BetTable[R1]/BetTable[TS]),"")</f>
        <v>0.73999999999999988</v>
      </c>
      <c r="AD678" s="165" t="str">
        <f>IF(BetTable[O2]="","",#REF!/BetTable[TS])</f>
        <v/>
      </c>
      <c r="AE678" s="165" t="str">
        <f>IFERROR(IF(BetTable[Sport]="","",#REF!/BetTable[TS]),"")</f>
        <v/>
      </c>
      <c r="AF678" s="164">
        <f>IF(BetTable[Outcome]="Win",BetTable[WBA1-Commission],IF(BetTable[Outcome]="Win Half Stake",(BetTable[Stake]/2)+BetTable[WBA1-Commission]/2,IF(BetTable[Outcome]="Lose Half Stake",BetTable[Stake]/2,IF(BetTable[Outcome]="Lose",0,IF(BetTable[Outcome]="Void",BetTable[Stake],)))))</f>
        <v>59.16</v>
      </c>
      <c r="AG678" s="164">
        <f>IF(BetTable[Outcome2]="Win",BetTable[WBA2-Commission],IF(BetTable[Outcome2]="Win Half Stake",(BetTable[S2]/2)+BetTable[WBA2-Commission]/2,IF(BetTable[Outcome2]="Lose Half Stake",BetTable[S2]/2,IF(BetTable[Outcome2]="Lose",0,IF(BetTable[Outcome2]="Void",BetTable[S2],)))))</f>
        <v>0</v>
      </c>
      <c r="AH678" s="164">
        <f>IF(BetTable[Outcome3]="Win",BetTable[WBA3-Commission],IF(BetTable[Outcome3]="Win Half Stake",(BetTable[S3]/2)+BetTable[WBA3-Commission]/2,IF(BetTable[Outcome3]="Lose Half Stake",BetTable[S3]/2,IF(BetTable[Outcome3]="Lose",0,IF(BetTable[Outcome3]="Void",BetTable[S3],)))))</f>
        <v>0</v>
      </c>
      <c r="AI678" s="168">
        <f>IF(BetTable[Outcome]="",AI677,BetTable[Result]+AI677)</f>
        <v>1066.1632500000007</v>
      </c>
      <c r="AJ678" s="160"/>
    </row>
    <row r="679" spans="1:36" x14ac:dyDescent="0.2">
      <c r="A679" s="159" t="s">
        <v>1790</v>
      </c>
      <c r="B679" s="160" t="s">
        <v>7</v>
      </c>
      <c r="C679" s="161" t="s">
        <v>91</v>
      </c>
      <c r="D679" s="161"/>
      <c r="E679" s="161"/>
      <c r="F679" s="162"/>
      <c r="G679" s="162"/>
      <c r="H679" s="162"/>
      <c r="I679" s="160" t="s">
        <v>1865</v>
      </c>
      <c r="J679" s="163">
        <v>1.87</v>
      </c>
      <c r="K679" s="163"/>
      <c r="L679" s="163"/>
      <c r="M679" s="164">
        <v>50</v>
      </c>
      <c r="N679" s="164"/>
      <c r="O679" s="164"/>
      <c r="P679" s="159" t="s">
        <v>671</v>
      </c>
      <c r="Q679" s="159" t="s">
        <v>1205</v>
      </c>
      <c r="R679" s="159" t="s">
        <v>1866</v>
      </c>
      <c r="S679" s="165">
        <v>2.8149654478173899E-2</v>
      </c>
      <c r="T679" s="166" t="s">
        <v>372</v>
      </c>
      <c r="U679" s="166"/>
      <c r="V679" s="166"/>
      <c r="W679" s="167">
        <f>IF(BetTable[Sport]="","",BetTable[Stake]+BetTable[S2]+BetTable[S3])</f>
        <v>50</v>
      </c>
      <c r="X679" s="164">
        <f>IF(BetTable[Odds]="","",(BetTable[WBA1-Commission])-BetTable[TS])</f>
        <v>43.5</v>
      </c>
      <c r="Y679" s="168">
        <f>IF(BetTable[Outcome]="","",BetTable[WBA1]+BetTable[WBA2]+BetTable[WBA3]-BetTable[TS])</f>
        <v>43.5</v>
      </c>
      <c r="Z679" s="164">
        <f>(((BetTable[Odds]-1)*BetTable[Stake])*(1-(BetTable[Comm %]))+BetTable[Stake])</f>
        <v>93.5</v>
      </c>
      <c r="AA679" s="164">
        <f>(((BetTable[O2]-1)*BetTable[S2])*(1-(BetTable[C% 2]))+BetTable[S2])</f>
        <v>0</v>
      </c>
      <c r="AB679" s="164">
        <f>(((BetTable[O3]-1)*BetTable[S3])*(1-(BetTable[C% 3]))+BetTable[S3])</f>
        <v>0</v>
      </c>
      <c r="AC679" s="165">
        <f>IFERROR(IF(BetTable[Sport]="","",BetTable[R1]/BetTable[TS]),"")</f>
        <v>0.87</v>
      </c>
      <c r="AD679" s="165" t="str">
        <f>IF(BetTable[O2]="","",#REF!/BetTable[TS])</f>
        <v/>
      </c>
      <c r="AE679" s="165" t="str">
        <f>IFERROR(IF(BetTable[Sport]="","",#REF!/BetTable[TS]),"")</f>
        <v/>
      </c>
      <c r="AF679" s="164">
        <f>IF(BetTable[Outcome]="Win",BetTable[WBA1-Commission],IF(BetTable[Outcome]="Win Half Stake",(BetTable[Stake]/2)+BetTable[WBA1-Commission]/2,IF(BetTable[Outcome]="Lose Half Stake",BetTable[Stake]/2,IF(BetTable[Outcome]="Lose",0,IF(BetTable[Outcome]="Void",BetTable[Stake],)))))</f>
        <v>93.5</v>
      </c>
      <c r="AG679" s="164">
        <f>IF(BetTable[Outcome2]="Win",BetTable[WBA2-Commission],IF(BetTable[Outcome2]="Win Half Stake",(BetTable[S2]/2)+BetTable[WBA2-Commission]/2,IF(BetTable[Outcome2]="Lose Half Stake",BetTable[S2]/2,IF(BetTable[Outcome2]="Lose",0,IF(BetTable[Outcome2]="Void",BetTable[S2],)))))</f>
        <v>0</v>
      </c>
      <c r="AH679" s="164">
        <f>IF(BetTable[Outcome3]="Win",BetTable[WBA3-Commission],IF(BetTable[Outcome3]="Win Half Stake",(BetTable[S3]/2)+BetTable[WBA3-Commission]/2,IF(BetTable[Outcome3]="Lose Half Stake",BetTable[S3]/2,IF(BetTable[Outcome3]="Lose",0,IF(BetTable[Outcome3]="Void",BetTable[S3],)))))</f>
        <v>0</v>
      </c>
      <c r="AI679" s="168">
        <f>IF(BetTable[Outcome]="",AI678,BetTable[Result]+AI678)</f>
        <v>1109.6632500000007</v>
      </c>
      <c r="AJ679" s="160"/>
    </row>
    <row r="680" spans="1:36" x14ac:dyDescent="0.2">
      <c r="A680" s="159" t="s">
        <v>1790</v>
      </c>
      <c r="B680" s="160" t="s">
        <v>200</v>
      </c>
      <c r="C680" s="161" t="s">
        <v>1714</v>
      </c>
      <c r="D680" s="161"/>
      <c r="E680" s="161"/>
      <c r="F680" s="162"/>
      <c r="G680" s="162"/>
      <c r="H680" s="162"/>
      <c r="I680" s="160" t="s">
        <v>1867</v>
      </c>
      <c r="J680" s="163">
        <v>1.84</v>
      </c>
      <c r="K680" s="163"/>
      <c r="L680" s="163"/>
      <c r="M680" s="164">
        <v>39</v>
      </c>
      <c r="N680" s="164"/>
      <c r="O680" s="164"/>
      <c r="P680" s="159" t="s">
        <v>646</v>
      </c>
      <c r="Q680" s="159" t="s">
        <v>488</v>
      </c>
      <c r="R680" s="159" t="s">
        <v>1868</v>
      </c>
      <c r="S680" s="165">
        <v>2.11869907971938E-2</v>
      </c>
      <c r="T680" s="166" t="s">
        <v>549</v>
      </c>
      <c r="U680" s="166"/>
      <c r="V680" s="166"/>
      <c r="W680" s="167">
        <f>IF(BetTable[Sport]="","",BetTable[Stake]+BetTable[S2]+BetTable[S3])</f>
        <v>39</v>
      </c>
      <c r="X680" s="164">
        <f>IF(BetTable[Odds]="","",(BetTable[WBA1-Commission])-BetTable[TS])</f>
        <v>32.760000000000005</v>
      </c>
      <c r="Y680" s="168">
        <f>IF(BetTable[Outcome]="","",BetTable[WBA1]+BetTable[WBA2]+BetTable[WBA3]-BetTable[TS])</f>
        <v>-19.5</v>
      </c>
      <c r="Z680" s="164">
        <f>(((BetTable[Odds]-1)*BetTable[Stake])*(1-(BetTable[Comm %]))+BetTable[Stake])</f>
        <v>71.760000000000005</v>
      </c>
      <c r="AA680" s="164">
        <f>(((BetTable[O2]-1)*BetTable[S2])*(1-(BetTable[C% 2]))+BetTable[S2])</f>
        <v>0</v>
      </c>
      <c r="AB680" s="164">
        <f>(((BetTable[O3]-1)*BetTable[S3])*(1-(BetTable[C% 3]))+BetTable[S3])</f>
        <v>0</v>
      </c>
      <c r="AC680" s="165">
        <f>IFERROR(IF(BetTable[Sport]="","",BetTable[R1]/BetTable[TS]),"")</f>
        <v>0.84000000000000008</v>
      </c>
      <c r="AD680" s="165" t="str">
        <f>IF(BetTable[O2]="","",#REF!/BetTable[TS])</f>
        <v/>
      </c>
      <c r="AE680" s="165" t="str">
        <f>IFERROR(IF(BetTable[Sport]="","",#REF!/BetTable[TS]),"")</f>
        <v/>
      </c>
      <c r="AF680" s="164">
        <f>IF(BetTable[Outcome]="Win",BetTable[WBA1-Commission],IF(BetTable[Outcome]="Win Half Stake",(BetTable[Stake]/2)+BetTable[WBA1-Commission]/2,IF(BetTable[Outcome]="Lose Half Stake",BetTable[Stake]/2,IF(BetTable[Outcome]="Lose",0,IF(BetTable[Outcome]="Void",BetTable[Stake],)))))</f>
        <v>19.5</v>
      </c>
      <c r="AG680" s="164">
        <f>IF(BetTable[Outcome2]="Win",BetTable[WBA2-Commission],IF(BetTable[Outcome2]="Win Half Stake",(BetTable[S2]/2)+BetTable[WBA2-Commission]/2,IF(BetTable[Outcome2]="Lose Half Stake",BetTable[S2]/2,IF(BetTable[Outcome2]="Lose",0,IF(BetTable[Outcome2]="Void",BetTable[S2],)))))</f>
        <v>0</v>
      </c>
      <c r="AH680" s="164">
        <f>IF(BetTable[Outcome3]="Win",BetTable[WBA3-Commission],IF(BetTable[Outcome3]="Win Half Stake",(BetTable[S3]/2)+BetTable[WBA3-Commission]/2,IF(BetTable[Outcome3]="Lose Half Stake",BetTable[S3]/2,IF(BetTable[Outcome3]="Lose",0,IF(BetTable[Outcome3]="Void",BetTable[S3],)))))</f>
        <v>0</v>
      </c>
      <c r="AI680" s="168">
        <f>IF(BetTable[Outcome]="",AI679,BetTable[Result]+AI679)</f>
        <v>1090.1632500000007</v>
      </c>
      <c r="AJ680" s="160"/>
    </row>
    <row r="681" spans="1:36" x14ac:dyDescent="0.2">
      <c r="A681" s="159" t="s">
        <v>1790</v>
      </c>
      <c r="B681" s="160" t="s">
        <v>7</v>
      </c>
      <c r="C681" s="161" t="s">
        <v>91</v>
      </c>
      <c r="D681" s="161"/>
      <c r="E681" s="161"/>
      <c r="F681" s="162"/>
      <c r="G681" s="162"/>
      <c r="H681" s="162"/>
      <c r="I681" s="160" t="s">
        <v>1869</v>
      </c>
      <c r="J681" s="163">
        <v>2.16</v>
      </c>
      <c r="K681" s="163"/>
      <c r="L681" s="163"/>
      <c r="M681" s="164">
        <v>22</v>
      </c>
      <c r="N681" s="164"/>
      <c r="O681" s="164"/>
      <c r="P681" s="159" t="s">
        <v>1320</v>
      </c>
      <c r="Q681" s="159" t="s">
        <v>474</v>
      </c>
      <c r="R681" s="159" t="s">
        <v>1870</v>
      </c>
      <c r="S681" s="165">
        <v>1.6795788687894699E-2</v>
      </c>
      <c r="T681" s="166" t="s">
        <v>372</v>
      </c>
      <c r="U681" s="166"/>
      <c r="V681" s="166"/>
      <c r="W681" s="167">
        <f>IF(BetTable[Sport]="","",BetTable[Stake]+BetTable[S2]+BetTable[S3])</f>
        <v>22</v>
      </c>
      <c r="X681" s="164">
        <f>IF(BetTable[Odds]="","",(BetTable[WBA1-Commission])-BetTable[TS])</f>
        <v>25.520000000000003</v>
      </c>
      <c r="Y681" s="168">
        <f>IF(BetTable[Outcome]="","",BetTable[WBA1]+BetTable[WBA2]+BetTable[WBA3]-BetTable[TS])</f>
        <v>25.520000000000003</v>
      </c>
      <c r="Z681" s="164">
        <f>(((BetTable[Odds]-1)*BetTable[Stake])*(1-(BetTable[Comm %]))+BetTable[Stake])</f>
        <v>47.52</v>
      </c>
      <c r="AA681" s="164">
        <f>(((BetTable[O2]-1)*BetTable[S2])*(1-(BetTable[C% 2]))+BetTable[S2])</f>
        <v>0</v>
      </c>
      <c r="AB681" s="164">
        <f>(((BetTable[O3]-1)*BetTable[S3])*(1-(BetTable[C% 3]))+BetTable[S3])</f>
        <v>0</v>
      </c>
      <c r="AC681" s="165">
        <f>IFERROR(IF(BetTable[Sport]="","",BetTable[R1]/BetTable[TS]),"")</f>
        <v>1.1600000000000001</v>
      </c>
      <c r="AD681" s="165" t="str">
        <f>IF(BetTable[O2]="","",#REF!/BetTable[TS])</f>
        <v/>
      </c>
      <c r="AE681" s="165" t="str">
        <f>IFERROR(IF(BetTable[Sport]="","",#REF!/BetTable[TS]),"")</f>
        <v/>
      </c>
      <c r="AF681" s="164">
        <f>IF(BetTable[Outcome]="Win",BetTable[WBA1-Commission],IF(BetTable[Outcome]="Win Half Stake",(BetTable[Stake]/2)+BetTable[WBA1-Commission]/2,IF(BetTable[Outcome]="Lose Half Stake",BetTable[Stake]/2,IF(BetTable[Outcome]="Lose",0,IF(BetTable[Outcome]="Void",BetTable[Stake],)))))</f>
        <v>47.52</v>
      </c>
      <c r="AG681" s="164">
        <f>IF(BetTable[Outcome2]="Win",BetTable[WBA2-Commission],IF(BetTable[Outcome2]="Win Half Stake",(BetTable[S2]/2)+BetTable[WBA2-Commission]/2,IF(BetTable[Outcome2]="Lose Half Stake",BetTable[S2]/2,IF(BetTable[Outcome2]="Lose",0,IF(BetTable[Outcome2]="Void",BetTable[S2],)))))</f>
        <v>0</v>
      </c>
      <c r="AH681" s="164">
        <f>IF(BetTable[Outcome3]="Win",BetTable[WBA3-Commission],IF(BetTable[Outcome3]="Win Half Stake",(BetTable[S3]/2)+BetTable[WBA3-Commission]/2,IF(BetTable[Outcome3]="Lose Half Stake",BetTable[S3]/2,IF(BetTable[Outcome3]="Lose",0,IF(BetTable[Outcome3]="Void",BetTable[S3],)))))</f>
        <v>0</v>
      </c>
      <c r="AI681" s="168">
        <f>IF(BetTable[Outcome]="",AI680,BetTable[Result]+AI680)</f>
        <v>1115.6832500000007</v>
      </c>
      <c r="AJ681" s="160"/>
    </row>
    <row r="682" spans="1:36" x14ac:dyDescent="0.2">
      <c r="A682" s="159" t="s">
        <v>1790</v>
      </c>
      <c r="B682" s="160" t="s">
        <v>7</v>
      </c>
      <c r="C682" s="161" t="s">
        <v>1714</v>
      </c>
      <c r="D682" s="161"/>
      <c r="E682" s="161"/>
      <c r="F682" s="162"/>
      <c r="G682" s="162"/>
      <c r="H682" s="162"/>
      <c r="I682" s="160" t="s">
        <v>1871</v>
      </c>
      <c r="J682" s="163">
        <v>2</v>
      </c>
      <c r="K682" s="163"/>
      <c r="L682" s="163"/>
      <c r="M682" s="164">
        <v>35</v>
      </c>
      <c r="N682" s="164"/>
      <c r="O682" s="164"/>
      <c r="P682" s="159" t="s">
        <v>1872</v>
      </c>
      <c r="Q682" s="159" t="s">
        <v>968</v>
      </c>
      <c r="R682" s="159" t="s">
        <v>1873</v>
      </c>
      <c r="S682" s="165">
        <v>2.26869808239194E-2</v>
      </c>
      <c r="T682" s="166" t="s">
        <v>372</v>
      </c>
      <c r="U682" s="166"/>
      <c r="V682" s="166"/>
      <c r="W682" s="167">
        <f>IF(BetTable[Sport]="","",BetTable[Stake]+BetTable[S2]+BetTable[S3])</f>
        <v>35</v>
      </c>
      <c r="X682" s="164">
        <f>IF(BetTable[Odds]="","",(BetTable[WBA1-Commission])-BetTable[TS])</f>
        <v>35</v>
      </c>
      <c r="Y682" s="168">
        <f>IF(BetTable[Outcome]="","",BetTable[WBA1]+BetTable[WBA2]+BetTable[WBA3]-BetTable[TS])</f>
        <v>35</v>
      </c>
      <c r="Z682" s="164">
        <f>(((BetTable[Odds]-1)*BetTable[Stake])*(1-(BetTable[Comm %]))+BetTable[Stake])</f>
        <v>70</v>
      </c>
      <c r="AA682" s="164">
        <f>(((BetTable[O2]-1)*BetTable[S2])*(1-(BetTable[C% 2]))+BetTable[S2])</f>
        <v>0</v>
      </c>
      <c r="AB682" s="164">
        <f>(((BetTable[O3]-1)*BetTable[S3])*(1-(BetTable[C% 3]))+BetTable[S3])</f>
        <v>0</v>
      </c>
      <c r="AC682" s="165">
        <f>IFERROR(IF(BetTable[Sport]="","",BetTable[R1]/BetTable[TS]),"")</f>
        <v>1</v>
      </c>
      <c r="AD682" s="165" t="str">
        <f>IF(BetTable[O2]="","",#REF!/BetTable[TS])</f>
        <v/>
      </c>
      <c r="AE682" s="165" t="str">
        <f>IFERROR(IF(BetTable[Sport]="","",#REF!/BetTable[TS]),"")</f>
        <v/>
      </c>
      <c r="AF682" s="164">
        <f>IF(BetTable[Outcome]="Win",BetTable[WBA1-Commission],IF(BetTable[Outcome]="Win Half Stake",(BetTable[Stake]/2)+BetTable[WBA1-Commission]/2,IF(BetTable[Outcome]="Lose Half Stake",BetTable[Stake]/2,IF(BetTable[Outcome]="Lose",0,IF(BetTable[Outcome]="Void",BetTable[Stake],)))))</f>
        <v>70</v>
      </c>
      <c r="AG682" s="164">
        <f>IF(BetTable[Outcome2]="Win",BetTable[WBA2-Commission],IF(BetTable[Outcome2]="Win Half Stake",(BetTable[S2]/2)+BetTable[WBA2-Commission]/2,IF(BetTable[Outcome2]="Lose Half Stake",BetTable[S2]/2,IF(BetTable[Outcome2]="Lose",0,IF(BetTable[Outcome2]="Void",BetTable[S2],)))))</f>
        <v>0</v>
      </c>
      <c r="AH682" s="164">
        <f>IF(BetTable[Outcome3]="Win",BetTable[WBA3-Commission],IF(BetTable[Outcome3]="Win Half Stake",(BetTable[S3]/2)+BetTable[WBA3-Commission]/2,IF(BetTable[Outcome3]="Lose Half Stake",BetTable[S3]/2,IF(BetTable[Outcome3]="Lose",0,IF(BetTable[Outcome3]="Void",BetTable[S3],)))))</f>
        <v>0</v>
      </c>
      <c r="AI682" s="168">
        <f>IF(BetTable[Outcome]="",AI681,BetTable[Result]+AI681)</f>
        <v>1150.6832500000007</v>
      </c>
      <c r="AJ682" s="160"/>
    </row>
    <row r="683" spans="1:36" x14ac:dyDescent="0.2">
      <c r="A683" s="159" t="s">
        <v>1790</v>
      </c>
      <c r="B683" s="160" t="s">
        <v>200</v>
      </c>
      <c r="C683" s="161" t="s">
        <v>1714</v>
      </c>
      <c r="D683" s="161"/>
      <c r="E683" s="161"/>
      <c r="F683" s="162"/>
      <c r="G683" s="162"/>
      <c r="H683" s="162"/>
      <c r="I683" s="160" t="s">
        <v>1874</v>
      </c>
      <c r="J683" s="163">
        <v>1.65</v>
      </c>
      <c r="K683" s="163"/>
      <c r="L683" s="163"/>
      <c r="M683" s="164">
        <v>55</v>
      </c>
      <c r="N683" s="164"/>
      <c r="O683" s="164"/>
      <c r="P683" s="159" t="s">
        <v>1528</v>
      </c>
      <c r="Q683" s="159" t="s">
        <v>439</v>
      </c>
      <c r="R683" s="159" t="s">
        <v>1875</v>
      </c>
      <c r="S683" s="165">
        <v>2.3183994407648199E-2</v>
      </c>
      <c r="T683" s="166" t="s">
        <v>382</v>
      </c>
      <c r="U683" s="166"/>
      <c r="V683" s="166"/>
      <c r="W683" s="167">
        <f>IF(BetTable[Sport]="","",BetTable[Stake]+BetTable[S2]+BetTable[S3])</f>
        <v>55</v>
      </c>
      <c r="X683" s="164">
        <f>IF(BetTable[Odds]="","",(BetTable[WBA1-Commission])-BetTable[TS])</f>
        <v>35.75</v>
      </c>
      <c r="Y683" s="168">
        <f>IF(BetTable[Outcome]="","",BetTable[WBA1]+BetTable[WBA2]+BetTable[WBA3]-BetTable[TS])</f>
        <v>-55</v>
      </c>
      <c r="Z683" s="164">
        <f>(((BetTable[Odds]-1)*BetTable[Stake])*(1-(BetTable[Comm %]))+BetTable[Stake])</f>
        <v>90.75</v>
      </c>
      <c r="AA683" s="164">
        <f>(((BetTable[O2]-1)*BetTable[S2])*(1-(BetTable[C% 2]))+BetTable[S2])</f>
        <v>0</v>
      </c>
      <c r="AB683" s="164">
        <f>(((BetTable[O3]-1)*BetTable[S3])*(1-(BetTable[C% 3]))+BetTable[S3])</f>
        <v>0</v>
      </c>
      <c r="AC683" s="165">
        <f>IFERROR(IF(BetTable[Sport]="","",BetTable[R1]/BetTable[TS]),"")</f>
        <v>0.65</v>
      </c>
      <c r="AD683" s="165" t="str">
        <f>IF(BetTable[O2]="","",#REF!/BetTable[TS])</f>
        <v/>
      </c>
      <c r="AE683" s="165" t="str">
        <f>IFERROR(IF(BetTable[Sport]="","",#REF!/BetTable[TS]),"")</f>
        <v/>
      </c>
      <c r="AF683" s="164">
        <f>IF(BetTable[Outcome]="Win",BetTable[WBA1-Commission],IF(BetTable[Outcome]="Win Half Stake",(BetTable[Stake]/2)+BetTable[WBA1-Commission]/2,IF(BetTable[Outcome]="Lose Half Stake",BetTable[Stake]/2,IF(BetTable[Outcome]="Lose",0,IF(BetTable[Outcome]="Void",BetTable[Stake],)))))</f>
        <v>0</v>
      </c>
      <c r="AG683" s="164">
        <f>IF(BetTable[Outcome2]="Win",BetTable[WBA2-Commission],IF(BetTable[Outcome2]="Win Half Stake",(BetTable[S2]/2)+BetTable[WBA2-Commission]/2,IF(BetTable[Outcome2]="Lose Half Stake",BetTable[S2]/2,IF(BetTable[Outcome2]="Lose",0,IF(BetTable[Outcome2]="Void",BetTable[S2],)))))</f>
        <v>0</v>
      </c>
      <c r="AH683" s="164">
        <f>IF(BetTable[Outcome3]="Win",BetTable[WBA3-Commission],IF(BetTable[Outcome3]="Win Half Stake",(BetTable[S3]/2)+BetTable[WBA3-Commission]/2,IF(BetTable[Outcome3]="Lose Half Stake",BetTable[S3]/2,IF(BetTable[Outcome3]="Lose",0,IF(BetTable[Outcome3]="Void",BetTable[S3],)))))</f>
        <v>0</v>
      </c>
      <c r="AI683" s="168">
        <f>IF(BetTable[Outcome]="",AI682,BetTable[Result]+AI682)</f>
        <v>1095.6832500000007</v>
      </c>
      <c r="AJ683" s="160"/>
    </row>
    <row r="684" spans="1:36" x14ac:dyDescent="0.2">
      <c r="A684" s="159" t="s">
        <v>1790</v>
      </c>
      <c r="B684" s="160" t="s">
        <v>200</v>
      </c>
      <c r="C684" s="161" t="s">
        <v>1714</v>
      </c>
      <c r="D684" s="161"/>
      <c r="E684" s="161"/>
      <c r="F684" s="162"/>
      <c r="G684" s="162"/>
      <c r="H684" s="162"/>
      <c r="I684" s="160" t="s">
        <v>1876</v>
      </c>
      <c r="J684" s="163">
        <v>1.79</v>
      </c>
      <c r="K684" s="163"/>
      <c r="L684" s="163"/>
      <c r="M684" s="164">
        <v>33</v>
      </c>
      <c r="N684" s="164"/>
      <c r="O684" s="164"/>
      <c r="P684" s="159" t="s">
        <v>385</v>
      </c>
      <c r="Q684" s="159" t="s">
        <v>488</v>
      </c>
      <c r="R684" s="159" t="s">
        <v>1877</v>
      </c>
      <c r="S684" s="165">
        <v>1.70107038379806E-2</v>
      </c>
      <c r="T684" s="166" t="s">
        <v>372</v>
      </c>
      <c r="U684" s="166"/>
      <c r="V684" s="166"/>
      <c r="W684" s="167">
        <f>IF(BetTable[Sport]="","",BetTable[Stake]+BetTable[S2]+BetTable[S3])</f>
        <v>33</v>
      </c>
      <c r="X684" s="164">
        <f>IF(BetTable[Odds]="","",(BetTable[WBA1-Commission])-BetTable[TS])</f>
        <v>26.07</v>
      </c>
      <c r="Y684" s="168">
        <f>IF(BetTable[Outcome]="","",BetTable[WBA1]+BetTable[WBA2]+BetTable[WBA3]-BetTable[TS])</f>
        <v>26.07</v>
      </c>
      <c r="Z684" s="164">
        <f>(((BetTable[Odds]-1)*BetTable[Stake])*(1-(BetTable[Comm %]))+BetTable[Stake])</f>
        <v>59.07</v>
      </c>
      <c r="AA684" s="164">
        <f>(((BetTable[O2]-1)*BetTable[S2])*(1-(BetTable[C% 2]))+BetTable[S2])</f>
        <v>0</v>
      </c>
      <c r="AB684" s="164">
        <f>(((BetTable[O3]-1)*BetTable[S3])*(1-(BetTable[C% 3]))+BetTable[S3])</f>
        <v>0</v>
      </c>
      <c r="AC684" s="165">
        <f>IFERROR(IF(BetTable[Sport]="","",BetTable[R1]/BetTable[TS]),"")</f>
        <v>0.79</v>
      </c>
      <c r="AD684" s="165" t="str">
        <f>IF(BetTable[O2]="","",#REF!/BetTable[TS])</f>
        <v/>
      </c>
      <c r="AE684" s="165" t="str">
        <f>IFERROR(IF(BetTable[Sport]="","",#REF!/BetTable[TS]),"")</f>
        <v/>
      </c>
      <c r="AF684" s="164">
        <f>IF(BetTable[Outcome]="Win",BetTable[WBA1-Commission],IF(BetTable[Outcome]="Win Half Stake",(BetTable[Stake]/2)+BetTable[WBA1-Commission]/2,IF(BetTable[Outcome]="Lose Half Stake",BetTable[Stake]/2,IF(BetTable[Outcome]="Lose",0,IF(BetTable[Outcome]="Void",BetTable[Stake],)))))</f>
        <v>59.07</v>
      </c>
      <c r="AG684" s="164">
        <f>IF(BetTable[Outcome2]="Win",BetTable[WBA2-Commission],IF(BetTable[Outcome2]="Win Half Stake",(BetTable[S2]/2)+BetTable[WBA2-Commission]/2,IF(BetTable[Outcome2]="Lose Half Stake",BetTable[S2]/2,IF(BetTable[Outcome2]="Lose",0,IF(BetTable[Outcome2]="Void",BetTable[S2],)))))</f>
        <v>0</v>
      </c>
      <c r="AH684" s="164">
        <f>IF(BetTable[Outcome3]="Win",BetTable[WBA3-Commission],IF(BetTable[Outcome3]="Win Half Stake",(BetTable[S3]/2)+BetTable[WBA3-Commission]/2,IF(BetTable[Outcome3]="Lose Half Stake",BetTable[S3]/2,IF(BetTable[Outcome3]="Lose",0,IF(BetTable[Outcome3]="Void",BetTable[S3],)))))</f>
        <v>0</v>
      </c>
      <c r="AI684" s="168">
        <f>IF(BetTable[Outcome]="",AI683,BetTable[Result]+AI683)</f>
        <v>1121.7532500000007</v>
      </c>
      <c r="AJ684" s="160"/>
    </row>
    <row r="685" spans="1:36" x14ac:dyDescent="0.2">
      <c r="A685" s="159" t="s">
        <v>1790</v>
      </c>
      <c r="B685" s="160" t="s">
        <v>200</v>
      </c>
      <c r="C685" s="161" t="s">
        <v>1714</v>
      </c>
      <c r="D685" s="161"/>
      <c r="E685" s="161"/>
      <c r="F685" s="162"/>
      <c r="G685" s="162"/>
      <c r="H685" s="162"/>
      <c r="I685" s="160" t="s">
        <v>1878</v>
      </c>
      <c r="J685" s="163">
        <v>1.77</v>
      </c>
      <c r="K685" s="163"/>
      <c r="L685" s="163"/>
      <c r="M685" s="164">
        <v>38</v>
      </c>
      <c r="N685" s="164"/>
      <c r="O685" s="164"/>
      <c r="P685" s="159" t="s">
        <v>646</v>
      </c>
      <c r="Q685" s="159" t="s">
        <v>506</v>
      </c>
      <c r="R685" s="159" t="s">
        <v>1879</v>
      </c>
      <c r="S685" s="165">
        <v>1.89061722972079E-2</v>
      </c>
      <c r="T685" s="166" t="s">
        <v>549</v>
      </c>
      <c r="U685" s="166"/>
      <c r="V685" s="166"/>
      <c r="W685" s="167">
        <f>IF(BetTable[Sport]="","",BetTable[Stake]+BetTable[S2]+BetTable[S3])</f>
        <v>38</v>
      </c>
      <c r="X685" s="164">
        <f>IF(BetTable[Odds]="","",(BetTable[WBA1-Commission])-BetTable[TS])</f>
        <v>29.260000000000005</v>
      </c>
      <c r="Y685" s="168">
        <f>IF(BetTable[Outcome]="","",BetTable[WBA1]+BetTable[WBA2]+BetTable[WBA3]-BetTable[TS])</f>
        <v>-19</v>
      </c>
      <c r="Z685" s="164">
        <f>(((BetTable[Odds]-1)*BetTable[Stake])*(1-(BetTable[Comm %]))+BetTable[Stake])</f>
        <v>67.260000000000005</v>
      </c>
      <c r="AA685" s="164">
        <f>(((BetTable[O2]-1)*BetTable[S2])*(1-(BetTable[C% 2]))+BetTable[S2])</f>
        <v>0</v>
      </c>
      <c r="AB685" s="164">
        <f>(((BetTable[O3]-1)*BetTable[S3])*(1-(BetTable[C% 3]))+BetTable[S3])</f>
        <v>0</v>
      </c>
      <c r="AC685" s="165">
        <f>IFERROR(IF(BetTable[Sport]="","",BetTable[R1]/BetTable[TS]),"")</f>
        <v>0.77000000000000013</v>
      </c>
      <c r="AD685" s="165" t="str">
        <f>IF(BetTable[O2]="","",#REF!/BetTable[TS])</f>
        <v/>
      </c>
      <c r="AE685" s="165" t="str">
        <f>IFERROR(IF(BetTable[Sport]="","",#REF!/BetTable[TS]),"")</f>
        <v/>
      </c>
      <c r="AF685" s="164">
        <f>IF(BetTable[Outcome]="Win",BetTable[WBA1-Commission],IF(BetTable[Outcome]="Win Half Stake",(BetTable[Stake]/2)+BetTable[WBA1-Commission]/2,IF(BetTable[Outcome]="Lose Half Stake",BetTable[Stake]/2,IF(BetTable[Outcome]="Lose",0,IF(BetTable[Outcome]="Void",BetTable[Stake],)))))</f>
        <v>19</v>
      </c>
      <c r="AG685" s="164">
        <f>IF(BetTable[Outcome2]="Win",BetTable[WBA2-Commission],IF(BetTable[Outcome2]="Win Half Stake",(BetTable[S2]/2)+BetTable[WBA2-Commission]/2,IF(BetTable[Outcome2]="Lose Half Stake",BetTable[S2]/2,IF(BetTable[Outcome2]="Lose",0,IF(BetTable[Outcome2]="Void",BetTable[S2],)))))</f>
        <v>0</v>
      </c>
      <c r="AH685" s="164">
        <f>IF(BetTable[Outcome3]="Win",BetTable[WBA3-Commission],IF(BetTable[Outcome3]="Win Half Stake",(BetTable[S3]/2)+BetTable[WBA3-Commission]/2,IF(BetTable[Outcome3]="Lose Half Stake",BetTable[S3]/2,IF(BetTable[Outcome3]="Lose",0,IF(BetTable[Outcome3]="Void",BetTable[S3],)))))</f>
        <v>0</v>
      </c>
      <c r="AI685" s="168">
        <f>IF(BetTable[Outcome]="",AI684,BetTable[Result]+AI684)</f>
        <v>1102.7532500000007</v>
      </c>
      <c r="AJ685" s="160"/>
    </row>
    <row r="686" spans="1:36" x14ac:dyDescent="0.2">
      <c r="A686" s="159" t="s">
        <v>1790</v>
      </c>
      <c r="B686" s="160" t="s">
        <v>200</v>
      </c>
      <c r="C686" s="161" t="s">
        <v>91</v>
      </c>
      <c r="D686" s="161"/>
      <c r="E686" s="161"/>
      <c r="F686" s="162"/>
      <c r="G686" s="162"/>
      <c r="H686" s="162"/>
      <c r="I686" s="160" t="s">
        <v>1880</v>
      </c>
      <c r="J686" s="163">
        <v>1.94</v>
      </c>
      <c r="K686" s="163"/>
      <c r="L686" s="163"/>
      <c r="M686" s="164">
        <v>40</v>
      </c>
      <c r="N686" s="164"/>
      <c r="O686" s="164"/>
      <c r="P686" s="159" t="s">
        <v>782</v>
      </c>
      <c r="Q686" s="159" t="s">
        <v>454</v>
      </c>
      <c r="R686" s="159" t="s">
        <v>1881</v>
      </c>
      <c r="S686" s="165">
        <v>2.4377700470494802E-2</v>
      </c>
      <c r="T686" s="166" t="s">
        <v>382</v>
      </c>
      <c r="U686" s="166"/>
      <c r="V686" s="166"/>
      <c r="W686" s="167">
        <f>IF(BetTable[Sport]="","",BetTable[Stake]+BetTable[S2]+BetTable[S3])</f>
        <v>40</v>
      </c>
      <c r="X686" s="164">
        <f>IF(BetTable[Odds]="","",(BetTable[WBA1-Commission])-BetTable[TS])</f>
        <v>37.599999999999994</v>
      </c>
      <c r="Y686" s="168">
        <f>IF(BetTable[Outcome]="","",BetTable[WBA1]+BetTable[WBA2]+BetTable[WBA3]-BetTable[TS])</f>
        <v>-40</v>
      </c>
      <c r="Z686" s="164">
        <f>(((BetTable[Odds]-1)*BetTable[Stake])*(1-(BetTable[Comm %]))+BetTable[Stake])</f>
        <v>77.599999999999994</v>
      </c>
      <c r="AA686" s="164">
        <f>(((BetTable[O2]-1)*BetTable[S2])*(1-(BetTable[C% 2]))+BetTable[S2])</f>
        <v>0</v>
      </c>
      <c r="AB686" s="164">
        <f>(((BetTable[O3]-1)*BetTable[S3])*(1-(BetTable[C% 3]))+BetTable[S3])</f>
        <v>0</v>
      </c>
      <c r="AC686" s="165">
        <f>IFERROR(IF(BetTable[Sport]="","",BetTable[R1]/BetTable[TS]),"")</f>
        <v>0.93999999999999984</v>
      </c>
      <c r="AD686" s="165" t="str">
        <f>IF(BetTable[O2]="","",#REF!/BetTable[TS])</f>
        <v/>
      </c>
      <c r="AE686" s="165" t="str">
        <f>IFERROR(IF(BetTable[Sport]="","",#REF!/BetTable[TS]),"")</f>
        <v/>
      </c>
      <c r="AF686" s="164">
        <f>IF(BetTable[Outcome]="Win",BetTable[WBA1-Commission],IF(BetTable[Outcome]="Win Half Stake",(BetTable[Stake]/2)+BetTable[WBA1-Commission]/2,IF(BetTable[Outcome]="Lose Half Stake",BetTable[Stake]/2,IF(BetTable[Outcome]="Lose",0,IF(BetTable[Outcome]="Void",BetTable[Stake],)))))</f>
        <v>0</v>
      </c>
      <c r="AG686" s="164">
        <f>IF(BetTable[Outcome2]="Win",BetTable[WBA2-Commission],IF(BetTable[Outcome2]="Win Half Stake",(BetTable[S2]/2)+BetTable[WBA2-Commission]/2,IF(BetTable[Outcome2]="Lose Half Stake",BetTable[S2]/2,IF(BetTable[Outcome2]="Lose",0,IF(BetTable[Outcome2]="Void",BetTable[S2],)))))</f>
        <v>0</v>
      </c>
      <c r="AH686" s="164">
        <f>IF(BetTable[Outcome3]="Win",BetTable[WBA3-Commission],IF(BetTable[Outcome3]="Win Half Stake",(BetTable[S3]/2)+BetTable[WBA3-Commission]/2,IF(BetTable[Outcome3]="Lose Half Stake",BetTable[S3]/2,IF(BetTable[Outcome3]="Lose",0,IF(BetTable[Outcome3]="Void",BetTable[S3],)))))</f>
        <v>0</v>
      </c>
      <c r="AI686" s="168">
        <f>IF(BetTable[Outcome]="",AI685,BetTable[Result]+AI685)</f>
        <v>1062.7532500000007</v>
      </c>
      <c r="AJ686" s="160"/>
    </row>
    <row r="687" spans="1:36" x14ac:dyDescent="0.2">
      <c r="A687" s="159" t="s">
        <v>1790</v>
      </c>
      <c r="B687" s="160" t="s">
        <v>7</v>
      </c>
      <c r="C687" s="161" t="s">
        <v>1714</v>
      </c>
      <c r="D687" s="161"/>
      <c r="E687" s="161"/>
      <c r="F687" s="162"/>
      <c r="G687" s="162"/>
      <c r="H687" s="162"/>
      <c r="I687" s="160" t="s">
        <v>1882</v>
      </c>
      <c r="J687" s="163">
        <v>1.96</v>
      </c>
      <c r="K687" s="163"/>
      <c r="L687" s="163"/>
      <c r="M687" s="164">
        <v>50</v>
      </c>
      <c r="N687" s="164"/>
      <c r="O687" s="164"/>
      <c r="P687" s="159" t="s">
        <v>1883</v>
      </c>
      <c r="Q687" s="159" t="s">
        <v>503</v>
      </c>
      <c r="R687" s="159" t="s">
        <v>1884</v>
      </c>
      <c r="S687" s="165">
        <v>3.09970002488286E-2</v>
      </c>
      <c r="T687" s="166" t="s">
        <v>372</v>
      </c>
      <c r="U687" s="166"/>
      <c r="V687" s="166"/>
      <c r="W687" s="167">
        <f>IF(BetTable[Sport]="","",BetTable[Stake]+BetTable[S2]+BetTable[S3])</f>
        <v>50</v>
      </c>
      <c r="X687" s="164">
        <f>IF(BetTable[Odds]="","",(BetTable[WBA1-Commission])-BetTable[TS])</f>
        <v>48</v>
      </c>
      <c r="Y687" s="168">
        <f>IF(BetTable[Outcome]="","",BetTable[WBA1]+BetTable[WBA2]+BetTable[WBA3]-BetTable[TS])</f>
        <v>48</v>
      </c>
      <c r="Z687" s="164">
        <f>(((BetTable[Odds]-1)*BetTable[Stake])*(1-(BetTable[Comm %]))+BetTable[Stake])</f>
        <v>98</v>
      </c>
      <c r="AA687" s="164">
        <f>(((BetTable[O2]-1)*BetTable[S2])*(1-(BetTable[C% 2]))+BetTable[S2])</f>
        <v>0</v>
      </c>
      <c r="AB687" s="164">
        <f>(((BetTable[O3]-1)*BetTable[S3])*(1-(BetTable[C% 3]))+BetTable[S3])</f>
        <v>0</v>
      </c>
      <c r="AC687" s="165">
        <f>IFERROR(IF(BetTable[Sport]="","",BetTable[R1]/BetTable[TS]),"")</f>
        <v>0.96</v>
      </c>
      <c r="AD687" s="165" t="str">
        <f>IF(BetTable[O2]="","",#REF!/BetTable[TS])</f>
        <v/>
      </c>
      <c r="AE687" s="165" t="str">
        <f>IFERROR(IF(BetTable[Sport]="","",#REF!/BetTable[TS]),"")</f>
        <v/>
      </c>
      <c r="AF687" s="164">
        <f>IF(BetTable[Outcome]="Win",BetTable[WBA1-Commission],IF(BetTable[Outcome]="Win Half Stake",(BetTable[Stake]/2)+BetTable[WBA1-Commission]/2,IF(BetTable[Outcome]="Lose Half Stake",BetTable[Stake]/2,IF(BetTable[Outcome]="Lose",0,IF(BetTable[Outcome]="Void",BetTable[Stake],)))))</f>
        <v>98</v>
      </c>
      <c r="AG687" s="164">
        <f>IF(BetTable[Outcome2]="Win",BetTable[WBA2-Commission],IF(BetTable[Outcome2]="Win Half Stake",(BetTable[S2]/2)+BetTable[WBA2-Commission]/2,IF(BetTable[Outcome2]="Lose Half Stake",BetTable[S2]/2,IF(BetTable[Outcome2]="Lose",0,IF(BetTable[Outcome2]="Void",BetTable[S2],)))))</f>
        <v>0</v>
      </c>
      <c r="AH687" s="164">
        <f>IF(BetTable[Outcome3]="Win",BetTable[WBA3-Commission],IF(BetTable[Outcome3]="Win Half Stake",(BetTable[S3]/2)+BetTable[WBA3-Commission]/2,IF(BetTable[Outcome3]="Lose Half Stake",BetTable[S3]/2,IF(BetTable[Outcome3]="Lose",0,IF(BetTable[Outcome3]="Void",BetTable[S3],)))))</f>
        <v>0</v>
      </c>
      <c r="AI687" s="168">
        <f>IF(BetTable[Outcome]="",AI686,BetTable[Result]+AI686)</f>
        <v>1110.7532500000007</v>
      </c>
      <c r="AJ687" s="160"/>
    </row>
    <row r="688" spans="1:36" x14ac:dyDescent="0.2">
      <c r="A688" s="159" t="s">
        <v>1790</v>
      </c>
      <c r="B688" s="160" t="s">
        <v>200</v>
      </c>
      <c r="C688" s="161" t="s">
        <v>1714</v>
      </c>
      <c r="D688" s="161"/>
      <c r="E688" s="161"/>
      <c r="F688" s="162"/>
      <c r="G688" s="162"/>
      <c r="H688" s="162"/>
      <c r="I688" s="160" t="s">
        <v>1885</v>
      </c>
      <c r="J688" s="163">
        <v>1.85</v>
      </c>
      <c r="K688" s="163"/>
      <c r="L688" s="163"/>
      <c r="M688" s="164">
        <v>48</v>
      </c>
      <c r="N688" s="164"/>
      <c r="O688" s="164"/>
      <c r="P688" s="159" t="s">
        <v>688</v>
      </c>
      <c r="Q688" s="159" t="s">
        <v>818</v>
      </c>
      <c r="R688" s="159" t="s">
        <v>1886</v>
      </c>
      <c r="S688" s="165">
        <v>2.64597064982314E-2</v>
      </c>
      <c r="T688" s="166" t="s">
        <v>382</v>
      </c>
      <c r="U688" s="166"/>
      <c r="V688" s="166"/>
      <c r="W688" s="167">
        <f>IF(BetTable[Sport]="","",BetTable[Stake]+BetTable[S2]+BetTable[S3])</f>
        <v>48</v>
      </c>
      <c r="X688" s="164">
        <f>IF(BetTable[Odds]="","",(BetTable[WBA1-Commission])-BetTable[TS])</f>
        <v>40.800000000000011</v>
      </c>
      <c r="Y688" s="168">
        <f>IF(BetTable[Outcome]="","",BetTable[WBA1]+BetTable[WBA2]+BetTable[WBA3]-BetTable[TS])</f>
        <v>-48</v>
      </c>
      <c r="Z688" s="164">
        <f>(((BetTable[Odds]-1)*BetTable[Stake])*(1-(BetTable[Comm %]))+BetTable[Stake])</f>
        <v>88.800000000000011</v>
      </c>
      <c r="AA688" s="164">
        <f>(((BetTable[O2]-1)*BetTable[S2])*(1-(BetTable[C% 2]))+BetTable[S2])</f>
        <v>0</v>
      </c>
      <c r="AB688" s="164">
        <f>(((BetTable[O3]-1)*BetTable[S3])*(1-(BetTable[C% 3]))+BetTable[S3])</f>
        <v>0</v>
      </c>
      <c r="AC688" s="165">
        <f>IFERROR(IF(BetTable[Sport]="","",BetTable[R1]/BetTable[TS]),"")</f>
        <v>0.8500000000000002</v>
      </c>
      <c r="AD688" s="165" t="str">
        <f>IF(BetTable[O2]="","",#REF!/BetTable[TS])</f>
        <v/>
      </c>
      <c r="AE688" s="165" t="str">
        <f>IFERROR(IF(BetTable[Sport]="","",#REF!/BetTable[TS]),"")</f>
        <v/>
      </c>
      <c r="AF688" s="164">
        <f>IF(BetTable[Outcome]="Win",BetTable[WBA1-Commission],IF(BetTable[Outcome]="Win Half Stake",(BetTable[Stake]/2)+BetTable[WBA1-Commission]/2,IF(BetTable[Outcome]="Lose Half Stake",BetTable[Stake]/2,IF(BetTable[Outcome]="Lose",0,IF(BetTable[Outcome]="Void",BetTable[Stake],)))))</f>
        <v>0</v>
      </c>
      <c r="AG688" s="164">
        <f>IF(BetTable[Outcome2]="Win",BetTable[WBA2-Commission],IF(BetTable[Outcome2]="Win Half Stake",(BetTable[S2]/2)+BetTable[WBA2-Commission]/2,IF(BetTable[Outcome2]="Lose Half Stake",BetTable[S2]/2,IF(BetTable[Outcome2]="Lose",0,IF(BetTable[Outcome2]="Void",BetTable[S2],)))))</f>
        <v>0</v>
      </c>
      <c r="AH688" s="164">
        <f>IF(BetTable[Outcome3]="Win",BetTable[WBA3-Commission],IF(BetTable[Outcome3]="Win Half Stake",(BetTable[S3]/2)+BetTable[WBA3-Commission]/2,IF(BetTable[Outcome3]="Lose Half Stake",BetTable[S3]/2,IF(BetTable[Outcome3]="Lose",0,IF(BetTable[Outcome3]="Void",BetTable[S3],)))))</f>
        <v>0</v>
      </c>
      <c r="AI688" s="168">
        <f>IF(BetTable[Outcome]="",AI687,BetTable[Result]+AI687)</f>
        <v>1062.7532500000007</v>
      </c>
      <c r="AJ688" s="160"/>
    </row>
    <row r="689" spans="1:36" x14ac:dyDescent="0.2">
      <c r="A689" s="159" t="s">
        <v>1790</v>
      </c>
      <c r="B689" s="160" t="s">
        <v>200</v>
      </c>
      <c r="C689" s="161" t="s">
        <v>1714</v>
      </c>
      <c r="D689" s="161"/>
      <c r="E689" s="161"/>
      <c r="F689" s="162"/>
      <c r="G689" s="162"/>
      <c r="H689" s="162"/>
      <c r="I689" s="160" t="s">
        <v>1887</v>
      </c>
      <c r="J689" s="163">
        <v>1.83</v>
      </c>
      <c r="K689" s="163"/>
      <c r="L689" s="163"/>
      <c r="M689" s="164">
        <v>43</v>
      </c>
      <c r="N689" s="164"/>
      <c r="O689" s="164"/>
      <c r="P689" s="159" t="s">
        <v>409</v>
      </c>
      <c r="Q689" s="159" t="s">
        <v>495</v>
      </c>
      <c r="R689" s="159" t="s">
        <v>1888</v>
      </c>
      <c r="S689" s="165">
        <v>2.3167270279498699E-2</v>
      </c>
      <c r="T689" s="166" t="s">
        <v>372</v>
      </c>
      <c r="U689" s="166"/>
      <c r="V689" s="166"/>
      <c r="W689" s="167">
        <f>IF(BetTable[Sport]="","",BetTable[Stake]+BetTable[S2]+BetTable[S3])</f>
        <v>43</v>
      </c>
      <c r="X689" s="164">
        <f>IF(BetTable[Odds]="","",(BetTable[WBA1-Commission])-BetTable[TS])</f>
        <v>35.69</v>
      </c>
      <c r="Y689" s="168">
        <f>IF(BetTable[Outcome]="","",BetTable[WBA1]+BetTable[WBA2]+BetTable[WBA3]-BetTable[TS])</f>
        <v>35.69</v>
      </c>
      <c r="Z689" s="164">
        <f>(((BetTable[Odds]-1)*BetTable[Stake])*(1-(BetTable[Comm %]))+BetTable[Stake])</f>
        <v>78.69</v>
      </c>
      <c r="AA689" s="164">
        <f>(((BetTable[O2]-1)*BetTable[S2])*(1-(BetTable[C% 2]))+BetTable[S2])</f>
        <v>0</v>
      </c>
      <c r="AB689" s="164">
        <f>(((BetTable[O3]-1)*BetTable[S3])*(1-(BetTable[C% 3]))+BetTable[S3])</f>
        <v>0</v>
      </c>
      <c r="AC689" s="165">
        <f>IFERROR(IF(BetTable[Sport]="","",BetTable[R1]/BetTable[TS]),"")</f>
        <v>0.83</v>
      </c>
      <c r="AD689" s="165" t="str">
        <f>IF(BetTable[O2]="","",#REF!/BetTable[TS])</f>
        <v/>
      </c>
      <c r="AE689" s="165" t="str">
        <f>IFERROR(IF(BetTable[Sport]="","",#REF!/BetTable[TS]),"")</f>
        <v/>
      </c>
      <c r="AF689" s="164">
        <f>IF(BetTable[Outcome]="Win",BetTable[WBA1-Commission],IF(BetTable[Outcome]="Win Half Stake",(BetTable[Stake]/2)+BetTable[WBA1-Commission]/2,IF(BetTable[Outcome]="Lose Half Stake",BetTable[Stake]/2,IF(BetTable[Outcome]="Lose",0,IF(BetTable[Outcome]="Void",BetTable[Stake],)))))</f>
        <v>78.69</v>
      </c>
      <c r="AG689" s="164">
        <f>IF(BetTable[Outcome2]="Win",BetTable[WBA2-Commission],IF(BetTable[Outcome2]="Win Half Stake",(BetTable[S2]/2)+BetTable[WBA2-Commission]/2,IF(BetTable[Outcome2]="Lose Half Stake",BetTable[S2]/2,IF(BetTable[Outcome2]="Lose",0,IF(BetTable[Outcome2]="Void",BetTable[S2],)))))</f>
        <v>0</v>
      </c>
      <c r="AH689" s="164">
        <f>IF(BetTable[Outcome3]="Win",BetTable[WBA3-Commission],IF(BetTable[Outcome3]="Win Half Stake",(BetTable[S3]/2)+BetTable[WBA3-Commission]/2,IF(BetTable[Outcome3]="Lose Half Stake",BetTable[S3]/2,IF(BetTable[Outcome3]="Lose",0,IF(BetTable[Outcome3]="Void",BetTable[S3],)))))</f>
        <v>0</v>
      </c>
      <c r="AI689" s="168">
        <f>IF(BetTable[Outcome]="",AI688,BetTable[Result]+AI688)</f>
        <v>1098.4432500000007</v>
      </c>
      <c r="AJ689" s="160"/>
    </row>
    <row r="690" spans="1:36" x14ac:dyDescent="0.2">
      <c r="A690" s="159" t="s">
        <v>1790</v>
      </c>
      <c r="B690" s="160" t="s">
        <v>200</v>
      </c>
      <c r="C690" s="161" t="s">
        <v>872</v>
      </c>
      <c r="D690" s="161"/>
      <c r="E690" s="161"/>
      <c r="F690" s="162"/>
      <c r="G690" s="162"/>
      <c r="H690" s="162"/>
      <c r="I690" s="160" t="s">
        <v>1855</v>
      </c>
      <c r="J690" s="163">
        <v>3.6</v>
      </c>
      <c r="K690" s="163"/>
      <c r="L690" s="163"/>
      <c r="M690" s="164">
        <v>25</v>
      </c>
      <c r="N690" s="164"/>
      <c r="O690" s="164"/>
      <c r="P690" s="159" t="s">
        <v>494</v>
      </c>
      <c r="Q690" s="159" t="s">
        <v>488</v>
      </c>
      <c r="R690" s="159" t="s">
        <v>1889</v>
      </c>
      <c r="S690" s="165">
        <v>4.1582285629838199E-2</v>
      </c>
      <c r="T690" s="166" t="s">
        <v>372</v>
      </c>
      <c r="U690" s="166"/>
      <c r="V690" s="166"/>
      <c r="W690" s="167">
        <f>IF(BetTable[Sport]="","",BetTable[Stake]+BetTable[S2]+BetTable[S3])</f>
        <v>25</v>
      </c>
      <c r="X690" s="164">
        <f>IF(BetTable[Odds]="","",(BetTable[WBA1-Commission])-BetTable[TS])</f>
        <v>65</v>
      </c>
      <c r="Y690" s="168">
        <f>IF(BetTable[Outcome]="","",BetTable[WBA1]+BetTable[WBA2]+BetTable[WBA3]-BetTable[TS])</f>
        <v>65</v>
      </c>
      <c r="Z690" s="164">
        <f>(((BetTable[Odds]-1)*BetTable[Stake])*(1-(BetTable[Comm %]))+BetTable[Stake])</f>
        <v>90</v>
      </c>
      <c r="AA690" s="164">
        <f>(((BetTable[O2]-1)*BetTable[S2])*(1-(BetTable[C% 2]))+BetTable[S2])</f>
        <v>0</v>
      </c>
      <c r="AB690" s="164">
        <f>(((BetTable[O3]-1)*BetTable[S3])*(1-(BetTable[C% 3]))+BetTable[S3])</f>
        <v>0</v>
      </c>
      <c r="AC690" s="165">
        <f>IFERROR(IF(BetTable[Sport]="","",BetTable[R1]/BetTable[TS]),"")</f>
        <v>2.6</v>
      </c>
      <c r="AD690" s="165" t="str">
        <f>IF(BetTable[O2]="","",#REF!/BetTable[TS])</f>
        <v/>
      </c>
      <c r="AE690" s="165" t="str">
        <f>IFERROR(IF(BetTable[Sport]="","",#REF!/BetTable[TS]),"")</f>
        <v/>
      </c>
      <c r="AF690" s="164">
        <f>IF(BetTable[Outcome]="Win",BetTable[WBA1-Commission],IF(BetTable[Outcome]="Win Half Stake",(BetTable[Stake]/2)+BetTable[WBA1-Commission]/2,IF(BetTable[Outcome]="Lose Half Stake",BetTable[Stake]/2,IF(BetTable[Outcome]="Lose",0,IF(BetTable[Outcome]="Void",BetTable[Stake],)))))</f>
        <v>90</v>
      </c>
      <c r="AG690" s="164">
        <f>IF(BetTable[Outcome2]="Win",BetTable[WBA2-Commission],IF(BetTable[Outcome2]="Win Half Stake",(BetTable[S2]/2)+BetTable[WBA2-Commission]/2,IF(BetTable[Outcome2]="Lose Half Stake",BetTable[S2]/2,IF(BetTable[Outcome2]="Lose",0,IF(BetTable[Outcome2]="Void",BetTable[S2],)))))</f>
        <v>0</v>
      </c>
      <c r="AH690" s="164">
        <f>IF(BetTable[Outcome3]="Win",BetTable[WBA3-Commission],IF(BetTable[Outcome3]="Win Half Stake",(BetTable[S3]/2)+BetTable[WBA3-Commission]/2,IF(BetTable[Outcome3]="Lose Half Stake",BetTable[S3]/2,IF(BetTable[Outcome3]="Lose",0,IF(BetTable[Outcome3]="Void",BetTable[S3],)))))</f>
        <v>0</v>
      </c>
      <c r="AI690" s="168">
        <f>IF(BetTable[Outcome]="",AI689,BetTable[Result]+AI689)</f>
        <v>1163.4432500000007</v>
      </c>
      <c r="AJ690" s="160"/>
    </row>
    <row r="691" spans="1:36" x14ac:dyDescent="0.2">
      <c r="A691" s="159" t="s">
        <v>1790</v>
      </c>
      <c r="B691" s="160" t="s">
        <v>200</v>
      </c>
      <c r="C691" s="161" t="s">
        <v>1714</v>
      </c>
      <c r="D691" s="161"/>
      <c r="E691" s="161"/>
      <c r="F691" s="162"/>
      <c r="G691" s="162"/>
      <c r="H691" s="162"/>
      <c r="I691" s="160" t="s">
        <v>1890</v>
      </c>
      <c r="J691" s="163">
        <v>2.54</v>
      </c>
      <c r="K691" s="163"/>
      <c r="L691" s="163"/>
      <c r="M691" s="164">
        <v>26</v>
      </c>
      <c r="N691" s="164"/>
      <c r="O691" s="164"/>
      <c r="P691" s="159" t="s">
        <v>435</v>
      </c>
      <c r="Q691" s="159" t="s">
        <v>461</v>
      </c>
      <c r="R691" s="159" t="s">
        <v>1891</v>
      </c>
      <c r="S691" s="165">
        <v>2.5745584344466201E-2</v>
      </c>
      <c r="T691" s="166" t="s">
        <v>382</v>
      </c>
      <c r="U691" s="166"/>
      <c r="V691" s="166"/>
      <c r="W691" s="167">
        <f>IF(BetTable[Sport]="","",BetTable[Stake]+BetTable[S2]+BetTable[S3])</f>
        <v>26</v>
      </c>
      <c r="X691" s="164">
        <f>IF(BetTable[Odds]="","",(BetTable[WBA1-Commission])-BetTable[TS])</f>
        <v>40.039999999999992</v>
      </c>
      <c r="Y691" s="168">
        <f>IF(BetTable[Outcome]="","",BetTable[WBA1]+BetTable[WBA2]+BetTable[WBA3]-BetTable[TS])</f>
        <v>-26</v>
      </c>
      <c r="Z691" s="164">
        <f>(((BetTable[Odds]-1)*BetTable[Stake])*(1-(BetTable[Comm %]))+BetTable[Stake])</f>
        <v>66.039999999999992</v>
      </c>
      <c r="AA691" s="164">
        <f>(((BetTable[O2]-1)*BetTable[S2])*(1-(BetTable[C% 2]))+BetTable[S2])</f>
        <v>0</v>
      </c>
      <c r="AB691" s="164">
        <f>(((BetTable[O3]-1)*BetTable[S3])*(1-(BetTable[C% 3]))+BetTable[S3])</f>
        <v>0</v>
      </c>
      <c r="AC691" s="165">
        <f>IFERROR(IF(BetTable[Sport]="","",BetTable[R1]/BetTable[TS]),"")</f>
        <v>1.5399999999999996</v>
      </c>
      <c r="AD691" s="165" t="str">
        <f>IF(BetTable[O2]="","",#REF!/BetTable[TS])</f>
        <v/>
      </c>
      <c r="AE691" s="165" t="str">
        <f>IFERROR(IF(BetTable[Sport]="","",#REF!/BetTable[TS]),"")</f>
        <v/>
      </c>
      <c r="AF691" s="164">
        <f>IF(BetTable[Outcome]="Win",BetTable[WBA1-Commission],IF(BetTable[Outcome]="Win Half Stake",(BetTable[Stake]/2)+BetTable[WBA1-Commission]/2,IF(BetTable[Outcome]="Lose Half Stake",BetTable[Stake]/2,IF(BetTable[Outcome]="Lose",0,IF(BetTable[Outcome]="Void",BetTable[Stake],)))))</f>
        <v>0</v>
      </c>
      <c r="AG691" s="164">
        <f>IF(BetTable[Outcome2]="Win",BetTable[WBA2-Commission],IF(BetTable[Outcome2]="Win Half Stake",(BetTable[S2]/2)+BetTable[WBA2-Commission]/2,IF(BetTable[Outcome2]="Lose Half Stake",BetTable[S2]/2,IF(BetTable[Outcome2]="Lose",0,IF(BetTable[Outcome2]="Void",BetTable[S2],)))))</f>
        <v>0</v>
      </c>
      <c r="AH691" s="164">
        <f>IF(BetTable[Outcome3]="Win",BetTable[WBA3-Commission],IF(BetTable[Outcome3]="Win Half Stake",(BetTable[S3]/2)+BetTable[WBA3-Commission]/2,IF(BetTable[Outcome3]="Lose Half Stake",BetTable[S3]/2,IF(BetTable[Outcome3]="Lose",0,IF(BetTable[Outcome3]="Void",BetTable[S3],)))))</f>
        <v>0</v>
      </c>
      <c r="AI691" s="168">
        <f>IF(BetTable[Outcome]="",AI690,BetTable[Result]+AI690)</f>
        <v>1137.4432500000007</v>
      </c>
      <c r="AJ691" s="160"/>
    </row>
    <row r="692" spans="1:36" x14ac:dyDescent="0.2">
      <c r="A692" s="159" t="s">
        <v>1790</v>
      </c>
      <c r="B692" s="160" t="s">
        <v>200</v>
      </c>
      <c r="C692" s="161" t="s">
        <v>91</v>
      </c>
      <c r="D692" s="161"/>
      <c r="E692" s="161"/>
      <c r="F692" s="162"/>
      <c r="G692" s="162"/>
      <c r="H692" s="162"/>
      <c r="I692" s="160" t="s">
        <v>1892</v>
      </c>
      <c r="J692" s="163">
        <v>2.02</v>
      </c>
      <c r="K692" s="163"/>
      <c r="L692" s="163"/>
      <c r="M692" s="164">
        <v>36</v>
      </c>
      <c r="N692" s="164"/>
      <c r="O692" s="164"/>
      <c r="P692" s="159" t="s">
        <v>357</v>
      </c>
      <c r="Q692" s="159" t="s">
        <v>1848</v>
      </c>
      <c r="R692" s="159" t="s">
        <v>1893</v>
      </c>
      <c r="S692" s="165">
        <v>2.3743245402283099E-2</v>
      </c>
      <c r="T692" s="166" t="s">
        <v>382</v>
      </c>
      <c r="U692" s="166"/>
      <c r="V692" s="166"/>
      <c r="W692" s="167">
        <f>IF(BetTable[Sport]="","",BetTable[Stake]+BetTable[S2]+BetTable[S3])</f>
        <v>36</v>
      </c>
      <c r="X692" s="164">
        <f>IF(BetTable[Odds]="","",(BetTable[WBA1-Commission])-BetTable[TS])</f>
        <v>36.72</v>
      </c>
      <c r="Y692" s="168">
        <f>IF(BetTable[Outcome]="","",BetTable[WBA1]+BetTable[WBA2]+BetTable[WBA3]-BetTable[TS])</f>
        <v>-36</v>
      </c>
      <c r="Z692" s="164">
        <f>(((BetTable[Odds]-1)*BetTable[Stake])*(1-(BetTable[Comm %]))+BetTable[Stake])</f>
        <v>72.72</v>
      </c>
      <c r="AA692" s="164">
        <f>(((BetTable[O2]-1)*BetTable[S2])*(1-(BetTable[C% 2]))+BetTable[S2])</f>
        <v>0</v>
      </c>
      <c r="AB692" s="164">
        <f>(((BetTable[O3]-1)*BetTable[S3])*(1-(BetTable[C% 3]))+BetTable[S3])</f>
        <v>0</v>
      </c>
      <c r="AC692" s="165">
        <f>IFERROR(IF(BetTable[Sport]="","",BetTable[R1]/BetTable[TS]),"")</f>
        <v>1.02</v>
      </c>
      <c r="AD692" s="165" t="str">
        <f>IF(BetTable[O2]="","",#REF!/BetTable[TS])</f>
        <v/>
      </c>
      <c r="AE692" s="165" t="str">
        <f>IFERROR(IF(BetTable[Sport]="","",#REF!/BetTable[TS]),"")</f>
        <v/>
      </c>
      <c r="AF692" s="164">
        <f>IF(BetTable[Outcome]="Win",BetTable[WBA1-Commission],IF(BetTable[Outcome]="Win Half Stake",(BetTable[Stake]/2)+BetTable[WBA1-Commission]/2,IF(BetTable[Outcome]="Lose Half Stake",BetTable[Stake]/2,IF(BetTable[Outcome]="Lose",0,IF(BetTable[Outcome]="Void",BetTable[Stake],)))))</f>
        <v>0</v>
      </c>
      <c r="AG692" s="164">
        <f>IF(BetTable[Outcome2]="Win",BetTable[WBA2-Commission],IF(BetTable[Outcome2]="Win Half Stake",(BetTable[S2]/2)+BetTable[WBA2-Commission]/2,IF(BetTable[Outcome2]="Lose Half Stake",BetTable[S2]/2,IF(BetTable[Outcome2]="Lose",0,IF(BetTable[Outcome2]="Void",BetTable[S2],)))))</f>
        <v>0</v>
      </c>
      <c r="AH692" s="164">
        <f>IF(BetTable[Outcome3]="Win",BetTable[WBA3-Commission],IF(BetTable[Outcome3]="Win Half Stake",(BetTable[S3]/2)+BetTable[WBA3-Commission]/2,IF(BetTable[Outcome3]="Lose Half Stake",BetTable[S3]/2,IF(BetTable[Outcome3]="Lose",0,IF(BetTable[Outcome3]="Void",BetTable[S3],)))))</f>
        <v>0</v>
      </c>
      <c r="AI692" s="168">
        <f>IF(BetTable[Outcome]="",AI691,BetTable[Result]+AI691)</f>
        <v>1101.4432500000007</v>
      </c>
      <c r="AJ692" s="160"/>
    </row>
    <row r="693" spans="1:36" x14ac:dyDescent="0.2">
      <c r="A693" s="159" t="s">
        <v>1790</v>
      </c>
      <c r="B693" s="160" t="s">
        <v>200</v>
      </c>
      <c r="C693" s="161" t="s">
        <v>1714</v>
      </c>
      <c r="D693" s="161"/>
      <c r="E693" s="161"/>
      <c r="F693" s="162"/>
      <c r="G693" s="162"/>
      <c r="H693" s="162"/>
      <c r="I693" s="160" t="s">
        <v>1894</v>
      </c>
      <c r="J693" s="163">
        <v>3.3</v>
      </c>
      <c r="K693" s="163"/>
      <c r="L693" s="163"/>
      <c r="M693" s="164">
        <v>11</v>
      </c>
      <c r="N693" s="164"/>
      <c r="O693" s="164"/>
      <c r="P693" s="159" t="s">
        <v>494</v>
      </c>
      <c r="Q693" s="159" t="s">
        <v>461</v>
      </c>
      <c r="R693" s="159" t="s">
        <v>1895</v>
      </c>
      <c r="S693" s="165">
        <v>1.6336209135315499E-2</v>
      </c>
      <c r="T693" s="166" t="s">
        <v>372</v>
      </c>
      <c r="U693" s="166"/>
      <c r="V693" s="166"/>
      <c r="W693" s="167">
        <f>IF(BetTable[Sport]="","",BetTable[Stake]+BetTable[S2]+BetTable[S3])</f>
        <v>11</v>
      </c>
      <c r="X693" s="164">
        <f>IF(BetTable[Odds]="","",(BetTable[WBA1-Commission])-BetTable[TS])</f>
        <v>25.299999999999997</v>
      </c>
      <c r="Y693" s="168">
        <f>IF(BetTable[Outcome]="","",BetTable[WBA1]+BetTable[WBA2]+BetTable[WBA3]-BetTable[TS])</f>
        <v>25.299999999999997</v>
      </c>
      <c r="Z693" s="164">
        <f>(((BetTable[Odds]-1)*BetTable[Stake])*(1-(BetTable[Comm %]))+BetTable[Stake])</f>
        <v>36.299999999999997</v>
      </c>
      <c r="AA693" s="164">
        <f>(((BetTable[O2]-1)*BetTable[S2])*(1-(BetTable[C% 2]))+BetTable[S2])</f>
        <v>0</v>
      </c>
      <c r="AB693" s="164">
        <f>(((BetTable[O3]-1)*BetTable[S3])*(1-(BetTable[C% 3]))+BetTable[S3])</f>
        <v>0</v>
      </c>
      <c r="AC693" s="165">
        <f>IFERROR(IF(BetTable[Sport]="","",BetTable[R1]/BetTable[TS]),"")</f>
        <v>2.2999999999999998</v>
      </c>
      <c r="AD693" s="165" t="str">
        <f>IF(BetTable[O2]="","",#REF!/BetTable[TS])</f>
        <v/>
      </c>
      <c r="AE693" s="165" t="str">
        <f>IFERROR(IF(BetTable[Sport]="","",#REF!/BetTable[TS]),"")</f>
        <v/>
      </c>
      <c r="AF693" s="164">
        <f>IF(BetTable[Outcome]="Win",BetTable[WBA1-Commission],IF(BetTable[Outcome]="Win Half Stake",(BetTable[Stake]/2)+BetTable[WBA1-Commission]/2,IF(BetTable[Outcome]="Lose Half Stake",BetTable[Stake]/2,IF(BetTable[Outcome]="Lose",0,IF(BetTable[Outcome]="Void",BetTable[Stake],)))))</f>
        <v>36.299999999999997</v>
      </c>
      <c r="AG693" s="164">
        <f>IF(BetTable[Outcome2]="Win",BetTable[WBA2-Commission],IF(BetTable[Outcome2]="Win Half Stake",(BetTable[S2]/2)+BetTable[WBA2-Commission]/2,IF(BetTable[Outcome2]="Lose Half Stake",BetTable[S2]/2,IF(BetTable[Outcome2]="Lose",0,IF(BetTable[Outcome2]="Void",BetTable[S2],)))))</f>
        <v>0</v>
      </c>
      <c r="AH693" s="164">
        <f>IF(BetTable[Outcome3]="Win",BetTable[WBA3-Commission],IF(BetTable[Outcome3]="Win Half Stake",(BetTable[S3]/2)+BetTable[WBA3-Commission]/2,IF(BetTable[Outcome3]="Lose Half Stake",BetTable[S3]/2,IF(BetTable[Outcome3]="Lose",0,IF(BetTable[Outcome3]="Void",BetTable[S3],)))))</f>
        <v>0</v>
      </c>
      <c r="AI693" s="168">
        <f>IF(BetTable[Outcome]="",AI692,BetTable[Result]+AI692)</f>
        <v>1126.7432500000007</v>
      </c>
      <c r="AJ693" s="160"/>
    </row>
    <row r="694" spans="1:36" x14ac:dyDescent="0.2">
      <c r="A694" s="159" t="s">
        <v>1790</v>
      </c>
      <c r="B694" s="160" t="s">
        <v>200</v>
      </c>
      <c r="C694" s="161" t="s">
        <v>1714</v>
      </c>
      <c r="D694" s="161"/>
      <c r="E694" s="161"/>
      <c r="F694" s="162"/>
      <c r="G694" s="162"/>
      <c r="H694" s="162"/>
      <c r="I694" s="160" t="s">
        <v>1896</v>
      </c>
      <c r="J694" s="163">
        <v>3.6</v>
      </c>
      <c r="K694" s="163"/>
      <c r="L694" s="163"/>
      <c r="M694" s="164">
        <v>23</v>
      </c>
      <c r="N694" s="164"/>
      <c r="O694" s="164"/>
      <c r="P694" s="159" t="s">
        <v>494</v>
      </c>
      <c r="Q694" s="159" t="s">
        <v>674</v>
      </c>
      <c r="R694" s="159" t="s">
        <v>1897</v>
      </c>
      <c r="S694" s="165">
        <v>3.8189390480152997E-2</v>
      </c>
      <c r="T694" s="166" t="s">
        <v>382</v>
      </c>
      <c r="U694" s="166"/>
      <c r="V694" s="166"/>
      <c r="W694" s="167">
        <f>IF(BetTable[Sport]="","",BetTable[Stake]+BetTable[S2]+BetTable[S3])</f>
        <v>23</v>
      </c>
      <c r="X694" s="164">
        <f>IF(BetTable[Odds]="","",(BetTable[WBA1-Commission])-BetTable[TS])</f>
        <v>59.800000000000011</v>
      </c>
      <c r="Y694" s="168">
        <f>IF(BetTable[Outcome]="","",BetTable[WBA1]+BetTable[WBA2]+BetTable[WBA3]-BetTable[TS])</f>
        <v>-23</v>
      </c>
      <c r="Z694" s="164">
        <f>(((BetTable[Odds]-1)*BetTable[Stake])*(1-(BetTable[Comm %]))+BetTable[Stake])</f>
        <v>82.800000000000011</v>
      </c>
      <c r="AA694" s="164">
        <f>(((BetTable[O2]-1)*BetTable[S2])*(1-(BetTable[C% 2]))+BetTable[S2])</f>
        <v>0</v>
      </c>
      <c r="AB694" s="164">
        <f>(((BetTable[O3]-1)*BetTable[S3])*(1-(BetTable[C% 3]))+BetTable[S3])</f>
        <v>0</v>
      </c>
      <c r="AC694" s="165">
        <f>IFERROR(IF(BetTable[Sport]="","",BetTable[R1]/BetTable[TS]),"")</f>
        <v>2.6000000000000005</v>
      </c>
      <c r="AD694" s="165" t="str">
        <f>IF(BetTable[O2]="","",#REF!/BetTable[TS])</f>
        <v/>
      </c>
      <c r="AE694" s="165" t="str">
        <f>IFERROR(IF(BetTable[Sport]="","",#REF!/BetTable[TS]),"")</f>
        <v/>
      </c>
      <c r="AF694" s="164">
        <f>IF(BetTable[Outcome]="Win",BetTable[WBA1-Commission],IF(BetTable[Outcome]="Win Half Stake",(BetTable[Stake]/2)+BetTable[WBA1-Commission]/2,IF(BetTable[Outcome]="Lose Half Stake",BetTable[Stake]/2,IF(BetTable[Outcome]="Lose",0,IF(BetTable[Outcome]="Void",BetTable[Stake],)))))</f>
        <v>0</v>
      </c>
      <c r="AG694" s="164">
        <f>IF(BetTable[Outcome2]="Win",BetTable[WBA2-Commission],IF(BetTable[Outcome2]="Win Half Stake",(BetTable[S2]/2)+BetTable[WBA2-Commission]/2,IF(BetTable[Outcome2]="Lose Half Stake",BetTable[S2]/2,IF(BetTable[Outcome2]="Lose",0,IF(BetTable[Outcome2]="Void",BetTable[S2],)))))</f>
        <v>0</v>
      </c>
      <c r="AH694" s="164">
        <f>IF(BetTable[Outcome3]="Win",BetTable[WBA3-Commission],IF(BetTable[Outcome3]="Win Half Stake",(BetTable[S3]/2)+BetTable[WBA3-Commission]/2,IF(BetTable[Outcome3]="Lose Half Stake",BetTable[S3]/2,IF(BetTable[Outcome3]="Lose",0,IF(BetTable[Outcome3]="Void",BetTable[S3],)))))</f>
        <v>0</v>
      </c>
      <c r="AI694" s="168">
        <f>IF(BetTable[Outcome]="",AI693,BetTable[Result]+AI693)</f>
        <v>1103.7432500000007</v>
      </c>
      <c r="AJ694" s="160"/>
    </row>
    <row r="695" spans="1:36" x14ac:dyDescent="0.2">
      <c r="A695" s="159" t="s">
        <v>1790</v>
      </c>
      <c r="B695" s="160" t="s">
        <v>200</v>
      </c>
      <c r="C695" s="161" t="s">
        <v>1714</v>
      </c>
      <c r="D695" s="161"/>
      <c r="E695" s="161"/>
      <c r="F695" s="162"/>
      <c r="G695" s="162"/>
      <c r="H695" s="162"/>
      <c r="I695" s="160" t="s">
        <v>1898</v>
      </c>
      <c r="J695" s="163">
        <v>3.4</v>
      </c>
      <c r="K695" s="163"/>
      <c r="L695" s="163"/>
      <c r="M695" s="164">
        <v>31</v>
      </c>
      <c r="N695" s="164"/>
      <c r="O695" s="164"/>
      <c r="P695" s="159" t="s">
        <v>428</v>
      </c>
      <c r="Q695" s="159" t="s">
        <v>439</v>
      </c>
      <c r="R695" s="159" t="s">
        <v>1899</v>
      </c>
      <c r="S695" s="165">
        <v>4.8572892602636801E-2</v>
      </c>
      <c r="T695" s="166" t="s">
        <v>372</v>
      </c>
      <c r="U695" s="166"/>
      <c r="V695" s="166"/>
      <c r="W695" s="167">
        <f>IF(BetTable[Sport]="","",BetTable[Stake]+BetTable[S2]+BetTable[S3])</f>
        <v>31</v>
      </c>
      <c r="X695" s="164">
        <f>IF(BetTable[Odds]="","",(BetTable[WBA1-Commission])-BetTable[TS])</f>
        <v>74.399999999999991</v>
      </c>
      <c r="Y695" s="168">
        <f>IF(BetTable[Outcome]="","",BetTable[WBA1]+BetTable[WBA2]+BetTable[WBA3]-BetTable[TS])</f>
        <v>74.399999999999991</v>
      </c>
      <c r="Z695" s="164">
        <f>(((BetTable[Odds]-1)*BetTable[Stake])*(1-(BetTable[Comm %]))+BetTable[Stake])</f>
        <v>105.39999999999999</v>
      </c>
      <c r="AA695" s="164">
        <f>(((BetTable[O2]-1)*BetTable[S2])*(1-(BetTable[C% 2]))+BetTable[S2])</f>
        <v>0</v>
      </c>
      <c r="AB695" s="164">
        <f>(((BetTable[O3]-1)*BetTable[S3])*(1-(BetTable[C% 3]))+BetTable[S3])</f>
        <v>0</v>
      </c>
      <c r="AC695" s="165">
        <f>IFERROR(IF(BetTable[Sport]="","",BetTable[R1]/BetTable[TS]),"")</f>
        <v>2.4</v>
      </c>
      <c r="AD695" s="165" t="str">
        <f>IF(BetTable[O2]="","",#REF!/BetTable[TS])</f>
        <v/>
      </c>
      <c r="AE695" s="165" t="str">
        <f>IFERROR(IF(BetTable[Sport]="","",#REF!/BetTable[TS]),"")</f>
        <v/>
      </c>
      <c r="AF695" s="164">
        <f>IF(BetTable[Outcome]="Win",BetTable[WBA1-Commission],IF(BetTable[Outcome]="Win Half Stake",(BetTable[Stake]/2)+BetTable[WBA1-Commission]/2,IF(BetTable[Outcome]="Lose Half Stake",BetTable[Stake]/2,IF(BetTable[Outcome]="Lose",0,IF(BetTable[Outcome]="Void",BetTable[Stake],)))))</f>
        <v>105.39999999999999</v>
      </c>
      <c r="AG695" s="164">
        <f>IF(BetTable[Outcome2]="Win",BetTable[WBA2-Commission],IF(BetTable[Outcome2]="Win Half Stake",(BetTable[S2]/2)+BetTable[WBA2-Commission]/2,IF(BetTable[Outcome2]="Lose Half Stake",BetTable[S2]/2,IF(BetTable[Outcome2]="Lose",0,IF(BetTable[Outcome2]="Void",BetTable[S2],)))))</f>
        <v>0</v>
      </c>
      <c r="AH695" s="164">
        <f>IF(BetTable[Outcome3]="Win",BetTable[WBA3-Commission],IF(BetTable[Outcome3]="Win Half Stake",(BetTable[S3]/2)+BetTable[WBA3-Commission]/2,IF(BetTable[Outcome3]="Lose Half Stake",BetTable[S3]/2,IF(BetTable[Outcome3]="Lose",0,IF(BetTable[Outcome3]="Void",BetTable[S3],)))))</f>
        <v>0</v>
      </c>
      <c r="AI695" s="168">
        <f>IF(BetTable[Outcome]="",AI694,BetTable[Result]+AI694)</f>
        <v>1178.1432500000008</v>
      </c>
      <c r="AJ695" s="160"/>
    </row>
    <row r="696" spans="1:36" x14ac:dyDescent="0.2">
      <c r="A696" s="159" t="s">
        <v>1790</v>
      </c>
      <c r="B696" s="160" t="s">
        <v>7</v>
      </c>
      <c r="C696" s="161" t="s">
        <v>91</v>
      </c>
      <c r="D696" s="161"/>
      <c r="E696" s="161"/>
      <c r="F696" s="162"/>
      <c r="G696" s="162"/>
      <c r="H696" s="162"/>
      <c r="I696" s="160" t="s">
        <v>1900</v>
      </c>
      <c r="J696" s="163">
        <v>1.9</v>
      </c>
      <c r="K696" s="163"/>
      <c r="L696" s="163"/>
      <c r="M696" s="164">
        <v>31</v>
      </c>
      <c r="N696" s="164"/>
      <c r="O696" s="164"/>
      <c r="P696" s="159" t="s">
        <v>1901</v>
      </c>
      <c r="Q696" s="159" t="s">
        <v>506</v>
      </c>
      <c r="R696" s="159" t="s">
        <v>1902</v>
      </c>
      <c r="S696" s="165">
        <v>1.8083631490896899E-2</v>
      </c>
      <c r="T696" s="166" t="s">
        <v>372</v>
      </c>
      <c r="U696" s="166"/>
      <c r="V696" s="166"/>
      <c r="W696" s="167">
        <f>IF(BetTable[Sport]="","",BetTable[Stake]+BetTable[S2]+BetTable[S3])</f>
        <v>31</v>
      </c>
      <c r="X696" s="164">
        <f>IF(BetTable[Odds]="","",(BetTable[WBA1-Commission])-BetTable[TS])</f>
        <v>27.9</v>
      </c>
      <c r="Y696" s="168">
        <f>IF(BetTable[Outcome]="","",BetTable[WBA1]+BetTable[WBA2]+BetTable[WBA3]-BetTable[TS])</f>
        <v>27.9</v>
      </c>
      <c r="Z696" s="164">
        <f>(((BetTable[Odds]-1)*BetTable[Stake])*(1-(BetTable[Comm %]))+BetTable[Stake])</f>
        <v>58.9</v>
      </c>
      <c r="AA696" s="164">
        <f>(((BetTable[O2]-1)*BetTable[S2])*(1-(BetTable[C% 2]))+BetTable[S2])</f>
        <v>0</v>
      </c>
      <c r="AB696" s="164">
        <f>(((BetTable[O3]-1)*BetTable[S3])*(1-(BetTable[C% 3]))+BetTable[S3])</f>
        <v>0</v>
      </c>
      <c r="AC696" s="165">
        <f>IFERROR(IF(BetTable[Sport]="","",BetTable[R1]/BetTable[TS]),"")</f>
        <v>0.89999999999999991</v>
      </c>
      <c r="AD696" s="165" t="str">
        <f>IF(BetTable[O2]="","",#REF!/BetTable[TS])</f>
        <v/>
      </c>
      <c r="AE696" s="165" t="str">
        <f>IFERROR(IF(BetTable[Sport]="","",#REF!/BetTable[TS]),"")</f>
        <v/>
      </c>
      <c r="AF696" s="164">
        <f>IF(BetTable[Outcome]="Win",BetTable[WBA1-Commission],IF(BetTable[Outcome]="Win Half Stake",(BetTable[Stake]/2)+BetTable[WBA1-Commission]/2,IF(BetTable[Outcome]="Lose Half Stake",BetTable[Stake]/2,IF(BetTable[Outcome]="Lose",0,IF(BetTable[Outcome]="Void",BetTable[Stake],)))))</f>
        <v>58.9</v>
      </c>
      <c r="AG696" s="164">
        <f>IF(BetTable[Outcome2]="Win",BetTable[WBA2-Commission],IF(BetTable[Outcome2]="Win Half Stake",(BetTable[S2]/2)+BetTable[WBA2-Commission]/2,IF(BetTable[Outcome2]="Lose Half Stake",BetTable[S2]/2,IF(BetTable[Outcome2]="Lose",0,IF(BetTable[Outcome2]="Void",BetTable[S2],)))))</f>
        <v>0</v>
      </c>
      <c r="AH696" s="164">
        <f>IF(BetTable[Outcome3]="Win",BetTable[WBA3-Commission],IF(BetTable[Outcome3]="Win Half Stake",(BetTable[S3]/2)+BetTable[WBA3-Commission]/2,IF(BetTable[Outcome3]="Lose Half Stake",BetTable[S3]/2,IF(BetTable[Outcome3]="Lose",0,IF(BetTable[Outcome3]="Void",BetTable[S3],)))))</f>
        <v>0</v>
      </c>
      <c r="AI696" s="168">
        <f>IF(BetTable[Outcome]="",AI695,BetTable[Result]+AI695)</f>
        <v>1206.0432500000009</v>
      </c>
      <c r="AJ696" s="160"/>
    </row>
    <row r="697" spans="1:36" x14ac:dyDescent="0.2">
      <c r="A697" s="159" t="s">
        <v>1790</v>
      </c>
      <c r="B697" s="160" t="s">
        <v>7</v>
      </c>
      <c r="C697" s="161" t="s">
        <v>1714</v>
      </c>
      <c r="D697" s="161"/>
      <c r="E697" s="161"/>
      <c r="F697" s="162"/>
      <c r="G697" s="162"/>
      <c r="H697" s="162"/>
      <c r="I697" s="160" t="s">
        <v>1903</v>
      </c>
      <c r="J697" s="163">
        <v>2</v>
      </c>
      <c r="K697" s="163"/>
      <c r="L697" s="163"/>
      <c r="M697" s="164">
        <v>35</v>
      </c>
      <c r="N697" s="164"/>
      <c r="O697" s="164"/>
      <c r="P697" s="159" t="s">
        <v>1139</v>
      </c>
      <c r="Q697" s="159" t="s">
        <v>488</v>
      </c>
      <c r="R697" s="159" t="s">
        <v>1904</v>
      </c>
      <c r="S697" s="165">
        <v>2.26869808239194E-2</v>
      </c>
      <c r="T697" s="166" t="s">
        <v>382</v>
      </c>
      <c r="U697" s="166"/>
      <c r="V697" s="166"/>
      <c r="W697" s="167">
        <f>IF(BetTable[Sport]="","",BetTable[Stake]+BetTable[S2]+BetTable[S3])</f>
        <v>35</v>
      </c>
      <c r="X697" s="164">
        <f>IF(BetTable[Odds]="","",(BetTable[WBA1-Commission])-BetTable[TS])</f>
        <v>35</v>
      </c>
      <c r="Y697" s="168">
        <f>IF(BetTable[Outcome]="","",BetTable[WBA1]+BetTable[WBA2]+BetTable[WBA3]-BetTable[TS])</f>
        <v>-35</v>
      </c>
      <c r="Z697" s="164">
        <f>(((BetTable[Odds]-1)*BetTable[Stake])*(1-(BetTable[Comm %]))+BetTable[Stake])</f>
        <v>70</v>
      </c>
      <c r="AA697" s="164">
        <f>(((BetTable[O2]-1)*BetTable[S2])*(1-(BetTable[C% 2]))+BetTable[S2])</f>
        <v>0</v>
      </c>
      <c r="AB697" s="164">
        <f>(((BetTable[O3]-1)*BetTable[S3])*(1-(BetTable[C% 3]))+BetTable[S3])</f>
        <v>0</v>
      </c>
      <c r="AC697" s="165">
        <f>IFERROR(IF(BetTable[Sport]="","",BetTable[R1]/BetTable[TS]),"")</f>
        <v>1</v>
      </c>
      <c r="AD697" s="165" t="str">
        <f>IF(BetTable[O2]="","",#REF!/BetTable[TS])</f>
        <v/>
      </c>
      <c r="AE697" s="165" t="str">
        <f>IFERROR(IF(BetTable[Sport]="","",#REF!/BetTable[TS]),"")</f>
        <v/>
      </c>
      <c r="AF697" s="164">
        <f>IF(BetTable[Outcome]="Win",BetTable[WBA1-Commission],IF(BetTable[Outcome]="Win Half Stake",(BetTable[Stake]/2)+BetTable[WBA1-Commission]/2,IF(BetTable[Outcome]="Lose Half Stake",BetTable[Stake]/2,IF(BetTable[Outcome]="Lose",0,IF(BetTable[Outcome]="Void",BetTable[Stake],)))))</f>
        <v>0</v>
      </c>
      <c r="AG697" s="164">
        <f>IF(BetTable[Outcome2]="Win",BetTable[WBA2-Commission],IF(BetTable[Outcome2]="Win Half Stake",(BetTable[S2]/2)+BetTable[WBA2-Commission]/2,IF(BetTable[Outcome2]="Lose Half Stake",BetTable[S2]/2,IF(BetTable[Outcome2]="Lose",0,IF(BetTable[Outcome2]="Void",BetTable[S2],)))))</f>
        <v>0</v>
      </c>
      <c r="AH697" s="164">
        <f>IF(BetTable[Outcome3]="Win",BetTable[WBA3-Commission],IF(BetTable[Outcome3]="Win Half Stake",(BetTable[S3]/2)+BetTable[WBA3-Commission]/2,IF(BetTable[Outcome3]="Lose Half Stake",BetTable[S3]/2,IF(BetTable[Outcome3]="Lose",0,IF(BetTable[Outcome3]="Void",BetTable[S3],)))))</f>
        <v>0</v>
      </c>
      <c r="AI697" s="168">
        <f>IF(BetTable[Outcome]="",AI696,BetTable[Result]+AI696)</f>
        <v>1171.0432500000009</v>
      </c>
      <c r="AJ697" s="160"/>
    </row>
    <row r="698" spans="1:36" x14ac:dyDescent="0.2">
      <c r="A698" s="159" t="s">
        <v>1790</v>
      </c>
      <c r="B698" s="160" t="s">
        <v>200</v>
      </c>
      <c r="C698" s="161" t="s">
        <v>1714</v>
      </c>
      <c r="D698" s="161"/>
      <c r="E698" s="161"/>
      <c r="F698" s="162"/>
      <c r="G698" s="162"/>
      <c r="H698" s="162"/>
      <c r="I698" s="160" t="s">
        <v>1905</v>
      </c>
      <c r="J698" s="163">
        <v>2.0099999999999998</v>
      </c>
      <c r="K698" s="163"/>
      <c r="L698" s="163"/>
      <c r="M698" s="164">
        <v>46</v>
      </c>
      <c r="N698" s="164"/>
      <c r="O698" s="164"/>
      <c r="P698" s="159" t="s">
        <v>688</v>
      </c>
      <c r="Q698" s="159" t="s">
        <v>677</v>
      </c>
      <c r="R698" s="159" t="s">
        <v>1906</v>
      </c>
      <c r="S698" s="165">
        <v>2.9731690970494499E-2</v>
      </c>
      <c r="T698" s="166" t="s">
        <v>372</v>
      </c>
      <c r="U698" s="166"/>
      <c r="V698" s="166"/>
      <c r="W698" s="167">
        <f>IF(BetTable[Sport]="","",BetTable[Stake]+BetTable[S2]+BetTable[S3])</f>
        <v>46</v>
      </c>
      <c r="X698" s="164">
        <f>IF(BetTable[Odds]="","",(BetTable[WBA1-Commission])-BetTable[TS])</f>
        <v>46.459999999999994</v>
      </c>
      <c r="Y698" s="168">
        <f>IF(BetTable[Outcome]="","",BetTable[WBA1]+BetTable[WBA2]+BetTable[WBA3]-BetTable[TS])</f>
        <v>46.459999999999994</v>
      </c>
      <c r="Z698" s="164">
        <f>(((BetTable[Odds]-1)*BetTable[Stake])*(1-(BetTable[Comm %]))+BetTable[Stake])</f>
        <v>92.46</v>
      </c>
      <c r="AA698" s="164">
        <f>(((BetTable[O2]-1)*BetTable[S2])*(1-(BetTable[C% 2]))+BetTable[S2])</f>
        <v>0</v>
      </c>
      <c r="AB698" s="164">
        <f>(((BetTable[O3]-1)*BetTable[S3])*(1-(BetTable[C% 3]))+BetTable[S3])</f>
        <v>0</v>
      </c>
      <c r="AC698" s="165">
        <f>IFERROR(IF(BetTable[Sport]="","",BetTable[R1]/BetTable[TS]),"")</f>
        <v>1.0099999999999998</v>
      </c>
      <c r="AD698" s="165" t="str">
        <f>IF(BetTable[O2]="","",#REF!/BetTable[TS])</f>
        <v/>
      </c>
      <c r="AE698" s="165" t="str">
        <f>IFERROR(IF(BetTable[Sport]="","",#REF!/BetTable[TS]),"")</f>
        <v/>
      </c>
      <c r="AF698" s="164">
        <f>IF(BetTable[Outcome]="Win",BetTable[WBA1-Commission],IF(BetTable[Outcome]="Win Half Stake",(BetTable[Stake]/2)+BetTable[WBA1-Commission]/2,IF(BetTable[Outcome]="Lose Half Stake",BetTable[Stake]/2,IF(BetTable[Outcome]="Lose",0,IF(BetTable[Outcome]="Void",BetTable[Stake],)))))</f>
        <v>92.46</v>
      </c>
      <c r="AG698" s="164">
        <f>IF(BetTable[Outcome2]="Win",BetTable[WBA2-Commission],IF(BetTable[Outcome2]="Win Half Stake",(BetTable[S2]/2)+BetTable[WBA2-Commission]/2,IF(BetTable[Outcome2]="Lose Half Stake",BetTable[S2]/2,IF(BetTable[Outcome2]="Lose",0,IF(BetTable[Outcome2]="Void",BetTable[S2],)))))</f>
        <v>0</v>
      </c>
      <c r="AH698" s="164">
        <f>IF(BetTable[Outcome3]="Win",BetTable[WBA3-Commission],IF(BetTable[Outcome3]="Win Half Stake",(BetTable[S3]/2)+BetTable[WBA3-Commission]/2,IF(BetTable[Outcome3]="Lose Half Stake",BetTable[S3]/2,IF(BetTable[Outcome3]="Lose",0,IF(BetTable[Outcome3]="Void",BetTable[S3],)))))</f>
        <v>0</v>
      </c>
      <c r="AI698" s="168">
        <f>IF(BetTable[Outcome]="",AI697,BetTable[Result]+AI697)</f>
        <v>1217.5032500000009</v>
      </c>
      <c r="AJ698" s="160"/>
    </row>
    <row r="699" spans="1:36" x14ac:dyDescent="0.2">
      <c r="A699" s="159" t="s">
        <v>1790</v>
      </c>
      <c r="B699" s="160" t="s">
        <v>200</v>
      </c>
      <c r="C699" s="161" t="s">
        <v>1714</v>
      </c>
      <c r="D699" s="161"/>
      <c r="E699" s="161"/>
      <c r="F699" s="162"/>
      <c r="G699" s="162"/>
      <c r="H699" s="162"/>
      <c r="I699" s="160" t="s">
        <v>1907</v>
      </c>
      <c r="J699" s="163">
        <v>1.96</v>
      </c>
      <c r="K699" s="163"/>
      <c r="L699" s="163"/>
      <c r="M699" s="164">
        <v>38</v>
      </c>
      <c r="N699" s="164"/>
      <c r="O699" s="164"/>
      <c r="P699" s="159" t="s">
        <v>637</v>
      </c>
      <c r="Q699" s="159" t="s">
        <v>439</v>
      </c>
      <c r="R699" s="159" t="s">
        <v>1908</v>
      </c>
      <c r="S699" s="165">
        <v>2.37071652072911E-2</v>
      </c>
      <c r="T699" s="166" t="s">
        <v>382</v>
      </c>
      <c r="U699" s="166"/>
      <c r="V699" s="166"/>
      <c r="W699" s="167">
        <f>IF(BetTable[Sport]="","",BetTable[Stake]+BetTable[S2]+BetTable[S3])</f>
        <v>38</v>
      </c>
      <c r="X699" s="164">
        <f>IF(BetTable[Odds]="","",(BetTable[WBA1-Commission])-BetTable[TS])</f>
        <v>36.47999999999999</v>
      </c>
      <c r="Y699" s="168">
        <f>IF(BetTable[Outcome]="","",BetTable[WBA1]+BetTable[WBA2]+BetTable[WBA3]-BetTable[TS])</f>
        <v>-38</v>
      </c>
      <c r="Z699" s="164">
        <f>(((BetTable[Odds]-1)*BetTable[Stake])*(1-(BetTable[Comm %]))+BetTable[Stake])</f>
        <v>74.47999999999999</v>
      </c>
      <c r="AA699" s="164">
        <f>(((BetTable[O2]-1)*BetTable[S2])*(1-(BetTable[C% 2]))+BetTable[S2])</f>
        <v>0</v>
      </c>
      <c r="AB699" s="164">
        <f>(((BetTable[O3]-1)*BetTable[S3])*(1-(BetTable[C% 3]))+BetTable[S3])</f>
        <v>0</v>
      </c>
      <c r="AC699" s="165">
        <f>IFERROR(IF(BetTable[Sport]="","",BetTable[R1]/BetTable[TS]),"")</f>
        <v>0.95999999999999974</v>
      </c>
      <c r="AD699" s="165" t="str">
        <f>IF(BetTable[O2]="","",#REF!/BetTable[TS])</f>
        <v/>
      </c>
      <c r="AE699" s="165" t="str">
        <f>IFERROR(IF(BetTable[Sport]="","",#REF!/BetTable[TS]),"")</f>
        <v/>
      </c>
      <c r="AF699" s="164">
        <f>IF(BetTable[Outcome]="Win",BetTable[WBA1-Commission],IF(BetTable[Outcome]="Win Half Stake",(BetTable[Stake]/2)+BetTable[WBA1-Commission]/2,IF(BetTable[Outcome]="Lose Half Stake",BetTable[Stake]/2,IF(BetTable[Outcome]="Lose",0,IF(BetTable[Outcome]="Void",BetTable[Stake],)))))</f>
        <v>0</v>
      </c>
      <c r="AG699" s="164">
        <f>IF(BetTable[Outcome2]="Win",BetTable[WBA2-Commission],IF(BetTable[Outcome2]="Win Half Stake",(BetTable[S2]/2)+BetTable[WBA2-Commission]/2,IF(BetTable[Outcome2]="Lose Half Stake",BetTable[S2]/2,IF(BetTable[Outcome2]="Lose",0,IF(BetTable[Outcome2]="Void",BetTable[S2],)))))</f>
        <v>0</v>
      </c>
      <c r="AH699" s="164">
        <f>IF(BetTable[Outcome3]="Win",BetTable[WBA3-Commission],IF(BetTable[Outcome3]="Win Half Stake",(BetTable[S3]/2)+BetTable[WBA3-Commission]/2,IF(BetTable[Outcome3]="Lose Half Stake",BetTable[S3]/2,IF(BetTable[Outcome3]="Lose",0,IF(BetTable[Outcome3]="Void",BetTable[S3],)))))</f>
        <v>0</v>
      </c>
      <c r="AI699" s="168">
        <f>IF(BetTable[Outcome]="",AI698,BetTable[Result]+AI698)</f>
        <v>1179.5032500000009</v>
      </c>
      <c r="AJ699" s="160"/>
    </row>
    <row r="700" spans="1:36" x14ac:dyDescent="0.2">
      <c r="A700" s="159" t="s">
        <v>1790</v>
      </c>
      <c r="B700" s="160" t="s">
        <v>200</v>
      </c>
      <c r="C700" s="161" t="s">
        <v>1714</v>
      </c>
      <c r="D700" s="161"/>
      <c r="E700" s="161"/>
      <c r="F700" s="162"/>
      <c r="G700" s="162"/>
      <c r="H700" s="162"/>
      <c r="I700" s="160" t="s">
        <v>1909</v>
      </c>
      <c r="J700" s="163">
        <v>1.92</v>
      </c>
      <c r="K700" s="163"/>
      <c r="L700" s="163"/>
      <c r="M700" s="164">
        <v>33</v>
      </c>
      <c r="N700" s="164"/>
      <c r="O700" s="164"/>
      <c r="P700" s="159" t="s">
        <v>354</v>
      </c>
      <c r="Q700" s="159" t="s">
        <v>968</v>
      </c>
      <c r="R700" s="159" t="s">
        <v>1910</v>
      </c>
      <c r="S700" s="165">
        <v>1.9481043924386099E-2</v>
      </c>
      <c r="T700" s="166" t="s">
        <v>372</v>
      </c>
      <c r="U700" s="166"/>
      <c r="V700" s="166"/>
      <c r="W700" s="167">
        <f>IF(BetTable[Sport]="","",BetTable[Stake]+BetTable[S2]+BetTable[S3])</f>
        <v>33</v>
      </c>
      <c r="X700" s="164">
        <f>IF(BetTable[Odds]="","",(BetTable[WBA1-Commission])-BetTable[TS])</f>
        <v>30.36</v>
      </c>
      <c r="Y700" s="168">
        <f>IF(BetTable[Outcome]="","",BetTable[WBA1]+BetTable[WBA2]+BetTable[WBA3]-BetTable[TS])</f>
        <v>30.36</v>
      </c>
      <c r="Z700" s="164">
        <f>(((BetTable[Odds]-1)*BetTable[Stake])*(1-(BetTable[Comm %]))+BetTable[Stake])</f>
        <v>63.36</v>
      </c>
      <c r="AA700" s="164">
        <f>(((BetTable[O2]-1)*BetTable[S2])*(1-(BetTable[C% 2]))+BetTable[S2])</f>
        <v>0</v>
      </c>
      <c r="AB700" s="164">
        <f>(((BetTable[O3]-1)*BetTable[S3])*(1-(BetTable[C% 3]))+BetTable[S3])</f>
        <v>0</v>
      </c>
      <c r="AC700" s="165">
        <f>IFERROR(IF(BetTable[Sport]="","",BetTable[R1]/BetTable[TS]),"")</f>
        <v>0.91999999999999993</v>
      </c>
      <c r="AD700" s="165" t="str">
        <f>IF(BetTable[O2]="","",#REF!/BetTable[TS])</f>
        <v/>
      </c>
      <c r="AE700" s="165" t="str">
        <f>IFERROR(IF(BetTable[Sport]="","",#REF!/BetTable[TS]),"")</f>
        <v/>
      </c>
      <c r="AF700" s="164">
        <f>IF(BetTable[Outcome]="Win",BetTable[WBA1-Commission],IF(BetTable[Outcome]="Win Half Stake",(BetTable[Stake]/2)+BetTable[WBA1-Commission]/2,IF(BetTable[Outcome]="Lose Half Stake",BetTable[Stake]/2,IF(BetTable[Outcome]="Lose",0,IF(BetTable[Outcome]="Void",BetTable[Stake],)))))</f>
        <v>63.36</v>
      </c>
      <c r="AG700" s="164">
        <f>IF(BetTable[Outcome2]="Win",BetTable[WBA2-Commission],IF(BetTable[Outcome2]="Win Half Stake",(BetTable[S2]/2)+BetTable[WBA2-Commission]/2,IF(BetTable[Outcome2]="Lose Half Stake",BetTable[S2]/2,IF(BetTable[Outcome2]="Lose",0,IF(BetTable[Outcome2]="Void",BetTable[S2],)))))</f>
        <v>0</v>
      </c>
      <c r="AH700" s="164">
        <f>IF(BetTable[Outcome3]="Win",BetTable[WBA3-Commission],IF(BetTable[Outcome3]="Win Half Stake",(BetTable[S3]/2)+BetTable[WBA3-Commission]/2,IF(BetTable[Outcome3]="Lose Half Stake",BetTable[S3]/2,IF(BetTable[Outcome3]="Lose",0,IF(BetTable[Outcome3]="Void",BetTable[S3],)))))</f>
        <v>0</v>
      </c>
      <c r="AI700" s="168">
        <f>IF(BetTable[Outcome]="",AI699,BetTable[Result]+AI699)</f>
        <v>1209.8632500000008</v>
      </c>
      <c r="AJ700" s="160"/>
    </row>
    <row r="701" spans="1:36" x14ac:dyDescent="0.2">
      <c r="A701" s="159" t="s">
        <v>1790</v>
      </c>
      <c r="B701" s="160" t="s">
        <v>200</v>
      </c>
      <c r="C701" s="161" t="s">
        <v>1714</v>
      </c>
      <c r="D701" s="161"/>
      <c r="E701" s="161"/>
      <c r="F701" s="162"/>
      <c r="G701" s="162"/>
      <c r="H701" s="162"/>
      <c r="I701" s="160" t="s">
        <v>1911</v>
      </c>
      <c r="J701" s="163">
        <v>2.09</v>
      </c>
      <c r="K701" s="163"/>
      <c r="L701" s="163"/>
      <c r="M701" s="164">
        <v>47</v>
      </c>
      <c r="N701" s="164"/>
      <c r="O701" s="164"/>
      <c r="P701" s="159" t="s">
        <v>868</v>
      </c>
      <c r="Q701" s="159" t="s">
        <v>1912</v>
      </c>
      <c r="R701" s="159" t="s">
        <v>1913</v>
      </c>
      <c r="S701" s="165">
        <v>3.3206584013544801E-2</v>
      </c>
      <c r="T701" s="166" t="s">
        <v>372</v>
      </c>
      <c r="U701" s="166"/>
      <c r="V701" s="166"/>
      <c r="W701" s="167">
        <f>IF(BetTable[Sport]="","",BetTable[Stake]+BetTable[S2]+BetTable[S3])</f>
        <v>47</v>
      </c>
      <c r="X701" s="164">
        <f>IF(BetTable[Odds]="","",(BetTable[WBA1-Commission])-BetTable[TS])</f>
        <v>51.22999999999999</v>
      </c>
      <c r="Y701" s="168">
        <f>IF(BetTable[Outcome]="","",BetTable[WBA1]+BetTable[WBA2]+BetTable[WBA3]-BetTable[TS])</f>
        <v>51.22999999999999</v>
      </c>
      <c r="Z701" s="164">
        <f>(((BetTable[Odds]-1)*BetTable[Stake])*(1-(BetTable[Comm %]))+BetTable[Stake])</f>
        <v>98.22999999999999</v>
      </c>
      <c r="AA701" s="164">
        <f>(((BetTable[O2]-1)*BetTable[S2])*(1-(BetTable[C% 2]))+BetTable[S2])</f>
        <v>0</v>
      </c>
      <c r="AB701" s="164">
        <f>(((BetTable[O3]-1)*BetTable[S3])*(1-(BetTable[C% 3]))+BetTable[S3])</f>
        <v>0</v>
      </c>
      <c r="AC701" s="165">
        <f>IFERROR(IF(BetTable[Sport]="","",BetTable[R1]/BetTable[TS]),"")</f>
        <v>1.0899999999999999</v>
      </c>
      <c r="AD701" s="165" t="str">
        <f>IF(BetTable[O2]="","",#REF!/BetTable[TS])</f>
        <v/>
      </c>
      <c r="AE701" s="165" t="str">
        <f>IFERROR(IF(BetTable[Sport]="","",#REF!/BetTable[TS]),"")</f>
        <v/>
      </c>
      <c r="AF701" s="164">
        <f>IF(BetTable[Outcome]="Win",BetTable[WBA1-Commission],IF(BetTable[Outcome]="Win Half Stake",(BetTable[Stake]/2)+BetTable[WBA1-Commission]/2,IF(BetTable[Outcome]="Lose Half Stake",BetTable[Stake]/2,IF(BetTable[Outcome]="Lose",0,IF(BetTable[Outcome]="Void",BetTable[Stake],)))))</f>
        <v>98.22999999999999</v>
      </c>
      <c r="AG701" s="164">
        <f>IF(BetTable[Outcome2]="Win",BetTable[WBA2-Commission],IF(BetTable[Outcome2]="Win Half Stake",(BetTable[S2]/2)+BetTable[WBA2-Commission]/2,IF(BetTable[Outcome2]="Lose Half Stake",BetTable[S2]/2,IF(BetTable[Outcome2]="Lose",0,IF(BetTable[Outcome2]="Void",BetTable[S2],)))))</f>
        <v>0</v>
      </c>
      <c r="AH701" s="164">
        <f>IF(BetTable[Outcome3]="Win",BetTable[WBA3-Commission],IF(BetTable[Outcome3]="Win Half Stake",(BetTable[S3]/2)+BetTable[WBA3-Commission]/2,IF(BetTable[Outcome3]="Lose Half Stake",BetTable[S3]/2,IF(BetTable[Outcome3]="Lose",0,IF(BetTable[Outcome3]="Void",BetTable[S3],)))))</f>
        <v>0</v>
      </c>
      <c r="AI701" s="168">
        <f>IF(BetTable[Outcome]="",AI700,BetTable[Result]+AI700)</f>
        <v>1261.0932500000008</v>
      </c>
      <c r="AJ701" s="160"/>
    </row>
    <row r="702" spans="1:36" x14ac:dyDescent="0.2">
      <c r="A702" s="159" t="s">
        <v>1790</v>
      </c>
      <c r="B702" s="160" t="s">
        <v>200</v>
      </c>
      <c r="C702" s="161" t="s">
        <v>1714</v>
      </c>
      <c r="D702" s="161"/>
      <c r="E702" s="161"/>
      <c r="F702" s="162"/>
      <c r="G702" s="162"/>
      <c r="H702" s="162"/>
      <c r="I702" s="160" t="s">
        <v>1914</v>
      </c>
      <c r="J702" s="163">
        <v>1.99</v>
      </c>
      <c r="K702" s="163"/>
      <c r="L702" s="163"/>
      <c r="M702" s="164">
        <v>52</v>
      </c>
      <c r="N702" s="164"/>
      <c r="O702" s="164"/>
      <c r="P702" s="159" t="s">
        <v>360</v>
      </c>
      <c r="Q702" s="159" t="s">
        <v>1848</v>
      </c>
      <c r="R702" s="159" t="s">
        <v>1915</v>
      </c>
      <c r="S702" s="165">
        <v>3.3234675050511003E-2</v>
      </c>
      <c r="T702" s="166" t="s">
        <v>372</v>
      </c>
      <c r="U702" s="166"/>
      <c r="V702" s="166"/>
      <c r="W702" s="167">
        <f>IF(BetTable[Sport]="","",BetTable[Stake]+BetTable[S2]+BetTable[S3])</f>
        <v>52</v>
      </c>
      <c r="X702" s="164">
        <f>IF(BetTable[Odds]="","",(BetTable[WBA1-Commission])-BetTable[TS])</f>
        <v>51.47999999999999</v>
      </c>
      <c r="Y702" s="168">
        <f>IF(BetTable[Outcome]="","",BetTable[WBA1]+BetTable[WBA2]+BetTable[WBA3]-BetTable[TS])</f>
        <v>51.47999999999999</v>
      </c>
      <c r="Z702" s="164">
        <f>(((BetTable[Odds]-1)*BetTable[Stake])*(1-(BetTable[Comm %]))+BetTable[Stake])</f>
        <v>103.47999999999999</v>
      </c>
      <c r="AA702" s="164">
        <f>(((BetTable[O2]-1)*BetTable[S2])*(1-(BetTable[C% 2]))+BetTable[S2])</f>
        <v>0</v>
      </c>
      <c r="AB702" s="164">
        <f>(((BetTable[O3]-1)*BetTable[S3])*(1-(BetTable[C% 3]))+BetTable[S3])</f>
        <v>0</v>
      </c>
      <c r="AC702" s="165">
        <f>IFERROR(IF(BetTable[Sport]="","",BetTable[R1]/BetTable[TS]),"")</f>
        <v>0.98999999999999977</v>
      </c>
      <c r="AD702" s="165" t="str">
        <f>IF(BetTable[O2]="","",#REF!/BetTable[TS])</f>
        <v/>
      </c>
      <c r="AE702" s="165" t="str">
        <f>IFERROR(IF(BetTable[Sport]="","",#REF!/BetTable[TS]),"")</f>
        <v/>
      </c>
      <c r="AF702" s="164">
        <f>IF(BetTable[Outcome]="Win",BetTable[WBA1-Commission],IF(BetTable[Outcome]="Win Half Stake",(BetTable[Stake]/2)+BetTable[WBA1-Commission]/2,IF(BetTable[Outcome]="Lose Half Stake",BetTable[Stake]/2,IF(BetTable[Outcome]="Lose",0,IF(BetTable[Outcome]="Void",BetTable[Stake],)))))</f>
        <v>103.47999999999999</v>
      </c>
      <c r="AG702" s="164">
        <f>IF(BetTable[Outcome2]="Win",BetTable[WBA2-Commission],IF(BetTable[Outcome2]="Win Half Stake",(BetTable[S2]/2)+BetTable[WBA2-Commission]/2,IF(BetTable[Outcome2]="Lose Half Stake",BetTable[S2]/2,IF(BetTable[Outcome2]="Lose",0,IF(BetTable[Outcome2]="Void",BetTable[S2],)))))</f>
        <v>0</v>
      </c>
      <c r="AH702" s="164">
        <f>IF(BetTable[Outcome3]="Win",BetTable[WBA3-Commission],IF(BetTable[Outcome3]="Win Half Stake",(BetTable[S3]/2)+BetTable[WBA3-Commission]/2,IF(BetTable[Outcome3]="Lose Half Stake",BetTable[S3]/2,IF(BetTable[Outcome3]="Lose",0,IF(BetTable[Outcome3]="Void",BetTable[S3],)))))</f>
        <v>0</v>
      </c>
      <c r="AI702" s="168">
        <f>IF(BetTable[Outcome]="",AI701,BetTable[Result]+AI701)</f>
        <v>1312.5732500000008</v>
      </c>
      <c r="AJ702" s="160"/>
    </row>
    <row r="703" spans="1:36" x14ac:dyDescent="0.2">
      <c r="A703" s="159" t="s">
        <v>1790</v>
      </c>
      <c r="B703" s="160" t="s">
        <v>200</v>
      </c>
      <c r="C703" s="161" t="s">
        <v>1714</v>
      </c>
      <c r="D703" s="161"/>
      <c r="E703" s="161"/>
      <c r="F703" s="162"/>
      <c r="G703" s="162"/>
      <c r="H703" s="162"/>
      <c r="I703" s="160" t="s">
        <v>1916</v>
      </c>
      <c r="J703" s="163">
        <v>1.7</v>
      </c>
      <c r="K703" s="163"/>
      <c r="L703" s="163"/>
      <c r="M703" s="164">
        <v>47</v>
      </c>
      <c r="N703" s="164"/>
      <c r="O703" s="164"/>
      <c r="P703" s="159" t="s">
        <v>360</v>
      </c>
      <c r="Q703" s="159" t="s">
        <v>439</v>
      </c>
      <c r="R703" s="159" t="s">
        <v>1917</v>
      </c>
      <c r="S703" s="165">
        <v>2.1119108777469101E-2</v>
      </c>
      <c r="T703" s="166" t="s">
        <v>372</v>
      </c>
      <c r="U703" s="166"/>
      <c r="V703" s="166"/>
      <c r="W703" s="167">
        <f>IF(BetTable[Sport]="","",BetTable[Stake]+BetTable[S2]+BetTable[S3])</f>
        <v>47</v>
      </c>
      <c r="X703" s="164">
        <f>IF(BetTable[Odds]="","",(BetTable[WBA1-Commission])-BetTable[TS])</f>
        <v>32.900000000000006</v>
      </c>
      <c r="Y703" s="168">
        <f>IF(BetTable[Outcome]="","",BetTable[WBA1]+BetTable[WBA2]+BetTable[WBA3]-BetTable[TS])</f>
        <v>32.900000000000006</v>
      </c>
      <c r="Z703" s="164">
        <f>(((BetTable[Odds]-1)*BetTable[Stake])*(1-(BetTable[Comm %]))+BetTable[Stake])</f>
        <v>79.900000000000006</v>
      </c>
      <c r="AA703" s="164">
        <f>(((BetTable[O2]-1)*BetTable[S2])*(1-(BetTable[C% 2]))+BetTable[S2])</f>
        <v>0</v>
      </c>
      <c r="AB703" s="164">
        <f>(((BetTable[O3]-1)*BetTable[S3])*(1-(BetTable[C% 3]))+BetTable[S3])</f>
        <v>0</v>
      </c>
      <c r="AC703" s="165">
        <f>IFERROR(IF(BetTable[Sport]="","",BetTable[R1]/BetTable[TS]),"")</f>
        <v>0.70000000000000007</v>
      </c>
      <c r="AD703" s="165" t="str">
        <f>IF(BetTable[O2]="","",#REF!/BetTable[TS])</f>
        <v/>
      </c>
      <c r="AE703" s="165" t="str">
        <f>IFERROR(IF(BetTable[Sport]="","",#REF!/BetTable[TS]),"")</f>
        <v/>
      </c>
      <c r="AF703" s="164">
        <f>IF(BetTable[Outcome]="Win",BetTable[WBA1-Commission],IF(BetTable[Outcome]="Win Half Stake",(BetTable[Stake]/2)+BetTable[WBA1-Commission]/2,IF(BetTable[Outcome]="Lose Half Stake",BetTable[Stake]/2,IF(BetTable[Outcome]="Lose",0,IF(BetTable[Outcome]="Void",BetTable[Stake],)))))</f>
        <v>79.900000000000006</v>
      </c>
      <c r="AG703" s="164">
        <f>IF(BetTable[Outcome2]="Win",BetTable[WBA2-Commission],IF(BetTable[Outcome2]="Win Half Stake",(BetTable[S2]/2)+BetTable[WBA2-Commission]/2,IF(BetTable[Outcome2]="Lose Half Stake",BetTable[S2]/2,IF(BetTable[Outcome2]="Lose",0,IF(BetTable[Outcome2]="Void",BetTable[S2],)))))</f>
        <v>0</v>
      </c>
      <c r="AH703" s="164">
        <f>IF(BetTable[Outcome3]="Win",BetTable[WBA3-Commission],IF(BetTable[Outcome3]="Win Half Stake",(BetTable[S3]/2)+BetTable[WBA3-Commission]/2,IF(BetTable[Outcome3]="Lose Half Stake",BetTable[S3]/2,IF(BetTable[Outcome3]="Lose",0,IF(BetTable[Outcome3]="Void",BetTable[S3],)))))</f>
        <v>0</v>
      </c>
      <c r="AI703" s="168">
        <f>IF(BetTable[Outcome]="",AI702,BetTable[Result]+AI702)</f>
        <v>1345.4732500000009</v>
      </c>
      <c r="AJ703" s="160"/>
    </row>
    <row r="704" spans="1:36" x14ac:dyDescent="0.2">
      <c r="A704" s="159" t="s">
        <v>1790</v>
      </c>
      <c r="B704" s="160" t="s">
        <v>200</v>
      </c>
      <c r="C704" s="161" t="s">
        <v>1714</v>
      </c>
      <c r="D704" s="161"/>
      <c r="E704" s="161"/>
      <c r="F704" s="162"/>
      <c r="G704" s="162"/>
      <c r="H704" s="162"/>
      <c r="I704" s="160" t="s">
        <v>1855</v>
      </c>
      <c r="J704" s="163">
        <v>3.65</v>
      </c>
      <c r="K704" s="163"/>
      <c r="L704" s="163"/>
      <c r="M704" s="164">
        <v>17</v>
      </c>
      <c r="N704" s="164"/>
      <c r="O704" s="164"/>
      <c r="P704" s="159" t="s">
        <v>435</v>
      </c>
      <c r="Q704" s="159" t="s">
        <v>488</v>
      </c>
      <c r="R704" s="159" t="s">
        <v>1918</v>
      </c>
      <c r="S704" s="165">
        <v>2.8508658333219701E-2</v>
      </c>
      <c r="T704" s="166" t="s">
        <v>382</v>
      </c>
      <c r="U704" s="166"/>
      <c r="V704" s="166"/>
      <c r="W704" s="167">
        <f>IF(BetTable[Sport]="","",BetTable[Stake]+BetTable[S2]+BetTable[S3])</f>
        <v>17</v>
      </c>
      <c r="X704" s="164">
        <f>IF(BetTable[Odds]="","",(BetTable[WBA1-Commission])-BetTable[TS])</f>
        <v>45.05</v>
      </c>
      <c r="Y704" s="168">
        <f>IF(BetTable[Outcome]="","",BetTable[WBA1]+BetTable[WBA2]+BetTable[WBA3]-BetTable[TS])</f>
        <v>-17</v>
      </c>
      <c r="Z704" s="164">
        <f>(((BetTable[Odds]-1)*BetTable[Stake])*(1-(BetTable[Comm %]))+BetTable[Stake])</f>
        <v>62.05</v>
      </c>
      <c r="AA704" s="164">
        <f>(((BetTable[O2]-1)*BetTable[S2])*(1-(BetTable[C% 2]))+BetTable[S2])</f>
        <v>0</v>
      </c>
      <c r="AB704" s="164">
        <f>(((BetTable[O3]-1)*BetTable[S3])*(1-(BetTable[C% 3]))+BetTable[S3])</f>
        <v>0</v>
      </c>
      <c r="AC704" s="165">
        <f>IFERROR(IF(BetTable[Sport]="","",BetTable[R1]/BetTable[TS]),"")</f>
        <v>2.65</v>
      </c>
      <c r="AD704" s="165" t="str">
        <f>IF(BetTable[O2]="","",#REF!/BetTable[TS])</f>
        <v/>
      </c>
      <c r="AE704" s="165" t="str">
        <f>IFERROR(IF(BetTable[Sport]="","",#REF!/BetTable[TS]),"")</f>
        <v/>
      </c>
      <c r="AF704" s="164">
        <f>IF(BetTable[Outcome]="Win",BetTable[WBA1-Commission],IF(BetTable[Outcome]="Win Half Stake",(BetTable[Stake]/2)+BetTable[WBA1-Commission]/2,IF(BetTable[Outcome]="Lose Half Stake",BetTable[Stake]/2,IF(BetTable[Outcome]="Lose",0,IF(BetTable[Outcome]="Void",BetTable[Stake],)))))</f>
        <v>0</v>
      </c>
      <c r="AG704" s="164">
        <f>IF(BetTable[Outcome2]="Win",BetTable[WBA2-Commission],IF(BetTable[Outcome2]="Win Half Stake",(BetTable[S2]/2)+BetTable[WBA2-Commission]/2,IF(BetTable[Outcome2]="Lose Half Stake",BetTable[S2]/2,IF(BetTable[Outcome2]="Lose",0,IF(BetTable[Outcome2]="Void",BetTable[S2],)))))</f>
        <v>0</v>
      </c>
      <c r="AH704" s="164">
        <f>IF(BetTable[Outcome3]="Win",BetTable[WBA3-Commission],IF(BetTable[Outcome3]="Win Half Stake",(BetTable[S3]/2)+BetTable[WBA3-Commission]/2,IF(BetTable[Outcome3]="Lose Half Stake",BetTable[S3]/2,IF(BetTable[Outcome3]="Lose",0,IF(BetTable[Outcome3]="Void",BetTable[S3],)))))</f>
        <v>0</v>
      </c>
      <c r="AI704" s="168">
        <f>IF(BetTable[Outcome]="",AI703,BetTable[Result]+AI703)</f>
        <v>1328.4732500000009</v>
      </c>
      <c r="AJ704" s="160"/>
    </row>
    <row r="705" spans="1:36" x14ac:dyDescent="0.2">
      <c r="A705" s="159" t="s">
        <v>1790</v>
      </c>
      <c r="B705" s="160" t="s">
        <v>200</v>
      </c>
      <c r="C705" s="161" t="s">
        <v>1714</v>
      </c>
      <c r="D705" s="161"/>
      <c r="E705" s="161"/>
      <c r="F705" s="162"/>
      <c r="G705" s="162"/>
      <c r="H705" s="162"/>
      <c r="I705" s="160" t="s">
        <v>1919</v>
      </c>
      <c r="J705" s="163">
        <v>1.7809999999999999</v>
      </c>
      <c r="K705" s="163"/>
      <c r="L705" s="163"/>
      <c r="M705" s="164">
        <v>50</v>
      </c>
      <c r="N705" s="164"/>
      <c r="O705" s="164"/>
      <c r="P705" s="159" t="s">
        <v>868</v>
      </c>
      <c r="Q705" s="159" t="s">
        <v>677</v>
      </c>
      <c r="R705" s="159" t="s">
        <v>1920</v>
      </c>
      <c r="S705" s="165">
        <v>2.5163733696329699E-2</v>
      </c>
      <c r="T705" s="166" t="s">
        <v>372</v>
      </c>
      <c r="U705" s="166"/>
      <c r="V705" s="166"/>
      <c r="W705" s="167">
        <f>IF(BetTable[Sport]="","",BetTable[Stake]+BetTable[S2]+BetTable[S3])</f>
        <v>50</v>
      </c>
      <c r="X705" s="164">
        <f>IF(BetTable[Odds]="","",(BetTable[WBA1-Commission])-BetTable[TS])</f>
        <v>39.049999999999997</v>
      </c>
      <c r="Y705" s="168">
        <f>IF(BetTable[Outcome]="","",BetTable[WBA1]+BetTable[WBA2]+BetTable[WBA3]-BetTable[TS])</f>
        <v>39.049999999999997</v>
      </c>
      <c r="Z705" s="164">
        <f>(((BetTable[Odds]-1)*BetTable[Stake])*(1-(BetTable[Comm %]))+BetTable[Stake])</f>
        <v>89.05</v>
      </c>
      <c r="AA705" s="164">
        <f>(((BetTable[O2]-1)*BetTable[S2])*(1-(BetTable[C% 2]))+BetTable[S2])</f>
        <v>0</v>
      </c>
      <c r="AB705" s="164">
        <f>(((BetTable[O3]-1)*BetTable[S3])*(1-(BetTable[C% 3]))+BetTable[S3])</f>
        <v>0</v>
      </c>
      <c r="AC705" s="165">
        <f>IFERROR(IF(BetTable[Sport]="","",BetTable[R1]/BetTable[TS]),"")</f>
        <v>0.78099999999999992</v>
      </c>
      <c r="AD705" s="165" t="str">
        <f>IF(BetTable[O2]="","",#REF!/BetTable[TS])</f>
        <v/>
      </c>
      <c r="AE705" s="165" t="str">
        <f>IFERROR(IF(BetTable[Sport]="","",#REF!/BetTable[TS]),"")</f>
        <v/>
      </c>
      <c r="AF705" s="164">
        <f>IF(BetTable[Outcome]="Win",BetTable[WBA1-Commission],IF(BetTable[Outcome]="Win Half Stake",(BetTable[Stake]/2)+BetTable[WBA1-Commission]/2,IF(BetTable[Outcome]="Lose Half Stake",BetTable[Stake]/2,IF(BetTable[Outcome]="Lose",0,IF(BetTable[Outcome]="Void",BetTable[Stake],)))))</f>
        <v>89.05</v>
      </c>
      <c r="AG705" s="164">
        <f>IF(BetTable[Outcome2]="Win",BetTable[WBA2-Commission],IF(BetTable[Outcome2]="Win Half Stake",(BetTable[S2]/2)+BetTable[WBA2-Commission]/2,IF(BetTable[Outcome2]="Lose Half Stake",BetTable[S2]/2,IF(BetTable[Outcome2]="Lose",0,IF(BetTable[Outcome2]="Void",BetTable[S2],)))))</f>
        <v>0</v>
      </c>
      <c r="AH705" s="164">
        <f>IF(BetTable[Outcome3]="Win",BetTable[WBA3-Commission],IF(BetTable[Outcome3]="Win Half Stake",(BetTable[S3]/2)+BetTable[WBA3-Commission]/2,IF(BetTable[Outcome3]="Lose Half Stake",BetTable[S3]/2,IF(BetTable[Outcome3]="Lose",0,IF(BetTable[Outcome3]="Void",BetTable[S3],)))))</f>
        <v>0</v>
      </c>
      <c r="AI705" s="168">
        <f>IF(BetTable[Outcome]="",AI704,BetTable[Result]+AI704)</f>
        <v>1367.5232500000009</v>
      </c>
      <c r="AJ705" s="160"/>
    </row>
    <row r="706" spans="1:36" x14ac:dyDescent="0.2">
      <c r="A706" s="159" t="s">
        <v>1790</v>
      </c>
      <c r="B706" s="160" t="s">
        <v>200</v>
      </c>
      <c r="C706" s="161" t="s">
        <v>1714</v>
      </c>
      <c r="D706" s="161"/>
      <c r="E706" s="161"/>
      <c r="F706" s="162"/>
      <c r="G706" s="162"/>
      <c r="H706" s="162"/>
      <c r="I706" s="160" t="s">
        <v>1921</v>
      </c>
      <c r="J706" s="163">
        <v>1.92</v>
      </c>
      <c r="K706" s="163"/>
      <c r="L706" s="163"/>
      <c r="M706" s="164">
        <v>29</v>
      </c>
      <c r="N706" s="164"/>
      <c r="O706" s="164"/>
      <c r="P706" s="159" t="s">
        <v>354</v>
      </c>
      <c r="Q706" s="159" t="s">
        <v>439</v>
      </c>
      <c r="R706" s="159" t="s">
        <v>1922</v>
      </c>
      <c r="S706" s="165">
        <v>1.7317106555499801E-2</v>
      </c>
      <c r="T706" s="166" t="s">
        <v>382</v>
      </c>
      <c r="U706" s="166"/>
      <c r="V706" s="166"/>
      <c r="W706" s="167">
        <f>IF(BetTable[Sport]="","",BetTable[Stake]+BetTable[S2]+BetTable[S3])</f>
        <v>29</v>
      </c>
      <c r="X706" s="164">
        <f>IF(BetTable[Odds]="","",(BetTable[WBA1-Commission])-BetTable[TS])</f>
        <v>26.68</v>
      </c>
      <c r="Y706" s="168">
        <f>IF(BetTable[Outcome]="","",BetTable[WBA1]+BetTable[WBA2]+BetTable[WBA3]-BetTable[TS])</f>
        <v>-29</v>
      </c>
      <c r="Z706" s="164">
        <f>(((BetTable[Odds]-1)*BetTable[Stake])*(1-(BetTable[Comm %]))+BetTable[Stake])</f>
        <v>55.68</v>
      </c>
      <c r="AA706" s="164">
        <f>(((BetTable[O2]-1)*BetTable[S2])*(1-(BetTable[C% 2]))+BetTable[S2])</f>
        <v>0</v>
      </c>
      <c r="AB706" s="164">
        <f>(((BetTable[O3]-1)*BetTable[S3])*(1-(BetTable[C% 3]))+BetTable[S3])</f>
        <v>0</v>
      </c>
      <c r="AC706" s="165">
        <f>IFERROR(IF(BetTable[Sport]="","",BetTable[R1]/BetTable[TS]),"")</f>
        <v>0.92</v>
      </c>
      <c r="AD706" s="165" t="str">
        <f>IF(BetTable[O2]="","",#REF!/BetTable[TS])</f>
        <v/>
      </c>
      <c r="AE706" s="165" t="str">
        <f>IFERROR(IF(BetTable[Sport]="","",#REF!/BetTable[TS]),"")</f>
        <v/>
      </c>
      <c r="AF706" s="164">
        <f>IF(BetTable[Outcome]="Win",BetTable[WBA1-Commission],IF(BetTable[Outcome]="Win Half Stake",(BetTable[Stake]/2)+BetTable[WBA1-Commission]/2,IF(BetTable[Outcome]="Lose Half Stake",BetTable[Stake]/2,IF(BetTable[Outcome]="Lose",0,IF(BetTable[Outcome]="Void",BetTable[Stake],)))))</f>
        <v>0</v>
      </c>
      <c r="AG706" s="164">
        <f>IF(BetTable[Outcome2]="Win",BetTable[WBA2-Commission],IF(BetTable[Outcome2]="Win Half Stake",(BetTable[S2]/2)+BetTable[WBA2-Commission]/2,IF(BetTable[Outcome2]="Lose Half Stake",BetTable[S2]/2,IF(BetTable[Outcome2]="Lose",0,IF(BetTable[Outcome2]="Void",BetTable[S2],)))))</f>
        <v>0</v>
      </c>
      <c r="AH706" s="164">
        <f>IF(BetTable[Outcome3]="Win",BetTable[WBA3-Commission],IF(BetTable[Outcome3]="Win Half Stake",(BetTable[S3]/2)+BetTable[WBA3-Commission]/2,IF(BetTable[Outcome3]="Lose Half Stake",BetTable[S3]/2,IF(BetTable[Outcome3]="Lose",0,IF(BetTable[Outcome3]="Void",BetTable[S3],)))))</f>
        <v>0</v>
      </c>
      <c r="AI706" s="168">
        <f>IF(BetTable[Outcome]="",AI705,BetTable[Result]+AI705)</f>
        <v>1338.5232500000009</v>
      </c>
      <c r="AJ706" s="160"/>
    </row>
    <row r="707" spans="1:36" x14ac:dyDescent="0.2">
      <c r="A707" s="159" t="s">
        <v>1790</v>
      </c>
      <c r="B707" s="160" t="s">
        <v>200</v>
      </c>
      <c r="C707" s="161" t="s">
        <v>1714</v>
      </c>
      <c r="D707" s="161"/>
      <c r="E707" s="161"/>
      <c r="F707" s="162"/>
      <c r="G707" s="162"/>
      <c r="H707" s="162"/>
      <c r="I707" s="160" t="s">
        <v>1923</v>
      </c>
      <c r="J707" s="163">
        <v>1.75</v>
      </c>
      <c r="K707" s="163"/>
      <c r="L707" s="163"/>
      <c r="M707" s="164">
        <v>73</v>
      </c>
      <c r="N707" s="164"/>
      <c r="O707" s="164"/>
      <c r="P707" s="159" t="s">
        <v>1924</v>
      </c>
      <c r="Q707" s="159" t="s">
        <v>474</v>
      </c>
      <c r="R707" s="159" t="s">
        <v>1925</v>
      </c>
      <c r="S707" s="165">
        <v>3.5203279371785197E-2</v>
      </c>
      <c r="T707" s="166" t="s">
        <v>372</v>
      </c>
      <c r="U707" s="166"/>
      <c r="V707" s="166"/>
      <c r="W707" s="167">
        <f>IF(BetTable[Sport]="","",BetTable[Stake]+BetTable[S2]+BetTable[S3])</f>
        <v>73</v>
      </c>
      <c r="X707" s="164">
        <f>IF(BetTable[Odds]="","",(BetTable[WBA1-Commission])-BetTable[TS])</f>
        <v>54.75</v>
      </c>
      <c r="Y707" s="168">
        <f>IF(BetTable[Outcome]="","",BetTable[WBA1]+BetTable[WBA2]+BetTable[WBA3]-BetTable[TS])</f>
        <v>54.75</v>
      </c>
      <c r="Z707" s="164">
        <f>(((BetTable[Odds]-1)*BetTable[Stake])*(1-(BetTable[Comm %]))+BetTable[Stake])</f>
        <v>127.75</v>
      </c>
      <c r="AA707" s="164">
        <f>(((BetTable[O2]-1)*BetTable[S2])*(1-(BetTable[C% 2]))+BetTable[S2])</f>
        <v>0</v>
      </c>
      <c r="AB707" s="164">
        <f>(((BetTable[O3]-1)*BetTable[S3])*(1-(BetTable[C% 3]))+BetTable[S3])</f>
        <v>0</v>
      </c>
      <c r="AC707" s="165">
        <f>IFERROR(IF(BetTable[Sport]="","",BetTable[R1]/BetTable[TS]),"")</f>
        <v>0.75</v>
      </c>
      <c r="AD707" s="165" t="str">
        <f>IF(BetTable[O2]="","",#REF!/BetTable[TS])</f>
        <v/>
      </c>
      <c r="AE707" s="165" t="str">
        <f>IFERROR(IF(BetTable[Sport]="","",#REF!/BetTable[TS]),"")</f>
        <v/>
      </c>
      <c r="AF707" s="164">
        <f>IF(BetTable[Outcome]="Win",BetTable[WBA1-Commission],IF(BetTable[Outcome]="Win Half Stake",(BetTable[Stake]/2)+BetTable[WBA1-Commission]/2,IF(BetTable[Outcome]="Lose Half Stake",BetTable[Stake]/2,IF(BetTable[Outcome]="Lose",0,IF(BetTable[Outcome]="Void",BetTable[Stake],)))))</f>
        <v>127.75</v>
      </c>
      <c r="AG707" s="164">
        <f>IF(BetTable[Outcome2]="Win",BetTable[WBA2-Commission],IF(BetTable[Outcome2]="Win Half Stake",(BetTable[S2]/2)+BetTable[WBA2-Commission]/2,IF(BetTable[Outcome2]="Lose Half Stake",BetTable[S2]/2,IF(BetTable[Outcome2]="Lose",0,IF(BetTable[Outcome2]="Void",BetTable[S2],)))))</f>
        <v>0</v>
      </c>
      <c r="AH707" s="164">
        <f>IF(BetTable[Outcome3]="Win",BetTable[WBA3-Commission],IF(BetTable[Outcome3]="Win Half Stake",(BetTable[S3]/2)+BetTable[WBA3-Commission]/2,IF(BetTable[Outcome3]="Lose Half Stake",BetTable[S3]/2,IF(BetTable[Outcome3]="Lose",0,IF(BetTable[Outcome3]="Void",BetTable[S3],)))))</f>
        <v>0</v>
      </c>
      <c r="AI707" s="168">
        <f>IF(BetTable[Outcome]="",AI706,BetTable[Result]+AI706)</f>
        <v>1393.2732500000009</v>
      </c>
      <c r="AJ707" s="160"/>
    </row>
    <row r="708" spans="1:36" x14ac:dyDescent="0.2">
      <c r="A708" s="159" t="s">
        <v>1790</v>
      </c>
      <c r="B708" s="160" t="s">
        <v>200</v>
      </c>
      <c r="C708" s="161" t="s">
        <v>1714</v>
      </c>
      <c r="D708" s="161"/>
      <c r="E708" s="161"/>
      <c r="F708" s="162"/>
      <c r="G708" s="162"/>
      <c r="H708" s="162"/>
      <c r="I708" s="160" t="s">
        <v>1926</v>
      </c>
      <c r="J708" s="163">
        <v>3.15</v>
      </c>
      <c r="K708" s="163"/>
      <c r="L708" s="163"/>
      <c r="M708" s="164">
        <v>35</v>
      </c>
      <c r="N708" s="164"/>
      <c r="O708" s="164"/>
      <c r="P708" s="159" t="s">
        <v>494</v>
      </c>
      <c r="Q708" s="159" t="s">
        <v>485</v>
      </c>
      <c r="R708" s="159" t="s">
        <v>1927</v>
      </c>
      <c r="S708" s="165">
        <v>6.5386351725923206E-2</v>
      </c>
      <c r="T708" s="166" t="s">
        <v>382</v>
      </c>
      <c r="U708" s="166"/>
      <c r="V708" s="166"/>
      <c r="W708" s="167">
        <f>IF(BetTable[Sport]="","",BetTable[Stake]+BetTable[S2]+BetTable[S3])</f>
        <v>35</v>
      </c>
      <c r="X708" s="164">
        <f>IF(BetTable[Odds]="","",(BetTable[WBA1-Commission])-BetTable[TS])</f>
        <v>75.25</v>
      </c>
      <c r="Y708" s="168">
        <f>IF(BetTable[Outcome]="","",BetTable[WBA1]+BetTable[WBA2]+BetTable[WBA3]-BetTable[TS])</f>
        <v>-35</v>
      </c>
      <c r="Z708" s="164">
        <f>(((BetTable[Odds]-1)*BetTable[Stake])*(1-(BetTable[Comm %]))+BetTable[Stake])</f>
        <v>110.25</v>
      </c>
      <c r="AA708" s="164">
        <f>(((BetTable[O2]-1)*BetTable[S2])*(1-(BetTable[C% 2]))+BetTable[S2])</f>
        <v>0</v>
      </c>
      <c r="AB708" s="164">
        <f>(((BetTable[O3]-1)*BetTable[S3])*(1-(BetTable[C% 3]))+BetTable[S3])</f>
        <v>0</v>
      </c>
      <c r="AC708" s="165">
        <f>IFERROR(IF(BetTable[Sport]="","",BetTable[R1]/BetTable[TS]),"")</f>
        <v>2.15</v>
      </c>
      <c r="AD708" s="165" t="str">
        <f>IF(BetTable[O2]="","",#REF!/BetTable[TS])</f>
        <v/>
      </c>
      <c r="AE708" s="165" t="str">
        <f>IFERROR(IF(BetTable[Sport]="","",#REF!/BetTable[TS]),"")</f>
        <v/>
      </c>
      <c r="AF708" s="164">
        <f>IF(BetTable[Outcome]="Win",BetTable[WBA1-Commission],IF(BetTable[Outcome]="Win Half Stake",(BetTable[Stake]/2)+BetTable[WBA1-Commission]/2,IF(BetTable[Outcome]="Lose Half Stake",BetTable[Stake]/2,IF(BetTable[Outcome]="Lose",0,IF(BetTable[Outcome]="Void",BetTable[Stake],)))))</f>
        <v>0</v>
      </c>
      <c r="AG708" s="164">
        <f>IF(BetTable[Outcome2]="Win",BetTable[WBA2-Commission],IF(BetTable[Outcome2]="Win Half Stake",(BetTable[S2]/2)+BetTable[WBA2-Commission]/2,IF(BetTable[Outcome2]="Lose Half Stake",BetTable[S2]/2,IF(BetTable[Outcome2]="Lose",0,IF(BetTable[Outcome2]="Void",BetTable[S2],)))))</f>
        <v>0</v>
      </c>
      <c r="AH708" s="164">
        <f>IF(BetTable[Outcome3]="Win",BetTable[WBA3-Commission],IF(BetTable[Outcome3]="Win Half Stake",(BetTable[S3]/2)+BetTable[WBA3-Commission]/2,IF(BetTable[Outcome3]="Lose Half Stake",BetTable[S3]/2,IF(BetTable[Outcome3]="Lose",0,IF(BetTable[Outcome3]="Void",BetTable[S3],)))))</f>
        <v>0</v>
      </c>
      <c r="AI708" s="168">
        <f>IF(BetTable[Outcome]="",AI707,BetTable[Result]+AI707)</f>
        <v>1358.2732500000009</v>
      </c>
      <c r="AJ708" s="160"/>
    </row>
    <row r="709" spans="1:36" x14ac:dyDescent="0.2">
      <c r="A709" s="159" t="s">
        <v>1790</v>
      </c>
      <c r="B709" s="160" t="s">
        <v>200</v>
      </c>
      <c r="C709" s="161" t="s">
        <v>1714</v>
      </c>
      <c r="D709" s="161"/>
      <c r="E709" s="161"/>
      <c r="F709" s="162"/>
      <c r="G709" s="162"/>
      <c r="H709" s="162"/>
      <c r="I709" s="160" t="s">
        <v>1905</v>
      </c>
      <c r="J709" s="163">
        <v>3.5</v>
      </c>
      <c r="K709" s="163"/>
      <c r="L709" s="163"/>
      <c r="M709" s="164">
        <v>24</v>
      </c>
      <c r="N709" s="164"/>
      <c r="O709" s="164"/>
      <c r="P709" s="159" t="s">
        <v>494</v>
      </c>
      <c r="Q709" s="159" t="s">
        <v>677</v>
      </c>
      <c r="R709" s="159" t="s">
        <v>1928</v>
      </c>
      <c r="S709" s="165">
        <v>3.93766837785798E-2</v>
      </c>
      <c r="T709" s="166" t="s">
        <v>382</v>
      </c>
      <c r="U709" s="166"/>
      <c r="V709" s="166"/>
      <c r="W709" s="167">
        <f>IF(BetTable[Sport]="","",BetTable[Stake]+BetTable[S2]+BetTable[S3])</f>
        <v>24</v>
      </c>
      <c r="X709" s="164">
        <f>IF(BetTable[Odds]="","",(BetTable[WBA1-Commission])-BetTable[TS])</f>
        <v>60</v>
      </c>
      <c r="Y709" s="168">
        <f>IF(BetTable[Outcome]="","",BetTable[WBA1]+BetTable[WBA2]+BetTable[WBA3]-BetTable[TS])</f>
        <v>-24</v>
      </c>
      <c r="Z709" s="164">
        <f>(((BetTable[Odds]-1)*BetTable[Stake])*(1-(BetTable[Comm %]))+BetTable[Stake])</f>
        <v>84</v>
      </c>
      <c r="AA709" s="164">
        <f>(((BetTable[O2]-1)*BetTable[S2])*(1-(BetTable[C% 2]))+BetTable[S2])</f>
        <v>0</v>
      </c>
      <c r="AB709" s="164">
        <f>(((BetTable[O3]-1)*BetTable[S3])*(1-(BetTable[C% 3]))+BetTable[S3])</f>
        <v>0</v>
      </c>
      <c r="AC709" s="165">
        <f>IFERROR(IF(BetTable[Sport]="","",BetTable[R1]/BetTable[TS]),"")</f>
        <v>2.5</v>
      </c>
      <c r="AD709" s="165" t="str">
        <f>IF(BetTable[O2]="","",#REF!/BetTable[TS])</f>
        <v/>
      </c>
      <c r="AE709" s="165" t="str">
        <f>IFERROR(IF(BetTable[Sport]="","",#REF!/BetTable[TS]),"")</f>
        <v/>
      </c>
      <c r="AF709" s="164">
        <f>IF(BetTable[Outcome]="Win",BetTable[WBA1-Commission],IF(BetTable[Outcome]="Win Half Stake",(BetTable[Stake]/2)+BetTable[WBA1-Commission]/2,IF(BetTable[Outcome]="Lose Half Stake",BetTable[Stake]/2,IF(BetTable[Outcome]="Lose",0,IF(BetTable[Outcome]="Void",BetTable[Stake],)))))</f>
        <v>0</v>
      </c>
      <c r="AG709" s="164">
        <f>IF(BetTable[Outcome2]="Win",BetTable[WBA2-Commission],IF(BetTable[Outcome2]="Win Half Stake",(BetTable[S2]/2)+BetTable[WBA2-Commission]/2,IF(BetTable[Outcome2]="Lose Half Stake",BetTable[S2]/2,IF(BetTable[Outcome2]="Lose",0,IF(BetTable[Outcome2]="Void",BetTable[S2],)))))</f>
        <v>0</v>
      </c>
      <c r="AH709" s="164">
        <f>IF(BetTable[Outcome3]="Win",BetTable[WBA3-Commission],IF(BetTable[Outcome3]="Win Half Stake",(BetTable[S3]/2)+BetTable[WBA3-Commission]/2,IF(BetTable[Outcome3]="Lose Half Stake",BetTable[S3]/2,IF(BetTable[Outcome3]="Lose",0,IF(BetTable[Outcome3]="Void",BetTable[S3],)))))</f>
        <v>0</v>
      </c>
      <c r="AI709" s="168">
        <f>IF(BetTable[Outcome]="",AI708,BetTable[Result]+AI708)</f>
        <v>1334.2732500000009</v>
      </c>
      <c r="AJ709" s="160"/>
    </row>
    <row r="710" spans="1:36" x14ac:dyDescent="0.2">
      <c r="A710" s="159" t="s">
        <v>1790</v>
      </c>
      <c r="B710" s="160" t="s">
        <v>200</v>
      </c>
      <c r="C710" s="161" t="s">
        <v>1714</v>
      </c>
      <c r="D710" s="161"/>
      <c r="E710" s="161"/>
      <c r="F710" s="162"/>
      <c r="G710" s="162"/>
      <c r="H710" s="162"/>
      <c r="I710" s="160" t="s">
        <v>1929</v>
      </c>
      <c r="J710" s="163">
        <v>2.0699999999999998</v>
      </c>
      <c r="K710" s="163"/>
      <c r="L710" s="163"/>
      <c r="M710" s="164">
        <v>26</v>
      </c>
      <c r="N710" s="164"/>
      <c r="O710" s="164"/>
      <c r="P710" s="159" t="s">
        <v>448</v>
      </c>
      <c r="Q710" s="159" t="s">
        <v>677</v>
      </c>
      <c r="R710" s="159" t="s">
        <v>1930</v>
      </c>
      <c r="S710" s="165">
        <v>1.81677139503548E-2</v>
      </c>
      <c r="T710" s="166" t="s">
        <v>382</v>
      </c>
      <c r="U710" s="166"/>
      <c r="V710" s="166"/>
      <c r="W710" s="167">
        <f>IF(BetTable[Sport]="","",BetTable[Stake]+BetTable[S2]+BetTable[S3])</f>
        <v>26</v>
      </c>
      <c r="X710" s="164">
        <f>IF(BetTable[Odds]="","",(BetTable[WBA1-Commission])-BetTable[TS])</f>
        <v>27.819999999999993</v>
      </c>
      <c r="Y710" s="168">
        <f>IF(BetTable[Outcome]="","",BetTable[WBA1]+BetTable[WBA2]+BetTable[WBA3]-BetTable[TS])</f>
        <v>-26</v>
      </c>
      <c r="Z710" s="164">
        <f>(((BetTable[Odds]-1)*BetTable[Stake])*(1-(BetTable[Comm %]))+BetTable[Stake])</f>
        <v>53.819999999999993</v>
      </c>
      <c r="AA710" s="164">
        <f>(((BetTable[O2]-1)*BetTable[S2])*(1-(BetTable[C% 2]))+BetTable[S2])</f>
        <v>0</v>
      </c>
      <c r="AB710" s="164">
        <f>(((BetTable[O3]-1)*BetTable[S3])*(1-(BetTable[C% 3]))+BetTable[S3])</f>
        <v>0</v>
      </c>
      <c r="AC710" s="165">
        <f>IFERROR(IF(BetTable[Sport]="","",BetTable[R1]/BetTable[TS]),"")</f>
        <v>1.0699999999999998</v>
      </c>
      <c r="AD710" s="165" t="str">
        <f>IF(BetTable[O2]="","",#REF!/BetTable[TS])</f>
        <v/>
      </c>
      <c r="AE710" s="165" t="str">
        <f>IFERROR(IF(BetTable[Sport]="","",#REF!/BetTable[TS]),"")</f>
        <v/>
      </c>
      <c r="AF710" s="164">
        <f>IF(BetTable[Outcome]="Win",BetTable[WBA1-Commission],IF(BetTable[Outcome]="Win Half Stake",(BetTable[Stake]/2)+BetTable[WBA1-Commission]/2,IF(BetTable[Outcome]="Lose Half Stake",BetTable[Stake]/2,IF(BetTable[Outcome]="Lose",0,IF(BetTable[Outcome]="Void",BetTable[Stake],)))))</f>
        <v>0</v>
      </c>
      <c r="AG710" s="164">
        <f>IF(BetTable[Outcome2]="Win",BetTable[WBA2-Commission],IF(BetTable[Outcome2]="Win Half Stake",(BetTable[S2]/2)+BetTable[WBA2-Commission]/2,IF(BetTable[Outcome2]="Lose Half Stake",BetTable[S2]/2,IF(BetTable[Outcome2]="Lose",0,IF(BetTable[Outcome2]="Void",BetTable[S2],)))))</f>
        <v>0</v>
      </c>
      <c r="AH710" s="164">
        <f>IF(BetTable[Outcome3]="Win",BetTable[WBA3-Commission],IF(BetTable[Outcome3]="Win Half Stake",(BetTable[S3]/2)+BetTable[WBA3-Commission]/2,IF(BetTable[Outcome3]="Lose Half Stake",BetTable[S3]/2,IF(BetTable[Outcome3]="Lose",0,IF(BetTable[Outcome3]="Void",BetTable[S3],)))))</f>
        <v>0</v>
      </c>
      <c r="AI710" s="168">
        <f>IF(BetTable[Outcome]="",AI709,BetTable[Result]+AI709)</f>
        <v>1308.2732500000009</v>
      </c>
      <c r="AJ710" s="160"/>
    </row>
    <row r="711" spans="1:36" x14ac:dyDescent="0.2">
      <c r="A711" s="159" t="s">
        <v>1790</v>
      </c>
      <c r="B711" s="160" t="s">
        <v>200</v>
      </c>
      <c r="C711" s="161" t="s">
        <v>1714</v>
      </c>
      <c r="D711" s="161"/>
      <c r="E711" s="161"/>
      <c r="F711" s="162"/>
      <c r="G711" s="162"/>
      <c r="H711" s="162"/>
      <c r="I711" s="160" t="s">
        <v>1931</v>
      </c>
      <c r="J711" s="163">
        <v>1.92</v>
      </c>
      <c r="K711" s="163"/>
      <c r="L711" s="163"/>
      <c r="M711" s="164">
        <v>36</v>
      </c>
      <c r="N711" s="164"/>
      <c r="O711" s="164"/>
      <c r="P711" s="159" t="s">
        <v>852</v>
      </c>
      <c r="Q711" s="159" t="s">
        <v>677</v>
      </c>
      <c r="R711" s="159" t="s">
        <v>1932</v>
      </c>
      <c r="S711" s="165">
        <v>2.1548767964488999E-2</v>
      </c>
      <c r="T711" s="166" t="s">
        <v>382</v>
      </c>
      <c r="U711" s="166"/>
      <c r="V711" s="166"/>
      <c r="W711" s="167">
        <f>IF(BetTable[Sport]="","",BetTable[Stake]+BetTable[S2]+BetTable[S3])</f>
        <v>36</v>
      </c>
      <c r="X711" s="164">
        <f>IF(BetTable[Odds]="","",(BetTable[WBA1-Commission])-BetTable[TS])</f>
        <v>33.120000000000005</v>
      </c>
      <c r="Y711" s="168">
        <f>IF(BetTable[Outcome]="","",BetTable[WBA1]+BetTable[WBA2]+BetTable[WBA3]-BetTable[TS])</f>
        <v>-36</v>
      </c>
      <c r="Z711" s="164">
        <f>(((BetTable[Odds]-1)*BetTable[Stake])*(1-(BetTable[Comm %]))+BetTable[Stake])</f>
        <v>69.12</v>
      </c>
      <c r="AA711" s="164">
        <f>(((BetTable[O2]-1)*BetTable[S2])*(1-(BetTable[C% 2]))+BetTable[S2])</f>
        <v>0</v>
      </c>
      <c r="AB711" s="164">
        <f>(((BetTable[O3]-1)*BetTable[S3])*(1-(BetTable[C% 3]))+BetTable[S3])</f>
        <v>0</v>
      </c>
      <c r="AC711" s="165">
        <f>IFERROR(IF(BetTable[Sport]="","",BetTable[R1]/BetTable[TS]),"")</f>
        <v>0.92000000000000015</v>
      </c>
      <c r="AD711" s="165" t="str">
        <f>IF(BetTable[O2]="","",#REF!/BetTable[TS])</f>
        <v/>
      </c>
      <c r="AE711" s="165" t="str">
        <f>IFERROR(IF(BetTable[Sport]="","",#REF!/BetTable[TS]),"")</f>
        <v/>
      </c>
      <c r="AF711" s="164">
        <f>IF(BetTable[Outcome]="Win",BetTable[WBA1-Commission],IF(BetTable[Outcome]="Win Half Stake",(BetTable[Stake]/2)+BetTable[WBA1-Commission]/2,IF(BetTable[Outcome]="Lose Half Stake",BetTable[Stake]/2,IF(BetTable[Outcome]="Lose",0,IF(BetTable[Outcome]="Void",BetTable[Stake],)))))</f>
        <v>0</v>
      </c>
      <c r="AG711" s="164">
        <f>IF(BetTable[Outcome2]="Win",BetTable[WBA2-Commission],IF(BetTable[Outcome2]="Win Half Stake",(BetTable[S2]/2)+BetTable[WBA2-Commission]/2,IF(BetTable[Outcome2]="Lose Half Stake",BetTable[S2]/2,IF(BetTable[Outcome2]="Lose",0,IF(BetTable[Outcome2]="Void",BetTable[S2],)))))</f>
        <v>0</v>
      </c>
      <c r="AH711" s="164">
        <f>IF(BetTable[Outcome3]="Win",BetTable[WBA3-Commission],IF(BetTable[Outcome3]="Win Half Stake",(BetTable[S3]/2)+BetTable[WBA3-Commission]/2,IF(BetTable[Outcome3]="Lose Half Stake",BetTable[S3]/2,IF(BetTable[Outcome3]="Lose",0,IF(BetTable[Outcome3]="Void",BetTable[S3],)))))</f>
        <v>0</v>
      </c>
      <c r="AI711" s="168">
        <f>IF(BetTable[Outcome]="",AI710,BetTable[Result]+AI710)</f>
        <v>1272.2732500000009</v>
      </c>
      <c r="AJ711" s="160"/>
    </row>
    <row r="712" spans="1:36" x14ac:dyDescent="0.2">
      <c r="A712" s="159" t="s">
        <v>1790</v>
      </c>
      <c r="B712" s="160" t="s">
        <v>200</v>
      </c>
      <c r="C712" s="161" t="s">
        <v>1714</v>
      </c>
      <c r="D712" s="161"/>
      <c r="E712" s="161"/>
      <c r="F712" s="162"/>
      <c r="G712" s="162"/>
      <c r="H712" s="162"/>
      <c r="I712" s="160" t="s">
        <v>1933</v>
      </c>
      <c r="J712" s="163">
        <v>3.05</v>
      </c>
      <c r="K712" s="163"/>
      <c r="L712" s="163"/>
      <c r="M712" s="164">
        <v>16</v>
      </c>
      <c r="N712" s="164"/>
      <c r="O712" s="164"/>
      <c r="P712" s="159" t="s">
        <v>494</v>
      </c>
      <c r="Q712" s="159" t="s">
        <v>461</v>
      </c>
      <c r="R712" s="159" t="s">
        <v>1934</v>
      </c>
      <c r="S712" s="165">
        <v>2.1502409944190701E-2</v>
      </c>
      <c r="T712" s="166" t="s">
        <v>372</v>
      </c>
      <c r="U712" s="166"/>
      <c r="V712" s="166"/>
      <c r="W712" s="167">
        <f>IF(BetTable[Sport]="","",BetTable[Stake]+BetTable[S2]+BetTable[S3])</f>
        <v>16</v>
      </c>
      <c r="X712" s="164">
        <f>IF(BetTable[Odds]="","",(BetTable[WBA1-Commission])-BetTable[TS])</f>
        <v>32.799999999999997</v>
      </c>
      <c r="Y712" s="168">
        <f>IF(BetTable[Outcome]="","",BetTable[WBA1]+BetTable[WBA2]+BetTable[WBA3]-BetTable[TS])</f>
        <v>32.799999999999997</v>
      </c>
      <c r="Z712" s="164">
        <f>(((BetTable[Odds]-1)*BetTable[Stake])*(1-(BetTable[Comm %]))+BetTable[Stake])</f>
        <v>48.8</v>
      </c>
      <c r="AA712" s="164">
        <f>(((BetTable[O2]-1)*BetTable[S2])*(1-(BetTable[C% 2]))+BetTable[S2])</f>
        <v>0</v>
      </c>
      <c r="AB712" s="164">
        <f>(((BetTable[O3]-1)*BetTable[S3])*(1-(BetTable[C% 3]))+BetTable[S3])</f>
        <v>0</v>
      </c>
      <c r="AC712" s="165">
        <f>IFERROR(IF(BetTable[Sport]="","",BetTable[R1]/BetTable[TS]),"")</f>
        <v>2.0499999999999998</v>
      </c>
      <c r="AD712" s="165" t="str">
        <f>IF(BetTable[O2]="","",#REF!/BetTable[TS])</f>
        <v/>
      </c>
      <c r="AE712" s="165" t="str">
        <f>IFERROR(IF(BetTable[Sport]="","",#REF!/BetTable[TS]),"")</f>
        <v/>
      </c>
      <c r="AF712" s="164">
        <f>IF(BetTable[Outcome]="Win",BetTable[WBA1-Commission],IF(BetTable[Outcome]="Win Half Stake",(BetTable[Stake]/2)+BetTable[WBA1-Commission]/2,IF(BetTable[Outcome]="Lose Half Stake",BetTable[Stake]/2,IF(BetTable[Outcome]="Lose",0,IF(BetTable[Outcome]="Void",BetTable[Stake],)))))</f>
        <v>48.8</v>
      </c>
      <c r="AG712" s="164">
        <f>IF(BetTable[Outcome2]="Win",BetTable[WBA2-Commission],IF(BetTable[Outcome2]="Win Half Stake",(BetTable[S2]/2)+BetTable[WBA2-Commission]/2,IF(BetTable[Outcome2]="Lose Half Stake",BetTable[S2]/2,IF(BetTable[Outcome2]="Lose",0,IF(BetTable[Outcome2]="Void",BetTable[S2],)))))</f>
        <v>0</v>
      </c>
      <c r="AH712" s="164">
        <f>IF(BetTable[Outcome3]="Win",BetTable[WBA3-Commission],IF(BetTable[Outcome3]="Win Half Stake",(BetTable[S3]/2)+BetTable[WBA3-Commission]/2,IF(BetTable[Outcome3]="Lose Half Stake",BetTable[S3]/2,IF(BetTable[Outcome3]="Lose",0,IF(BetTable[Outcome3]="Void",BetTable[S3],)))))</f>
        <v>0</v>
      </c>
      <c r="AI712" s="168">
        <f>IF(BetTable[Outcome]="",AI711,BetTable[Result]+AI711)</f>
        <v>1305.0732500000008</v>
      </c>
      <c r="AJ712" s="160"/>
    </row>
    <row r="713" spans="1:36" x14ac:dyDescent="0.2">
      <c r="A713" s="159" t="s">
        <v>1790</v>
      </c>
      <c r="B713" s="160" t="s">
        <v>200</v>
      </c>
      <c r="C713" s="161" t="s">
        <v>1714</v>
      </c>
      <c r="D713" s="161"/>
      <c r="E713" s="161"/>
      <c r="F713" s="162"/>
      <c r="G713" s="162"/>
      <c r="H713" s="162"/>
      <c r="I713" s="160" t="s">
        <v>1935</v>
      </c>
      <c r="J713" s="163">
        <v>2.2799999999999998</v>
      </c>
      <c r="K713" s="163"/>
      <c r="L713" s="163"/>
      <c r="M713" s="164">
        <v>41</v>
      </c>
      <c r="N713" s="164"/>
      <c r="O713" s="164"/>
      <c r="P713" s="159" t="s">
        <v>668</v>
      </c>
      <c r="Q713" s="159" t="s">
        <v>506</v>
      </c>
      <c r="R713" s="159" t="s">
        <v>1936</v>
      </c>
      <c r="S713" s="165">
        <v>3.3773926272691601E-2</v>
      </c>
      <c r="T713" s="166" t="s">
        <v>383</v>
      </c>
      <c r="U713" s="166"/>
      <c r="V713" s="166"/>
      <c r="W713" s="167">
        <f>IF(BetTable[Sport]="","",BetTable[Stake]+BetTable[S2]+BetTable[S3])</f>
        <v>41</v>
      </c>
      <c r="X713" s="164">
        <f>IF(BetTable[Odds]="","",(BetTable[WBA1-Commission])-BetTable[TS])</f>
        <v>52.47999999999999</v>
      </c>
      <c r="Y713" s="168">
        <f>IF(BetTable[Outcome]="","",BetTable[WBA1]+BetTable[WBA2]+BetTable[WBA3]-BetTable[TS])</f>
        <v>0</v>
      </c>
      <c r="Z713" s="164">
        <f>(((BetTable[Odds]-1)*BetTable[Stake])*(1-(BetTable[Comm %]))+BetTable[Stake])</f>
        <v>93.47999999999999</v>
      </c>
      <c r="AA713" s="164">
        <f>(((BetTable[O2]-1)*BetTable[S2])*(1-(BetTable[C% 2]))+BetTable[S2])</f>
        <v>0</v>
      </c>
      <c r="AB713" s="164">
        <f>(((BetTable[O3]-1)*BetTable[S3])*(1-(BetTable[C% 3]))+BetTable[S3])</f>
        <v>0</v>
      </c>
      <c r="AC713" s="165">
        <f>IFERROR(IF(BetTable[Sport]="","",BetTable[R1]/BetTable[TS]),"")</f>
        <v>1.2799999999999998</v>
      </c>
      <c r="AD713" s="165" t="str">
        <f>IF(BetTable[O2]="","",#REF!/BetTable[TS])</f>
        <v/>
      </c>
      <c r="AE713" s="165" t="str">
        <f>IFERROR(IF(BetTable[Sport]="","",#REF!/BetTable[TS]),"")</f>
        <v/>
      </c>
      <c r="AF713" s="164">
        <f>IF(BetTable[Outcome]="Win",BetTable[WBA1-Commission],IF(BetTable[Outcome]="Win Half Stake",(BetTable[Stake]/2)+BetTable[WBA1-Commission]/2,IF(BetTable[Outcome]="Lose Half Stake",BetTable[Stake]/2,IF(BetTable[Outcome]="Lose",0,IF(BetTable[Outcome]="Void",BetTable[Stake],)))))</f>
        <v>41</v>
      </c>
      <c r="AG713" s="164">
        <f>IF(BetTable[Outcome2]="Win",BetTable[WBA2-Commission],IF(BetTable[Outcome2]="Win Half Stake",(BetTable[S2]/2)+BetTable[WBA2-Commission]/2,IF(BetTable[Outcome2]="Lose Half Stake",BetTable[S2]/2,IF(BetTable[Outcome2]="Lose",0,IF(BetTable[Outcome2]="Void",BetTable[S2],)))))</f>
        <v>0</v>
      </c>
      <c r="AH713" s="164">
        <f>IF(BetTable[Outcome3]="Win",BetTable[WBA3-Commission],IF(BetTable[Outcome3]="Win Half Stake",(BetTable[S3]/2)+BetTable[WBA3-Commission]/2,IF(BetTable[Outcome3]="Lose Half Stake",BetTable[S3]/2,IF(BetTable[Outcome3]="Lose",0,IF(BetTable[Outcome3]="Void",BetTable[S3],)))))</f>
        <v>0</v>
      </c>
      <c r="AI713" s="168">
        <f>IF(BetTable[Outcome]="",AI712,BetTable[Result]+AI712)</f>
        <v>1305.0732500000008</v>
      </c>
      <c r="AJ713" s="160"/>
    </row>
    <row r="714" spans="1:36" x14ac:dyDescent="0.2">
      <c r="A714" s="159" t="s">
        <v>1790</v>
      </c>
      <c r="B714" s="160" t="s">
        <v>8</v>
      </c>
      <c r="C714" s="161" t="s">
        <v>91</v>
      </c>
      <c r="D714" s="161"/>
      <c r="E714" s="161"/>
      <c r="F714" s="162"/>
      <c r="G714" s="162"/>
      <c r="H714" s="162"/>
      <c r="I714" s="160" t="s">
        <v>1937</v>
      </c>
      <c r="J714" s="163">
        <v>2.4</v>
      </c>
      <c r="K714" s="163"/>
      <c r="L714" s="163"/>
      <c r="M714" s="164">
        <v>23</v>
      </c>
      <c r="N714" s="164"/>
      <c r="O714" s="164"/>
      <c r="P714" s="159" t="s">
        <v>428</v>
      </c>
      <c r="Q714" s="159" t="s">
        <v>488</v>
      </c>
      <c r="R714" s="159" t="s">
        <v>1938</v>
      </c>
      <c r="S714" s="165">
        <v>2.9918013046732701E-2</v>
      </c>
      <c r="T714" s="166" t="s">
        <v>382</v>
      </c>
      <c r="U714" s="166"/>
      <c r="V714" s="166"/>
      <c r="W714" s="167">
        <f>IF(BetTable[Sport]="","",BetTable[Stake]+BetTable[S2]+BetTable[S3])</f>
        <v>23</v>
      </c>
      <c r="X714" s="164">
        <f>IF(BetTable[Odds]="","",(BetTable[WBA1-Commission])-BetTable[TS])</f>
        <v>32.199999999999996</v>
      </c>
      <c r="Y714" s="168">
        <f>IF(BetTable[Outcome]="","",BetTable[WBA1]+BetTable[WBA2]+BetTable[WBA3]-BetTable[TS])</f>
        <v>-23</v>
      </c>
      <c r="Z714" s="164">
        <f>(((BetTable[Odds]-1)*BetTable[Stake])*(1-(BetTable[Comm %]))+BetTable[Stake])</f>
        <v>55.199999999999996</v>
      </c>
      <c r="AA714" s="164">
        <f>(((BetTable[O2]-1)*BetTable[S2])*(1-(BetTable[C% 2]))+BetTable[S2])</f>
        <v>0</v>
      </c>
      <c r="AB714" s="164">
        <f>(((BetTable[O3]-1)*BetTable[S3])*(1-(BetTable[C% 3]))+BetTable[S3])</f>
        <v>0</v>
      </c>
      <c r="AC714" s="165">
        <f>IFERROR(IF(BetTable[Sport]="","",BetTable[R1]/BetTable[TS]),"")</f>
        <v>1.4</v>
      </c>
      <c r="AD714" s="165" t="str">
        <f>IF(BetTable[O2]="","",#REF!/BetTable[TS])</f>
        <v/>
      </c>
      <c r="AE714" s="165" t="str">
        <f>IFERROR(IF(BetTable[Sport]="","",#REF!/BetTable[TS]),"")</f>
        <v/>
      </c>
      <c r="AF714" s="164">
        <f>IF(BetTable[Outcome]="Win",BetTable[WBA1-Commission],IF(BetTable[Outcome]="Win Half Stake",(BetTable[Stake]/2)+BetTable[WBA1-Commission]/2,IF(BetTable[Outcome]="Lose Half Stake",BetTable[Stake]/2,IF(BetTable[Outcome]="Lose",0,IF(BetTable[Outcome]="Void",BetTable[Stake],)))))</f>
        <v>0</v>
      </c>
      <c r="AG714" s="164">
        <f>IF(BetTable[Outcome2]="Win",BetTable[WBA2-Commission],IF(BetTable[Outcome2]="Win Half Stake",(BetTable[S2]/2)+BetTable[WBA2-Commission]/2,IF(BetTable[Outcome2]="Lose Half Stake",BetTable[S2]/2,IF(BetTable[Outcome2]="Lose",0,IF(BetTable[Outcome2]="Void",BetTable[S2],)))))</f>
        <v>0</v>
      </c>
      <c r="AH714" s="164">
        <f>IF(BetTable[Outcome3]="Win",BetTable[WBA3-Commission],IF(BetTable[Outcome3]="Win Half Stake",(BetTable[S3]/2)+BetTable[WBA3-Commission]/2,IF(BetTable[Outcome3]="Lose Half Stake",BetTable[S3]/2,IF(BetTable[Outcome3]="Lose",0,IF(BetTable[Outcome3]="Void",BetTable[S3],)))))</f>
        <v>0</v>
      </c>
      <c r="AI714" s="168">
        <f>IF(BetTable[Outcome]="",AI713,BetTable[Result]+AI713)</f>
        <v>1282.0732500000008</v>
      </c>
      <c r="AJ714" s="160"/>
    </row>
    <row r="715" spans="1:36" x14ac:dyDescent="0.2">
      <c r="A715" s="159" t="s">
        <v>1790</v>
      </c>
      <c r="B715" s="160" t="s">
        <v>200</v>
      </c>
      <c r="C715" s="161" t="s">
        <v>1714</v>
      </c>
      <c r="D715" s="161"/>
      <c r="E715" s="161"/>
      <c r="F715" s="162"/>
      <c r="G715" s="162"/>
      <c r="H715" s="162"/>
      <c r="I715" s="160" t="s">
        <v>1939</v>
      </c>
      <c r="J715" s="163">
        <v>1.6</v>
      </c>
      <c r="K715" s="163"/>
      <c r="L715" s="163"/>
      <c r="M715" s="164">
        <v>54</v>
      </c>
      <c r="N715" s="164"/>
      <c r="O715" s="164"/>
      <c r="P715" s="159" t="s">
        <v>360</v>
      </c>
      <c r="Q715" s="159" t="s">
        <v>474</v>
      </c>
      <c r="R715" s="159" t="s">
        <v>1940</v>
      </c>
      <c r="S715" s="165">
        <v>2.0850852555262499E-2</v>
      </c>
      <c r="T715" s="166" t="s">
        <v>383</v>
      </c>
      <c r="U715" s="166"/>
      <c r="V715" s="166"/>
      <c r="W715" s="167">
        <f>IF(BetTable[Sport]="","",BetTable[Stake]+BetTable[S2]+BetTable[S3])</f>
        <v>54</v>
      </c>
      <c r="X715" s="164">
        <f>IF(BetTable[Odds]="","",(BetTable[WBA1-Commission])-BetTable[TS])</f>
        <v>32.400000000000006</v>
      </c>
      <c r="Y715" s="168">
        <f>IF(BetTable[Outcome]="","",BetTable[WBA1]+BetTable[WBA2]+BetTable[WBA3]-BetTable[TS])</f>
        <v>0</v>
      </c>
      <c r="Z715" s="164">
        <f>(((BetTable[Odds]-1)*BetTable[Stake])*(1-(BetTable[Comm %]))+BetTable[Stake])</f>
        <v>86.4</v>
      </c>
      <c r="AA715" s="164">
        <f>(((BetTable[O2]-1)*BetTable[S2])*(1-(BetTable[C% 2]))+BetTable[S2])</f>
        <v>0</v>
      </c>
      <c r="AB715" s="164">
        <f>(((BetTable[O3]-1)*BetTable[S3])*(1-(BetTable[C% 3]))+BetTable[S3])</f>
        <v>0</v>
      </c>
      <c r="AC715" s="165">
        <f>IFERROR(IF(BetTable[Sport]="","",BetTable[R1]/BetTable[TS]),"")</f>
        <v>0.60000000000000009</v>
      </c>
      <c r="AD715" s="165" t="str">
        <f>IF(BetTable[O2]="","",#REF!/BetTable[TS])</f>
        <v/>
      </c>
      <c r="AE715" s="165" t="str">
        <f>IFERROR(IF(BetTable[Sport]="","",#REF!/BetTable[TS]),"")</f>
        <v/>
      </c>
      <c r="AF715" s="164">
        <f>IF(BetTable[Outcome]="Win",BetTable[WBA1-Commission],IF(BetTable[Outcome]="Win Half Stake",(BetTable[Stake]/2)+BetTable[WBA1-Commission]/2,IF(BetTable[Outcome]="Lose Half Stake",BetTable[Stake]/2,IF(BetTable[Outcome]="Lose",0,IF(BetTable[Outcome]="Void",BetTable[Stake],)))))</f>
        <v>54</v>
      </c>
      <c r="AG715" s="164">
        <f>IF(BetTable[Outcome2]="Win",BetTable[WBA2-Commission],IF(BetTable[Outcome2]="Win Half Stake",(BetTable[S2]/2)+BetTable[WBA2-Commission]/2,IF(BetTable[Outcome2]="Lose Half Stake",BetTable[S2]/2,IF(BetTable[Outcome2]="Lose",0,IF(BetTable[Outcome2]="Void",BetTable[S2],)))))</f>
        <v>0</v>
      </c>
      <c r="AH715" s="164">
        <f>IF(BetTable[Outcome3]="Win",BetTable[WBA3-Commission],IF(BetTable[Outcome3]="Win Half Stake",(BetTable[S3]/2)+BetTable[WBA3-Commission]/2,IF(BetTable[Outcome3]="Lose Half Stake",BetTable[S3]/2,IF(BetTable[Outcome3]="Lose",0,IF(BetTable[Outcome3]="Void",BetTable[S3],)))))</f>
        <v>0</v>
      </c>
      <c r="AI715" s="168">
        <f>IF(BetTable[Outcome]="",AI714,BetTable[Result]+AI714)</f>
        <v>1282.0732500000008</v>
      </c>
      <c r="AJ715" s="160"/>
    </row>
    <row r="716" spans="1:36" x14ac:dyDescent="0.2">
      <c r="A716" s="159" t="s">
        <v>1790</v>
      </c>
      <c r="B716" s="160" t="s">
        <v>7</v>
      </c>
      <c r="C716" s="161" t="s">
        <v>91</v>
      </c>
      <c r="D716" s="161"/>
      <c r="E716" s="161"/>
      <c r="F716" s="162"/>
      <c r="G716" s="162"/>
      <c r="H716" s="162"/>
      <c r="I716" s="160" t="s">
        <v>1941</v>
      </c>
      <c r="J716" s="163">
        <v>1.74</v>
      </c>
      <c r="K716" s="163"/>
      <c r="L716" s="163"/>
      <c r="M716" s="164">
        <v>39</v>
      </c>
      <c r="N716" s="164"/>
      <c r="O716" s="164"/>
      <c r="P716" s="159" t="s">
        <v>1577</v>
      </c>
      <c r="Q716" s="159" t="s">
        <v>458</v>
      </c>
      <c r="R716" s="159" t="s">
        <v>1942</v>
      </c>
      <c r="S716" s="165">
        <v>1.8575894407780399E-2</v>
      </c>
      <c r="T716" s="166" t="s">
        <v>372</v>
      </c>
      <c r="U716" s="166"/>
      <c r="V716" s="166"/>
      <c r="W716" s="167">
        <f>IF(BetTable[Sport]="","",BetTable[Stake]+BetTable[S2]+BetTable[S3])</f>
        <v>39</v>
      </c>
      <c r="X716" s="164">
        <f>IF(BetTable[Odds]="","",(BetTable[WBA1-Commission])-BetTable[TS])</f>
        <v>28.86</v>
      </c>
      <c r="Y716" s="168">
        <f>IF(BetTable[Outcome]="","",BetTable[WBA1]+BetTable[WBA2]+BetTable[WBA3]-BetTable[TS])</f>
        <v>28.86</v>
      </c>
      <c r="Z716" s="164">
        <f>(((BetTable[Odds]-1)*BetTable[Stake])*(1-(BetTable[Comm %]))+BetTable[Stake])</f>
        <v>67.86</v>
      </c>
      <c r="AA716" s="164">
        <f>(((BetTable[O2]-1)*BetTable[S2])*(1-(BetTable[C% 2]))+BetTable[S2])</f>
        <v>0</v>
      </c>
      <c r="AB716" s="164">
        <f>(((BetTable[O3]-1)*BetTable[S3])*(1-(BetTable[C% 3]))+BetTable[S3])</f>
        <v>0</v>
      </c>
      <c r="AC716" s="165">
        <f>IFERROR(IF(BetTable[Sport]="","",BetTable[R1]/BetTable[TS]),"")</f>
        <v>0.74</v>
      </c>
      <c r="AD716" s="165" t="str">
        <f>IF(BetTable[O2]="","",#REF!/BetTable[TS])</f>
        <v/>
      </c>
      <c r="AE716" s="165" t="str">
        <f>IFERROR(IF(BetTable[Sport]="","",#REF!/BetTable[TS]),"")</f>
        <v/>
      </c>
      <c r="AF716" s="164">
        <f>IF(BetTable[Outcome]="Win",BetTable[WBA1-Commission],IF(BetTable[Outcome]="Win Half Stake",(BetTable[Stake]/2)+BetTable[WBA1-Commission]/2,IF(BetTable[Outcome]="Lose Half Stake",BetTable[Stake]/2,IF(BetTable[Outcome]="Lose",0,IF(BetTable[Outcome]="Void",BetTable[Stake],)))))</f>
        <v>67.86</v>
      </c>
      <c r="AG716" s="164">
        <f>IF(BetTable[Outcome2]="Win",BetTable[WBA2-Commission],IF(BetTable[Outcome2]="Win Half Stake",(BetTable[S2]/2)+BetTable[WBA2-Commission]/2,IF(BetTable[Outcome2]="Lose Half Stake",BetTable[S2]/2,IF(BetTable[Outcome2]="Lose",0,IF(BetTable[Outcome2]="Void",BetTable[S2],)))))</f>
        <v>0</v>
      </c>
      <c r="AH716" s="164">
        <f>IF(BetTable[Outcome3]="Win",BetTable[WBA3-Commission],IF(BetTable[Outcome3]="Win Half Stake",(BetTable[S3]/2)+BetTable[WBA3-Commission]/2,IF(BetTable[Outcome3]="Lose Half Stake",BetTable[S3]/2,IF(BetTable[Outcome3]="Lose",0,IF(BetTable[Outcome3]="Void",BetTable[S3],)))))</f>
        <v>0</v>
      </c>
      <c r="AI716" s="168">
        <f>IF(BetTable[Outcome]="",AI715,BetTable[Result]+AI715)</f>
        <v>1310.9332500000007</v>
      </c>
      <c r="AJ716" s="160"/>
    </row>
    <row r="717" spans="1:36" x14ac:dyDescent="0.2">
      <c r="A717" s="159" t="s">
        <v>1790</v>
      </c>
      <c r="B717" s="160" t="s">
        <v>200</v>
      </c>
      <c r="C717" s="161" t="s">
        <v>1714</v>
      </c>
      <c r="D717" s="161"/>
      <c r="E717" s="161"/>
      <c r="F717" s="162"/>
      <c r="G717" s="162"/>
      <c r="H717" s="162"/>
      <c r="I717" s="160" t="s">
        <v>1943</v>
      </c>
      <c r="J717" s="163">
        <v>1.97</v>
      </c>
      <c r="K717" s="163"/>
      <c r="L717" s="163"/>
      <c r="M717" s="164">
        <v>39</v>
      </c>
      <c r="N717" s="164"/>
      <c r="O717" s="164"/>
      <c r="P717" s="159" t="s">
        <v>864</v>
      </c>
      <c r="Q717" s="159" t="s">
        <v>461</v>
      </c>
      <c r="R717" s="159" t="s">
        <v>1944</v>
      </c>
      <c r="S717" s="165">
        <v>2.41504713725023E-2</v>
      </c>
      <c r="T717" s="166" t="s">
        <v>372</v>
      </c>
      <c r="U717" s="166"/>
      <c r="V717" s="166"/>
      <c r="W717" s="167">
        <f>IF(BetTable[Sport]="","",BetTable[Stake]+BetTable[S2]+BetTable[S3])</f>
        <v>39</v>
      </c>
      <c r="X717" s="164">
        <f>IF(BetTable[Odds]="","",(BetTable[WBA1-Commission])-BetTable[TS])</f>
        <v>37.83</v>
      </c>
      <c r="Y717" s="168">
        <f>IF(BetTable[Outcome]="","",BetTable[WBA1]+BetTable[WBA2]+BetTable[WBA3]-BetTable[TS])</f>
        <v>37.83</v>
      </c>
      <c r="Z717" s="164">
        <f>(((BetTable[Odds]-1)*BetTable[Stake])*(1-(BetTable[Comm %]))+BetTable[Stake])</f>
        <v>76.83</v>
      </c>
      <c r="AA717" s="164">
        <f>(((BetTable[O2]-1)*BetTable[S2])*(1-(BetTable[C% 2]))+BetTable[S2])</f>
        <v>0</v>
      </c>
      <c r="AB717" s="164">
        <f>(((BetTable[O3]-1)*BetTable[S3])*(1-(BetTable[C% 3]))+BetTable[S3])</f>
        <v>0</v>
      </c>
      <c r="AC717" s="165">
        <f>IFERROR(IF(BetTable[Sport]="","",BetTable[R1]/BetTable[TS]),"")</f>
        <v>0.97</v>
      </c>
      <c r="AD717" s="165" t="str">
        <f>IF(BetTable[O2]="","",#REF!/BetTable[TS])</f>
        <v/>
      </c>
      <c r="AE717" s="165" t="str">
        <f>IFERROR(IF(BetTable[Sport]="","",#REF!/BetTable[TS]),"")</f>
        <v/>
      </c>
      <c r="AF717" s="164">
        <f>IF(BetTable[Outcome]="Win",BetTable[WBA1-Commission],IF(BetTable[Outcome]="Win Half Stake",(BetTable[Stake]/2)+BetTable[WBA1-Commission]/2,IF(BetTable[Outcome]="Lose Half Stake",BetTable[Stake]/2,IF(BetTable[Outcome]="Lose",0,IF(BetTable[Outcome]="Void",BetTable[Stake],)))))</f>
        <v>76.83</v>
      </c>
      <c r="AG717" s="164">
        <f>IF(BetTable[Outcome2]="Win",BetTable[WBA2-Commission],IF(BetTable[Outcome2]="Win Half Stake",(BetTable[S2]/2)+BetTable[WBA2-Commission]/2,IF(BetTable[Outcome2]="Lose Half Stake",BetTable[S2]/2,IF(BetTable[Outcome2]="Lose",0,IF(BetTable[Outcome2]="Void",BetTable[S2],)))))</f>
        <v>0</v>
      </c>
      <c r="AH717" s="164">
        <f>IF(BetTable[Outcome3]="Win",BetTable[WBA3-Commission],IF(BetTable[Outcome3]="Win Half Stake",(BetTable[S3]/2)+BetTable[WBA3-Commission]/2,IF(BetTable[Outcome3]="Lose Half Stake",BetTable[S3]/2,IF(BetTable[Outcome3]="Lose",0,IF(BetTable[Outcome3]="Void",BetTable[S3],)))))</f>
        <v>0</v>
      </c>
      <c r="AI717" s="168">
        <f>IF(BetTable[Outcome]="",AI716,BetTable[Result]+AI716)</f>
        <v>1348.7632500000007</v>
      </c>
      <c r="AJ717" s="160"/>
    </row>
    <row r="718" spans="1:36" x14ac:dyDescent="0.2">
      <c r="A718" s="159" t="s">
        <v>1790</v>
      </c>
      <c r="B718" s="160" t="s">
        <v>7</v>
      </c>
      <c r="C718" s="161" t="s">
        <v>91</v>
      </c>
      <c r="D718" s="161"/>
      <c r="E718" s="161"/>
      <c r="F718" s="162"/>
      <c r="G718" s="162"/>
      <c r="H718" s="162"/>
      <c r="I718" s="160" t="s">
        <v>1945</v>
      </c>
      <c r="J718" s="163">
        <v>2.0499999999999998</v>
      </c>
      <c r="K718" s="163"/>
      <c r="L718" s="163"/>
      <c r="M718" s="164">
        <v>24</v>
      </c>
      <c r="N718" s="164"/>
      <c r="O718" s="164"/>
      <c r="P718" s="159" t="s">
        <v>1946</v>
      </c>
      <c r="Q718" s="159" t="s">
        <v>503</v>
      </c>
      <c r="R718" s="159" t="s">
        <v>1947</v>
      </c>
      <c r="S718" s="165">
        <v>1.6128093044844999E-2</v>
      </c>
      <c r="T718" s="166" t="s">
        <v>382</v>
      </c>
      <c r="U718" s="166"/>
      <c r="V718" s="166"/>
      <c r="W718" s="167">
        <f>IF(BetTable[Sport]="","",BetTable[Stake]+BetTable[S2]+BetTable[S3])</f>
        <v>24</v>
      </c>
      <c r="X718" s="164">
        <f>IF(BetTable[Odds]="","",(BetTable[WBA1-Commission])-BetTable[TS])</f>
        <v>25.199999999999996</v>
      </c>
      <c r="Y718" s="168">
        <f>IF(BetTable[Outcome]="","",BetTable[WBA1]+BetTable[WBA2]+BetTable[WBA3]-BetTable[TS])</f>
        <v>-24</v>
      </c>
      <c r="Z718" s="164">
        <f>(((BetTable[Odds]-1)*BetTable[Stake])*(1-(BetTable[Comm %]))+BetTable[Stake])</f>
        <v>49.199999999999996</v>
      </c>
      <c r="AA718" s="164">
        <f>(((BetTable[O2]-1)*BetTable[S2])*(1-(BetTable[C% 2]))+BetTable[S2])</f>
        <v>0</v>
      </c>
      <c r="AB718" s="164">
        <f>(((BetTable[O3]-1)*BetTable[S3])*(1-(BetTable[C% 3]))+BetTable[S3])</f>
        <v>0</v>
      </c>
      <c r="AC718" s="165">
        <f>IFERROR(IF(BetTable[Sport]="","",BetTable[R1]/BetTable[TS]),"")</f>
        <v>1.0499999999999998</v>
      </c>
      <c r="AD718" s="165" t="str">
        <f>IF(BetTable[O2]="","",#REF!/BetTable[TS])</f>
        <v/>
      </c>
      <c r="AE718" s="165" t="str">
        <f>IFERROR(IF(BetTable[Sport]="","",#REF!/BetTable[TS]),"")</f>
        <v/>
      </c>
      <c r="AF718" s="164">
        <f>IF(BetTable[Outcome]="Win",BetTable[WBA1-Commission],IF(BetTable[Outcome]="Win Half Stake",(BetTable[Stake]/2)+BetTable[WBA1-Commission]/2,IF(BetTable[Outcome]="Lose Half Stake",BetTable[Stake]/2,IF(BetTable[Outcome]="Lose",0,IF(BetTable[Outcome]="Void",BetTable[Stake],)))))</f>
        <v>0</v>
      </c>
      <c r="AG718" s="164">
        <f>IF(BetTable[Outcome2]="Win",BetTable[WBA2-Commission],IF(BetTable[Outcome2]="Win Half Stake",(BetTable[S2]/2)+BetTable[WBA2-Commission]/2,IF(BetTable[Outcome2]="Lose Half Stake",BetTable[S2]/2,IF(BetTable[Outcome2]="Lose",0,IF(BetTable[Outcome2]="Void",BetTable[S2],)))))</f>
        <v>0</v>
      </c>
      <c r="AH718" s="164">
        <f>IF(BetTable[Outcome3]="Win",BetTable[WBA3-Commission],IF(BetTable[Outcome3]="Win Half Stake",(BetTable[S3]/2)+BetTable[WBA3-Commission]/2,IF(BetTable[Outcome3]="Lose Half Stake",BetTable[S3]/2,IF(BetTable[Outcome3]="Lose",0,IF(BetTable[Outcome3]="Void",BetTable[S3],)))))</f>
        <v>0</v>
      </c>
      <c r="AI718" s="168">
        <f>IF(BetTable[Outcome]="",AI717,BetTable[Result]+AI717)</f>
        <v>1324.7632500000007</v>
      </c>
      <c r="AJ718" s="160"/>
    </row>
    <row r="719" spans="1:36" x14ac:dyDescent="0.2">
      <c r="A719" s="159" t="s">
        <v>1790</v>
      </c>
      <c r="B719" s="160" t="s">
        <v>200</v>
      </c>
      <c r="C719" s="161" t="s">
        <v>1714</v>
      </c>
      <c r="D719" s="161"/>
      <c r="E719" s="161"/>
      <c r="F719" s="162"/>
      <c r="G719" s="162"/>
      <c r="H719" s="162"/>
      <c r="I719" s="160" t="s">
        <v>1948</v>
      </c>
      <c r="J719" s="163">
        <v>1.95</v>
      </c>
      <c r="K719" s="163"/>
      <c r="L719" s="163"/>
      <c r="M719" s="164">
        <v>29</v>
      </c>
      <c r="N719" s="164"/>
      <c r="O719" s="164"/>
      <c r="P719" s="159" t="s">
        <v>354</v>
      </c>
      <c r="Q719" s="159" t="s">
        <v>506</v>
      </c>
      <c r="R719" s="159" t="s">
        <v>1949</v>
      </c>
      <c r="S719" s="165">
        <v>1.80743304808565E-2</v>
      </c>
      <c r="T719" s="166" t="s">
        <v>382</v>
      </c>
      <c r="U719" s="166"/>
      <c r="V719" s="166"/>
      <c r="W719" s="167">
        <f>IF(BetTable[Sport]="","",BetTable[Stake]+BetTable[S2]+BetTable[S3])</f>
        <v>29</v>
      </c>
      <c r="X719" s="164">
        <f>IF(BetTable[Odds]="","",(BetTable[WBA1-Commission])-BetTable[TS])</f>
        <v>27.549999999999997</v>
      </c>
      <c r="Y719" s="168">
        <f>IF(BetTable[Outcome]="","",BetTable[WBA1]+BetTable[WBA2]+BetTable[WBA3]-BetTable[TS])</f>
        <v>-29</v>
      </c>
      <c r="Z719" s="164">
        <f>(((BetTable[Odds]-1)*BetTable[Stake])*(1-(BetTable[Comm %]))+BetTable[Stake])</f>
        <v>56.55</v>
      </c>
      <c r="AA719" s="164">
        <f>(((BetTable[O2]-1)*BetTable[S2])*(1-(BetTable[C% 2]))+BetTable[S2])</f>
        <v>0</v>
      </c>
      <c r="AB719" s="164">
        <f>(((BetTable[O3]-1)*BetTable[S3])*(1-(BetTable[C% 3]))+BetTable[S3])</f>
        <v>0</v>
      </c>
      <c r="AC719" s="165">
        <f>IFERROR(IF(BetTable[Sport]="","",BetTable[R1]/BetTable[TS]),"")</f>
        <v>0.95</v>
      </c>
      <c r="AD719" s="165" t="str">
        <f>IF(BetTable[O2]="","",#REF!/BetTable[TS])</f>
        <v/>
      </c>
      <c r="AE719" s="165" t="str">
        <f>IFERROR(IF(BetTable[Sport]="","",#REF!/BetTable[TS]),"")</f>
        <v/>
      </c>
      <c r="AF719" s="164">
        <f>IF(BetTable[Outcome]="Win",BetTable[WBA1-Commission],IF(BetTable[Outcome]="Win Half Stake",(BetTable[Stake]/2)+BetTable[WBA1-Commission]/2,IF(BetTable[Outcome]="Lose Half Stake",BetTable[Stake]/2,IF(BetTable[Outcome]="Lose",0,IF(BetTable[Outcome]="Void",BetTable[Stake],)))))</f>
        <v>0</v>
      </c>
      <c r="AG719" s="164">
        <f>IF(BetTable[Outcome2]="Win",BetTable[WBA2-Commission],IF(BetTable[Outcome2]="Win Half Stake",(BetTable[S2]/2)+BetTable[WBA2-Commission]/2,IF(BetTable[Outcome2]="Lose Half Stake",BetTable[S2]/2,IF(BetTable[Outcome2]="Lose",0,IF(BetTable[Outcome2]="Void",BetTable[S2],)))))</f>
        <v>0</v>
      </c>
      <c r="AH719" s="164">
        <f>IF(BetTable[Outcome3]="Win",BetTable[WBA3-Commission],IF(BetTable[Outcome3]="Win Half Stake",(BetTable[S3]/2)+BetTable[WBA3-Commission]/2,IF(BetTable[Outcome3]="Lose Half Stake",BetTable[S3]/2,IF(BetTable[Outcome3]="Lose",0,IF(BetTable[Outcome3]="Void",BetTable[S3],)))))</f>
        <v>0</v>
      </c>
      <c r="AI719" s="168">
        <f>IF(BetTable[Outcome]="",AI718,BetTable[Result]+AI718)</f>
        <v>1295.7632500000007</v>
      </c>
      <c r="AJ719" s="160"/>
    </row>
    <row r="720" spans="1:36" x14ac:dyDescent="0.2">
      <c r="A720" s="159" t="s">
        <v>1790</v>
      </c>
      <c r="B720" s="160" t="s">
        <v>200</v>
      </c>
      <c r="C720" s="161" t="s">
        <v>1714</v>
      </c>
      <c r="D720" s="161"/>
      <c r="E720" s="161"/>
      <c r="F720" s="162"/>
      <c r="G720" s="162"/>
      <c r="H720" s="162"/>
      <c r="I720" s="160" t="s">
        <v>1950</v>
      </c>
      <c r="J720" s="163">
        <v>2.0630000000000002</v>
      </c>
      <c r="K720" s="163"/>
      <c r="L720" s="163"/>
      <c r="M720" s="164">
        <v>28</v>
      </c>
      <c r="N720" s="164"/>
      <c r="O720" s="164"/>
      <c r="P720" s="159" t="s">
        <v>668</v>
      </c>
      <c r="Q720" s="159" t="s">
        <v>779</v>
      </c>
      <c r="R720" s="159" t="s">
        <v>1951</v>
      </c>
      <c r="S720" s="165">
        <v>1.9402667897393901E-2</v>
      </c>
      <c r="T720" s="166" t="s">
        <v>372</v>
      </c>
      <c r="U720" s="166"/>
      <c r="V720" s="166"/>
      <c r="W720" s="167">
        <f>IF(BetTable[Sport]="","",BetTable[Stake]+BetTable[S2]+BetTable[S3])</f>
        <v>28</v>
      </c>
      <c r="X720" s="164">
        <f>IF(BetTable[Odds]="","",(BetTable[WBA1-Commission])-BetTable[TS])</f>
        <v>29.764000000000003</v>
      </c>
      <c r="Y720" s="168">
        <f>IF(BetTable[Outcome]="","",BetTable[WBA1]+BetTable[WBA2]+BetTable[WBA3]-BetTable[TS])</f>
        <v>29.764000000000003</v>
      </c>
      <c r="Z720" s="164">
        <f>(((BetTable[Odds]-1)*BetTable[Stake])*(1-(BetTable[Comm %]))+BetTable[Stake])</f>
        <v>57.764000000000003</v>
      </c>
      <c r="AA720" s="164">
        <f>(((BetTable[O2]-1)*BetTable[S2])*(1-(BetTable[C% 2]))+BetTable[S2])</f>
        <v>0</v>
      </c>
      <c r="AB720" s="164">
        <f>(((BetTable[O3]-1)*BetTable[S3])*(1-(BetTable[C% 3]))+BetTable[S3])</f>
        <v>0</v>
      </c>
      <c r="AC720" s="165">
        <f>IFERROR(IF(BetTable[Sport]="","",BetTable[R1]/BetTable[TS]),"")</f>
        <v>1.0630000000000002</v>
      </c>
      <c r="AD720" s="165" t="str">
        <f>IF(BetTable[O2]="","",#REF!/BetTable[TS])</f>
        <v/>
      </c>
      <c r="AE720" s="165" t="str">
        <f>IFERROR(IF(BetTable[Sport]="","",#REF!/BetTable[TS]),"")</f>
        <v/>
      </c>
      <c r="AF720" s="164">
        <f>IF(BetTable[Outcome]="Win",BetTable[WBA1-Commission],IF(BetTable[Outcome]="Win Half Stake",(BetTable[Stake]/2)+BetTable[WBA1-Commission]/2,IF(BetTable[Outcome]="Lose Half Stake",BetTable[Stake]/2,IF(BetTable[Outcome]="Lose",0,IF(BetTable[Outcome]="Void",BetTable[Stake],)))))</f>
        <v>57.764000000000003</v>
      </c>
      <c r="AG720" s="164">
        <f>IF(BetTable[Outcome2]="Win",BetTable[WBA2-Commission],IF(BetTable[Outcome2]="Win Half Stake",(BetTable[S2]/2)+BetTable[WBA2-Commission]/2,IF(BetTable[Outcome2]="Lose Half Stake",BetTable[S2]/2,IF(BetTable[Outcome2]="Lose",0,IF(BetTable[Outcome2]="Void",BetTable[S2],)))))</f>
        <v>0</v>
      </c>
      <c r="AH720" s="164">
        <f>IF(BetTable[Outcome3]="Win",BetTable[WBA3-Commission],IF(BetTable[Outcome3]="Win Half Stake",(BetTable[S3]/2)+BetTable[WBA3-Commission]/2,IF(BetTable[Outcome3]="Lose Half Stake",BetTable[S3]/2,IF(BetTable[Outcome3]="Lose",0,IF(BetTable[Outcome3]="Void",BetTable[S3],)))))</f>
        <v>0</v>
      </c>
      <c r="AI720" s="168">
        <f>IF(BetTable[Outcome]="",AI719,BetTable[Result]+AI719)</f>
        <v>1325.5272500000005</v>
      </c>
      <c r="AJ720" s="160"/>
    </row>
    <row r="721" spans="1:36" x14ac:dyDescent="0.2">
      <c r="A721" s="159" t="s">
        <v>1790</v>
      </c>
      <c r="B721" s="160" t="s">
        <v>200</v>
      </c>
      <c r="C721" s="161" t="s">
        <v>1714</v>
      </c>
      <c r="D721" s="161"/>
      <c r="E721" s="161"/>
      <c r="F721" s="162"/>
      <c r="G721" s="162"/>
      <c r="H721" s="162"/>
      <c r="I721" s="160" t="s">
        <v>1943</v>
      </c>
      <c r="J721" s="163">
        <v>1.29</v>
      </c>
      <c r="K721" s="163"/>
      <c r="L721" s="163"/>
      <c r="M721" s="164">
        <v>93</v>
      </c>
      <c r="N721" s="164"/>
      <c r="O721" s="164"/>
      <c r="P721" s="159" t="s">
        <v>435</v>
      </c>
      <c r="Q721" s="159" t="s">
        <v>461</v>
      </c>
      <c r="R721" s="159" t="s">
        <v>1952</v>
      </c>
      <c r="S721" s="165">
        <v>1.7436819323647899E-2</v>
      </c>
      <c r="T721" s="166" t="s">
        <v>372</v>
      </c>
      <c r="U721" s="166"/>
      <c r="V721" s="166"/>
      <c r="W721" s="167">
        <f>IF(BetTable[Sport]="","",BetTable[Stake]+BetTable[S2]+BetTable[S3])</f>
        <v>93</v>
      </c>
      <c r="X721" s="164">
        <f>IF(BetTable[Odds]="","",(BetTable[WBA1-Commission])-BetTable[TS])</f>
        <v>26.97</v>
      </c>
      <c r="Y721" s="168">
        <f>IF(BetTable[Outcome]="","",BetTable[WBA1]+BetTable[WBA2]+BetTable[WBA3]-BetTable[TS])</f>
        <v>26.97</v>
      </c>
      <c r="Z721" s="164">
        <f>(((BetTable[Odds]-1)*BetTable[Stake])*(1-(BetTable[Comm %]))+BetTable[Stake])</f>
        <v>119.97</v>
      </c>
      <c r="AA721" s="164">
        <f>(((BetTable[O2]-1)*BetTable[S2])*(1-(BetTable[C% 2]))+BetTable[S2])</f>
        <v>0</v>
      </c>
      <c r="AB721" s="164">
        <f>(((BetTable[O3]-1)*BetTable[S3])*(1-(BetTable[C% 3]))+BetTable[S3])</f>
        <v>0</v>
      </c>
      <c r="AC721" s="165">
        <f>IFERROR(IF(BetTable[Sport]="","",BetTable[R1]/BetTable[TS]),"")</f>
        <v>0.28999999999999998</v>
      </c>
      <c r="AD721" s="165" t="str">
        <f>IF(BetTable[O2]="","",#REF!/BetTable[TS])</f>
        <v/>
      </c>
      <c r="AE721" s="165" t="str">
        <f>IFERROR(IF(BetTable[Sport]="","",#REF!/BetTable[TS]),"")</f>
        <v/>
      </c>
      <c r="AF721" s="164">
        <f>IF(BetTable[Outcome]="Win",BetTable[WBA1-Commission],IF(BetTable[Outcome]="Win Half Stake",(BetTable[Stake]/2)+BetTable[WBA1-Commission]/2,IF(BetTable[Outcome]="Lose Half Stake",BetTable[Stake]/2,IF(BetTable[Outcome]="Lose",0,IF(BetTable[Outcome]="Void",BetTable[Stake],)))))</f>
        <v>119.97</v>
      </c>
      <c r="AG721" s="164">
        <f>IF(BetTable[Outcome2]="Win",BetTable[WBA2-Commission],IF(BetTable[Outcome2]="Win Half Stake",(BetTable[S2]/2)+BetTable[WBA2-Commission]/2,IF(BetTable[Outcome2]="Lose Half Stake",BetTable[S2]/2,IF(BetTable[Outcome2]="Lose",0,IF(BetTable[Outcome2]="Void",BetTable[S2],)))))</f>
        <v>0</v>
      </c>
      <c r="AH721" s="164">
        <f>IF(BetTable[Outcome3]="Win",BetTable[WBA3-Commission],IF(BetTable[Outcome3]="Win Half Stake",(BetTable[S3]/2)+BetTable[WBA3-Commission]/2,IF(BetTable[Outcome3]="Lose Half Stake",BetTable[S3]/2,IF(BetTable[Outcome3]="Lose",0,IF(BetTable[Outcome3]="Void",BetTable[S3],)))))</f>
        <v>0</v>
      </c>
      <c r="AI721" s="168">
        <f>IF(BetTable[Outcome]="",AI720,BetTable[Result]+AI720)</f>
        <v>1352.4972500000006</v>
      </c>
      <c r="AJ721" s="160"/>
    </row>
    <row r="722" spans="1:36" x14ac:dyDescent="0.2">
      <c r="A722" s="159" t="s">
        <v>1790</v>
      </c>
      <c r="B722" s="160" t="s">
        <v>200</v>
      </c>
      <c r="C722" s="161" t="s">
        <v>1714</v>
      </c>
      <c r="D722" s="161"/>
      <c r="E722" s="161"/>
      <c r="F722" s="162"/>
      <c r="G722" s="162"/>
      <c r="H722" s="162"/>
      <c r="I722" s="160" t="s">
        <v>1953</v>
      </c>
      <c r="J722" s="163">
        <v>1.8</v>
      </c>
      <c r="K722" s="163"/>
      <c r="L722" s="163"/>
      <c r="M722" s="164">
        <v>103</v>
      </c>
      <c r="N722" s="164"/>
      <c r="O722" s="164"/>
      <c r="P722" s="159" t="s">
        <v>336</v>
      </c>
      <c r="Q722" s="159" t="s">
        <v>491</v>
      </c>
      <c r="R722" s="159" t="s">
        <v>1954</v>
      </c>
      <c r="S722" s="165">
        <v>5.5087521740815201E-2</v>
      </c>
      <c r="T722" s="166" t="s">
        <v>382</v>
      </c>
      <c r="U722" s="166"/>
      <c r="V722" s="166"/>
      <c r="W722" s="167">
        <f>IF(BetTable[Sport]="","",BetTable[Stake]+BetTable[S2]+BetTable[S3])</f>
        <v>103</v>
      </c>
      <c r="X722" s="164">
        <f>IF(BetTable[Odds]="","",(BetTable[WBA1-Commission])-BetTable[TS])</f>
        <v>82.4</v>
      </c>
      <c r="Y722" s="168">
        <f>IF(BetTable[Outcome]="","",BetTable[WBA1]+BetTable[WBA2]+BetTable[WBA3]-BetTable[TS])</f>
        <v>-103</v>
      </c>
      <c r="Z722" s="164">
        <f>(((BetTable[Odds]-1)*BetTable[Stake])*(1-(BetTable[Comm %]))+BetTable[Stake])</f>
        <v>185.4</v>
      </c>
      <c r="AA722" s="164">
        <f>(((BetTable[O2]-1)*BetTable[S2])*(1-(BetTable[C% 2]))+BetTable[S2])</f>
        <v>0</v>
      </c>
      <c r="AB722" s="164">
        <f>(((BetTable[O3]-1)*BetTable[S3])*(1-(BetTable[C% 3]))+BetTable[S3])</f>
        <v>0</v>
      </c>
      <c r="AC722" s="165">
        <f>IFERROR(IF(BetTable[Sport]="","",BetTable[R1]/BetTable[TS]),"")</f>
        <v>0.8</v>
      </c>
      <c r="AD722" s="165" t="str">
        <f>IF(BetTable[O2]="","",#REF!/BetTable[TS])</f>
        <v/>
      </c>
      <c r="AE722" s="165" t="str">
        <f>IFERROR(IF(BetTable[Sport]="","",#REF!/BetTable[TS]),"")</f>
        <v/>
      </c>
      <c r="AF722" s="164">
        <f>IF(BetTable[Outcome]="Win",BetTable[WBA1-Commission],IF(BetTable[Outcome]="Win Half Stake",(BetTable[Stake]/2)+BetTable[WBA1-Commission]/2,IF(BetTable[Outcome]="Lose Half Stake",BetTable[Stake]/2,IF(BetTable[Outcome]="Lose",0,IF(BetTable[Outcome]="Void",BetTable[Stake],)))))</f>
        <v>0</v>
      </c>
      <c r="AG722" s="164">
        <f>IF(BetTable[Outcome2]="Win",BetTable[WBA2-Commission],IF(BetTable[Outcome2]="Win Half Stake",(BetTable[S2]/2)+BetTable[WBA2-Commission]/2,IF(BetTable[Outcome2]="Lose Half Stake",BetTable[S2]/2,IF(BetTable[Outcome2]="Lose",0,IF(BetTable[Outcome2]="Void",BetTable[S2],)))))</f>
        <v>0</v>
      </c>
      <c r="AH722" s="164">
        <f>IF(BetTable[Outcome3]="Win",BetTable[WBA3-Commission],IF(BetTable[Outcome3]="Win Half Stake",(BetTable[S3]/2)+BetTable[WBA3-Commission]/2,IF(BetTable[Outcome3]="Lose Half Stake",BetTable[S3]/2,IF(BetTable[Outcome3]="Lose",0,IF(BetTable[Outcome3]="Void",BetTable[S3],)))))</f>
        <v>0</v>
      </c>
      <c r="AI722" s="168">
        <f>IF(BetTable[Outcome]="",AI721,BetTable[Result]+AI721)</f>
        <v>1249.4972500000006</v>
      </c>
      <c r="AJ722" s="160"/>
    </row>
    <row r="723" spans="1:36" x14ac:dyDescent="0.2">
      <c r="A723" s="159" t="s">
        <v>1790</v>
      </c>
      <c r="B723" s="160" t="s">
        <v>200</v>
      </c>
      <c r="C723" s="161" t="s">
        <v>1714</v>
      </c>
      <c r="D723" s="161"/>
      <c r="E723" s="161"/>
      <c r="F723" s="162"/>
      <c r="G723" s="162"/>
      <c r="H723" s="162"/>
      <c r="I723" s="160" t="s">
        <v>1955</v>
      </c>
      <c r="J723" s="163">
        <v>1.8</v>
      </c>
      <c r="K723" s="163"/>
      <c r="L723" s="163"/>
      <c r="M723" s="164">
        <v>49</v>
      </c>
      <c r="N723" s="164"/>
      <c r="O723" s="164"/>
      <c r="P723" s="159" t="s">
        <v>351</v>
      </c>
      <c r="Q723" s="159" t="s">
        <v>461</v>
      </c>
      <c r="R723" s="159" t="s">
        <v>1956</v>
      </c>
      <c r="S723" s="165">
        <v>2.54117203584238E-2</v>
      </c>
      <c r="T723" s="166" t="s">
        <v>372</v>
      </c>
      <c r="U723" s="166"/>
      <c r="V723" s="166"/>
      <c r="W723" s="167">
        <f>IF(BetTable[Sport]="","",BetTable[Stake]+BetTable[S2]+BetTable[S3])</f>
        <v>49</v>
      </c>
      <c r="X723" s="164">
        <f>IF(BetTable[Odds]="","",(BetTable[WBA1-Commission])-BetTable[TS])</f>
        <v>39.200000000000003</v>
      </c>
      <c r="Y723" s="168">
        <f>IF(BetTable[Outcome]="","",BetTable[WBA1]+BetTable[WBA2]+BetTable[WBA3]-BetTable[TS])</f>
        <v>39.200000000000003</v>
      </c>
      <c r="Z723" s="164">
        <f>(((BetTable[Odds]-1)*BetTable[Stake])*(1-(BetTable[Comm %]))+BetTable[Stake])</f>
        <v>88.2</v>
      </c>
      <c r="AA723" s="164">
        <f>(((BetTable[O2]-1)*BetTable[S2])*(1-(BetTable[C% 2]))+BetTable[S2])</f>
        <v>0</v>
      </c>
      <c r="AB723" s="164">
        <f>(((BetTable[O3]-1)*BetTable[S3])*(1-(BetTable[C% 3]))+BetTable[S3])</f>
        <v>0</v>
      </c>
      <c r="AC723" s="165">
        <f>IFERROR(IF(BetTable[Sport]="","",BetTable[R1]/BetTable[TS]),"")</f>
        <v>0.8</v>
      </c>
      <c r="AD723" s="165" t="str">
        <f>IF(BetTable[O2]="","",#REF!/BetTable[TS])</f>
        <v/>
      </c>
      <c r="AE723" s="165" t="str">
        <f>IFERROR(IF(BetTable[Sport]="","",#REF!/BetTable[TS]),"")</f>
        <v/>
      </c>
      <c r="AF723" s="164">
        <f>IF(BetTable[Outcome]="Win",BetTable[WBA1-Commission],IF(BetTable[Outcome]="Win Half Stake",(BetTable[Stake]/2)+BetTable[WBA1-Commission]/2,IF(BetTable[Outcome]="Lose Half Stake",BetTable[Stake]/2,IF(BetTable[Outcome]="Lose",0,IF(BetTable[Outcome]="Void",BetTable[Stake],)))))</f>
        <v>88.2</v>
      </c>
      <c r="AG723" s="164">
        <f>IF(BetTable[Outcome2]="Win",BetTable[WBA2-Commission],IF(BetTable[Outcome2]="Win Half Stake",(BetTable[S2]/2)+BetTable[WBA2-Commission]/2,IF(BetTable[Outcome2]="Lose Half Stake",BetTable[S2]/2,IF(BetTable[Outcome2]="Lose",0,IF(BetTable[Outcome2]="Void",BetTable[S2],)))))</f>
        <v>0</v>
      </c>
      <c r="AH723" s="164">
        <f>IF(BetTable[Outcome3]="Win",BetTable[WBA3-Commission],IF(BetTable[Outcome3]="Win Half Stake",(BetTable[S3]/2)+BetTable[WBA3-Commission]/2,IF(BetTable[Outcome3]="Lose Half Stake",BetTable[S3]/2,IF(BetTable[Outcome3]="Lose",0,IF(BetTable[Outcome3]="Void",BetTable[S3],)))))</f>
        <v>0</v>
      </c>
      <c r="AI723" s="168">
        <f>IF(BetTable[Outcome]="",AI722,BetTable[Result]+AI722)</f>
        <v>1288.6972500000006</v>
      </c>
      <c r="AJ723" s="160"/>
    </row>
    <row r="724" spans="1:36" x14ac:dyDescent="0.2">
      <c r="A724" s="159" t="s">
        <v>1790</v>
      </c>
      <c r="B724" s="160" t="s">
        <v>200</v>
      </c>
      <c r="C724" s="161" t="s">
        <v>1714</v>
      </c>
      <c r="D724" s="161"/>
      <c r="E724" s="161"/>
      <c r="F724" s="162"/>
      <c r="G724" s="162"/>
      <c r="H724" s="162"/>
      <c r="I724" s="160" t="s">
        <v>1957</v>
      </c>
      <c r="J724" s="163">
        <v>1.79</v>
      </c>
      <c r="K724" s="163"/>
      <c r="L724" s="163"/>
      <c r="M724" s="164">
        <v>39</v>
      </c>
      <c r="N724" s="164"/>
      <c r="O724" s="164"/>
      <c r="P724" s="159" t="s">
        <v>360</v>
      </c>
      <c r="Q724" s="159" t="s">
        <v>461</v>
      </c>
      <c r="R724" s="159" t="s">
        <v>1958</v>
      </c>
      <c r="S724" s="165">
        <v>1.97149885786548E-2</v>
      </c>
      <c r="T724" s="166" t="s">
        <v>382</v>
      </c>
      <c r="U724" s="166"/>
      <c r="V724" s="166"/>
      <c r="W724" s="167">
        <f>IF(BetTable[Sport]="","",BetTable[Stake]+BetTable[S2]+BetTable[S3])</f>
        <v>39</v>
      </c>
      <c r="X724" s="164">
        <f>IF(BetTable[Odds]="","",(BetTable[WBA1-Commission])-BetTable[TS])</f>
        <v>30.810000000000002</v>
      </c>
      <c r="Y724" s="168">
        <f>IF(BetTable[Outcome]="","",BetTable[WBA1]+BetTable[WBA2]+BetTable[WBA3]-BetTable[TS])</f>
        <v>-39</v>
      </c>
      <c r="Z724" s="164">
        <f>(((BetTable[Odds]-1)*BetTable[Stake])*(1-(BetTable[Comm %]))+BetTable[Stake])</f>
        <v>69.81</v>
      </c>
      <c r="AA724" s="164">
        <f>(((BetTable[O2]-1)*BetTable[S2])*(1-(BetTable[C% 2]))+BetTable[S2])</f>
        <v>0</v>
      </c>
      <c r="AB724" s="164">
        <f>(((BetTable[O3]-1)*BetTable[S3])*(1-(BetTable[C% 3]))+BetTable[S3])</f>
        <v>0</v>
      </c>
      <c r="AC724" s="165">
        <f>IFERROR(IF(BetTable[Sport]="","",BetTable[R1]/BetTable[TS]),"")</f>
        <v>0.79</v>
      </c>
      <c r="AD724" s="165" t="str">
        <f>IF(BetTable[O2]="","",#REF!/BetTable[TS])</f>
        <v/>
      </c>
      <c r="AE724" s="165" t="str">
        <f>IFERROR(IF(BetTable[Sport]="","",#REF!/BetTable[TS]),"")</f>
        <v/>
      </c>
      <c r="AF724" s="164">
        <f>IF(BetTable[Outcome]="Win",BetTable[WBA1-Commission],IF(BetTable[Outcome]="Win Half Stake",(BetTable[Stake]/2)+BetTable[WBA1-Commission]/2,IF(BetTable[Outcome]="Lose Half Stake",BetTable[Stake]/2,IF(BetTable[Outcome]="Lose",0,IF(BetTable[Outcome]="Void",BetTable[Stake],)))))</f>
        <v>0</v>
      </c>
      <c r="AG724" s="164">
        <f>IF(BetTable[Outcome2]="Win",BetTable[WBA2-Commission],IF(BetTable[Outcome2]="Win Half Stake",(BetTable[S2]/2)+BetTable[WBA2-Commission]/2,IF(BetTable[Outcome2]="Lose Half Stake",BetTable[S2]/2,IF(BetTable[Outcome2]="Lose",0,IF(BetTable[Outcome2]="Void",BetTable[S2],)))))</f>
        <v>0</v>
      </c>
      <c r="AH724" s="164">
        <f>IF(BetTable[Outcome3]="Win",BetTable[WBA3-Commission],IF(BetTable[Outcome3]="Win Half Stake",(BetTable[S3]/2)+BetTable[WBA3-Commission]/2,IF(BetTable[Outcome3]="Lose Half Stake",BetTable[S3]/2,IF(BetTable[Outcome3]="Lose",0,IF(BetTable[Outcome3]="Void",BetTable[S3],)))))</f>
        <v>0</v>
      </c>
      <c r="AI724" s="168">
        <f>IF(BetTable[Outcome]="",AI723,BetTable[Result]+AI723)</f>
        <v>1249.6972500000006</v>
      </c>
      <c r="AJ724" s="160"/>
    </row>
    <row r="725" spans="1:36" x14ac:dyDescent="0.2">
      <c r="A725" s="159" t="s">
        <v>1790</v>
      </c>
      <c r="B725" s="160" t="s">
        <v>200</v>
      </c>
      <c r="C725" s="161" t="s">
        <v>1714</v>
      </c>
      <c r="D725" s="161"/>
      <c r="E725" s="161"/>
      <c r="F725" s="162"/>
      <c r="G725" s="162"/>
      <c r="H725" s="162"/>
      <c r="I725" s="160" t="s">
        <v>1959</v>
      </c>
      <c r="J725" s="163">
        <v>1.89</v>
      </c>
      <c r="K725" s="163"/>
      <c r="L725" s="163"/>
      <c r="M725" s="164">
        <v>31</v>
      </c>
      <c r="N725" s="164"/>
      <c r="O725" s="164"/>
      <c r="P725" s="159" t="s">
        <v>668</v>
      </c>
      <c r="Q725" s="159" t="s">
        <v>461</v>
      </c>
      <c r="R725" s="159" t="s">
        <v>1960</v>
      </c>
      <c r="S725" s="165">
        <v>1.7846889952153101E-2</v>
      </c>
      <c r="T725" s="166" t="s">
        <v>382</v>
      </c>
      <c r="U725" s="166"/>
      <c r="V725" s="166"/>
      <c r="W725" s="167">
        <f>IF(BetTable[Sport]="","",BetTable[Stake]+BetTable[S2]+BetTable[S3])</f>
        <v>31</v>
      </c>
      <c r="X725" s="164">
        <f>IF(BetTable[Odds]="","",(BetTable[WBA1-Commission])-BetTable[TS])</f>
        <v>27.589999999999996</v>
      </c>
      <c r="Y725" s="168">
        <f>IF(BetTable[Outcome]="","",BetTable[WBA1]+BetTable[WBA2]+BetTable[WBA3]-BetTable[TS])</f>
        <v>-31</v>
      </c>
      <c r="Z725" s="164">
        <f>(((BetTable[Odds]-1)*BetTable[Stake])*(1-(BetTable[Comm %]))+BetTable[Stake])</f>
        <v>58.589999999999996</v>
      </c>
      <c r="AA725" s="164">
        <f>(((BetTable[O2]-1)*BetTable[S2])*(1-(BetTable[C% 2]))+BetTable[S2])</f>
        <v>0</v>
      </c>
      <c r="AB725" s="164">
        <f>(((BetTable[O3]-1)*BetTable[S3])*(1-(BetTable[C% 3]))+BetTable[S3])</f>
        <v>0</v>
      </c>
      <c r="AC725" s="165">
        <f>IFERROR(IF(BetTable[Sport]="","",BetTable[R1]/BetTable[TS]),"")</f>
        <v>0.8899999999999999</v>
      </c>
      <c r="AD725" s="165" t="str">
        <f>IF(BetTable[O2]="","",#REF!/BetTable[TS])</f>
        <v/>
      </c>
      <c r="AE725" s="165" t="str">
        <f>IFERROR(IF(BetTable[Sport]="","",#REF!/BetTable[TS]),"")</f>
        <v/>
      </c>
      <c r="AF725" s="164">
        <f>IF(BetTable[Outcome]="Win",BetTable[WBA1-Commission],IF(BetTable[Outcome]="Win Half Stake",(BetTable[Stake]/2)+BetTable[WBA1-Commission]/2,IF(BetTable[Outcome]="Lose Half Stake",BetTable[Stake]/2,IF(BetTable[Outcome]="Lose",0,IF(BetTable[Outcome]="Void",BetTable[Stake],)))))</f>
        <v>0</v>
      </c>
      <c r="AG725" s="164">
        <f>IF(BetTable[Outcome2]="Win",BetTable[WBA2-Commission],IF(BetTable[Outcome2]="Win Half Stake",(BetTable[S2]/2)+BetTable[WBA2-Commission]/2,IF(BetTable[Outcome2]="Lose Half Stake",BetTable[S2]/2,IF(BetTable[Outcome2]="Lose",0,IF(BetTable[Outcome2]="Void",BetTable[S2],)))))</f>
        <v>0</v>
      </c>
      <c r="AH725" s="164">
        <f>IF(BetTable[Outcome3]="Win",BetTable[WBA3-Commission],IF(BetTable[Outcome3]="Win Half Stake",(BetTable[S3]/2)+BetTable[WBA3-Commission]/2,IF(BetTable[Outcome3]="Lose Half Stake",BetTable[S3]/2,IF(BetTable[Outcome3]="Lose",0,IF(BetTable[Outcome3]="Void",BetTable[S3],)))))</f>
        <v>0</v>
      </c>
      <c r="AI725" s="168">
        <f>IF(BetTable[Outcome]="",AI724,BetTable[Result]+AI724)</f>
        <v>1218.6972500000006</v>
      </c>
      <c r="AJ725" s="160"/>
    </row>
    <row r="726" spans="1:36" x14ac:dyDescent="0.2">
      <c r="A726" s="159" t="s">
        <v>1790</v>
      </c>
      <c r="B726" s="160" t="s">
        <v>200</v>
      </c>
      <c r="C726" s="161" t="s">
        <v>1714</v>
      </c>
      <c r="D726" s="161"/>
      <c r="E726" s="161"/>
      <c r="F726" s="162"/>
      <c r="G726" s="162"/>
      <c r="H726" s="162"/>
      <c r="I726" s="160" t="s">
        <v>1961</v>
      </c>
      <c r="J726" s="163">
        <v>3.2</v>
      </c>
      <c r="K726" s="163"/>
      <c r="L726" s="163"/>
      <c r="M726" s="164">
        <v>18</v>
      </c>
      <c r="N726" s="164"/>
      <c r="O726" s="164"/>
      <c r="P726" s="159" t="s">
        <v>428</v>
      </c>
      <c r="Q726" s="159" t="s">
        <v>703</v>
      </c>
      <c r="R726" s="159" t="s">
        <v>1962</v>
      </c>
      <c r="S726" s="165">
        <v>2.56883659457601E-2</v>
      </c>
      <c r="T726" s="166" t="s">
        <v>372</v>
      </c>
      <c r="U726" s="166"/>
      <c r="V726" s="166"/>
      <c r="W726" s="167">
        <f>IF(BetTable[Sport]="","",BetTable[Stake]+BetTable[S2]+BetTable[S3])</f>
        <v>18</v>
      </c>
      <c r="X726" s="164">
        <f>IF(BetTable[Odds]="","",(BetTable[WBA1-Commission])-BetTable[TS])</f>
        <v>39.6</v>
      </c>
      <c r="Y726" s="168">
        <f>IF(BetTable[Outcome]="","",BetTable[WBA1]+BetTable[WBA2]+BetTable[WBA3]-BetTable[TS])</f>
        <v>39.6</v>
      </c>
      <c r="Z726" s="164">
        <f>(((BetTable[Odds]-1)*BetTable[Stake])*(1-(BetTable[Comm %]))+BetTable[Stake])</f>
        <v>57.6</v>
      </c>
      <c r="AA726" s="164">
        <f>(((BetTable[O2]-1)*BetTable[S2])*(1-(BetTable[C% 2]))+BetTable[S2])</f>
        <v>0</v>
      </c>
      <c r="AB726" s="164">
        <f>(((BetTable[O3]-1)*BetTable[S3])*(1-(BetTable[C% 3]))+BetTable[S3])</f>
        <v>0</v>
      </c>
      <c r="AC726" s="165">
        <f>IFERROR(IF(BetTable[Sport]="","",BetTable[R1]/BetTable[TS]),"")</f>
        <v>2.2000000000000002</v>
      </c>
      <c r="AD726" s="165" t="str">
        <f>IF(BetTable[O2]="","",#REF!/BetTable[TS])</f>
        <v/>
      </c>
      <c r="AE726" s="165" t="str">
        <f>IFERROR(IF(BetTable[Sport]="","",#REF!/BetTable[TS]),"")</f>
        <v/>
      </c>
      <c r="AF726" s="164">
        <f>IF(BetTable[Outcome]="Win",BetTable[WBA1-Commission],IF(BetTable[Outcome]="Win Half Stake",(BetTable[Stake]/2)+BetTable[WBA1-Commission]/2,IF(BetTable[Outcome]="Lose Half Stake",BetTable[Stake]/2,IF(BetTable[Outcome]="Lose",0,IF(BetTable[Outcome]="Void",BetTable[Stake],)))))</f>
        <v>57.6</v>
      </c>
      <c r="AG726" s="164">
        <f>IF(BetTable[Outcome2]="Win",BetTable[WBA2-Commission],IF(BetTable[Outcome2]="Win Half Stake",(BetTable[S2]/2)+BetTable[WBA2-Commission]/2,IF(BetTable[Outcome2]="Lose Half Stake",BetTable[S2]/2,IF(BetTable[Outcome2]="Lose",0,IF(BetTable[Outcome2]="Void",BetTable[S2],)))))</f>
        <v>0</v>
      </c>
      <c r="AH726" s="164">
        <f>IF(BetTable[Outcome3]="Win",BetTable[WBA3-Commission],IF(BetTable[Outcome3]="Win Half Stake",(BetTable[S3]/2)+BetTable[WBA3-Commission]/2,IF(BetTable[Outcome3]="Lose Half Stake",BetTable[S3]/2,IF(BetTable[Outcome3]="Lose",0,IF(BetTable[Outcome3]="Void",BetTable[S3],)))))</f>
        <v>0</v>
      </c>
      <c r="AI726" s="168">
        <f>IF(BetTable[Outcome]="",AI725,BetTable[Result]+AI725)</f>
        <v>1258.2972500000005</v>
      </c>
      <c r="AJ726" s="160"/>
    </row>
    <row r="727" spans="1:36" x14ac:dyDescent="0.2">
      <c r="A727" s="159" t="s">
        <v>1790</v>
      </c>
      <c r="B727" s="160" t="s">
        <v>200</v>
      </c>
      <c r="C727" s="161" t="s">
        <v>1714</v>
      </c>
      <c r="D727" s="161"/>
      <c r="E727" s="161"/>
      <c r="F727" s="162"/>
      <c r="G727" s="162"/>
      <c r="H727" s="162"/>
      <c r="I727" s="160" t="s">
        <v>1963</v>
      </c>
      <c r="J727" s="163">
        <v>1.96</v>
      </c>
      <c r="K727" s="163"/>
      <c r="L727" s="163"/>
      <c r="M727" s="164">
        <v>45</v>
      </c>
      <c r="N727" s="164"/>
      <c r="O727" s="164"/>
      <c r="P727" s="159" t="s">
        <v>668</v>
      </c>
      <c r="Q727" s="159" t="s">
        <v>488</v>
      </c>
      <c r="R727" s="159" t="s">
        <v>1964</v>
      </c>
      <c r="S727" s="165">
        <v>2.7699413584429199E-2</v>
      </c>
      <c r="T727" s="166" t="s">
        <v>382</v>
      </c>
      <c r="U727" s="166"/>
      <c r="V727" s="166"/>
      <c r="W727" s="167">
        <f>IF(BetTable[Sport]="","",BetTable[Stake]+BetTable[S2]+BetTable[S3])</f>
        <v>45</v>
      </c>
      <c r="X727" s="164">
        <f>IF(BetTable[Odds]="","",(BetTable[WBA1-Commission])-BetTable[TS])</f>
        <v>43.199999999999989</v>
      </c>
      <c r="Y727" s="168">
        <f>IF(BetTable[Outcome]="","",BetTable[WBA1]+BetTable[WBA2]+BetTable[WBA3]-BetTable[TS])</f>
        <v>-45</v>
      </c>
      <c r="Z727" s="164">
        <f>(((BetTable[Odds]-1)*BetTable[Stake])*(1-(BetTable[Comm %]))+BetTable[Stake])</f>
        <v>88.199999999999989</v>
      </c>
      <c r="AA727" s="164">
        <f>(((BetTable[O2]-1)*BetTable[S2])*(1-(BetTable[C% 2]))+BetTable[S2])</f>
        <v>0</v>
      </c>
      <c r="AB727" s="164">
        <f>(((BetTable[O3]-1)*BetTable[S3])*(1-(BetTable[C% 3]))+BetTable[S3])</f>
        <v>0</v>
      </c>
      <c r="AC727" s="165">
        <f>IFERROR(IF(BetTable[Sport]="","",BetTable[R1]/BetTable[TS]),"")</f>
        <v>0.95999999999999974</v>
      </c>
      <c r="AD727" s="165" t="str">
        <f>IF(BetTable[O2]="","",#REF!/BetTable[TS])</f>
        <v/>
      </c>
      <c r="AE727" s="165" t="str">
        <f>IFERROR(IF(BetTable[Sport]="","",#REF!/BetTable[TS]),"")</f>
        <v/>
      </c>
      <c r="AF727" s="164">
        <f>IF(BetTable[Outcome]="Win",BetTable[WBA1-Commission],IF(BetTable[Outcome]="Win Half Stake",(BetTable[Stake]/2)+BetTable[WBA1-Commission]/2,IF(BetTable[Outcome]="Lose Half Stake",BetTable[Stake]/2,IF(BetTable[Outcome]="Lose",0,IF(BetTable[Outcome]="Void",BetTable[Stake],)))))</f>
        <v>0</v>
      </c>
      <c r="AG727" s="164">
        <f>IF(BetTable[Outcome2]="Win",BetTable[WBA2-Commission],IF(BetTable[Outcome2]="Win Half Stake",(BetTable[S2]/2)+BetTable[WBA2-Commission]/2,IF(BetTable[Outcome2]="Lose Half Stake",BetTable[S2]/2,IF(BetTable[Outcome2]="Lose",0,IF(BetTable[Outcome2]="Void",BetTable[S2],)))))</f>
        <v>0</v>
      </c>
      <c r="AH727" s="164">
        <f>IF(BetTable[Outcome3]="Win",BetTable[WBA3-Commission],IF(BetTable[Outcome3]="Win Half Stake",(BetTable[S3]/2)+BetTable[WBA3-Commission]/2,IF(BetTable[Outcome3]="Lose Half Stake",BetTable[S3]/2,IF(BetTable[Outcome3]="Lose",0,IF(BetTable[Outcome3]="Void",BetTable[S3],)))))</f>
        <v>0</v>
      </c>
      <c r="AI727" s="168">
        <f>IF(BetTable[Outcome]="",AI726,BetTable[Result]+AI726)</f>
        <v>1213.2972500000005</v>
      </c>
      <c r="AJ727" s="160"/>
    </row>
    <row r="728" spans="1:36" x14ac:dyDescent="0.2">
      <c r="A728" s="159" t="s">
        <v>1790</v>
      </c>
      <c r="B728" s="160" t="s">
        <v>200</v>
      </c>
      <c r="C728" s="161" t="s">
        <v>1714</v>
      </c>
      <c r="D728" s="161"/>
      <c r="E728" s="161"/>
      <c r="F728" s="162"/>
      <c r="G728" s="162"/>
      <c r="H728" s="162"/>
      <c r="I728" s="160" t="s">
        <v>1965</v>
      </c>
      <c r="J728" s="163">
        <v>1.74</v>
      </c>
      <c r="K728" s="163"/>
      <c r="L728" s="163"/>
      <c r="M728" s="164">
        <v>54</v>
      </c>
      <c r="N728" s="164"/>
      <c r="O728" s="164"/>
      <c r="P728" s="159" t="s">
        <v>646</v>
      </c>
      <c r="Q728" s="159" t="s">
        <v>474</v>
      </c>
      <c r="R728" s="159" t="s">
        <v>1966</v>
      </c>
      <c r="S728" s="165">
        <v>2.5685650835255199E-2</v>
      </c>
      <c r="T728" s="166" t="s">
        <v>549</v>
      </c>
      <c r="U728" s="166"/>
      <c r="V728" s="166"/>
      <c r="W728" s="167">
        <f>IF(BetTable[Sport]="","",BetTable[Stake]+BetTable[S2]+BetTable[S3])</f>
        <v>54</v>
      </c>
      <c r="X728" s="164">
        <f>IF(BetTable[Odds]="","",(BetTable[WBA1-Commission])-BetTable[TS])</f>
        <v>39.960000000000008</v>
      </c>
      <c r="Y728" s="168">
        <f>IF(BetTable[Outcome]="","",BetTable[WBA1]+BetTable[WBA2]+BetTable[WBA3]-BetTable[TS])</f>
        <v>-27</v>
      </c>
      <c r="Z728" s="164">
        <f>(((BetTable[Odds]-1)*BetTable[Stake])*(1-(BetTable[Comm %]))+BetTable[Stake])</f>
        <v>93.960000000000008</v>
      </c>
      <c r="AA728" s="164">
        <f>(((BetTable[O2]-1)*BetTable[S2])*(1-(BetTable[C% 2]))+BetTable[S2])</f>
        <v>0</v>
      </c>
      <c r="AB728" s="164">
        <f>(((BetTable[O3]-1)*BetTable[S3])*(1-(BetTable[C% 3]))+BetTable[S3])</f>
        <v>0</v>
      </c>
      <c r="AC728" s="165">
        <f>IFERROR(IF(BetTable[Sport]="","",BetTable[R1]/BetTable[TS]),"")</f>
        <v>0.7400000000000001</v>
      </c>
      <c r="AD728" s="165" t="str">
        <f>IF(BetTable[O2]="","",#REF!/BetTable[TS])</f>
        <v/>
      </c>
      <c r="AE728" s="165" t="str">
        <f>IFERROR(IF(BetTable[Sport]="","",#REF!/BetTable[TS]),"")</f>
        <v/>
      </c>
      <c r="AF728" s="164">
        <f>IF(BetTable[Outcome]="Win",BetTable[WBA1-Commission],IF(BetTable[Outcome]="Win Half Stake",(BetTable[Stake]/2)+BetTable[WBA1-Commission]/2,IF(BetTable[Outcome]="Lose Half Stake",BetTable[Stake]/2,IF(BetTable[Outcome]="Lose",0,IF(BetTable[Outcome]="Void",BetTable[Stake],)))))</f>
        <v>27</v>
      </c>
      <c r="AG728" s="164">
        <f>IF(BetTable[Outcome2]="Win",BetTable[WBA2-Commission],IF(BetTable[Outcome2]="Win Half Stake",(BetTable[S2]/2)+BetTable[WBA2-Commission]/2,IF(BetTable[Outcome2]="Lose Half Stake",BetTable[S2]/2,IF(BetTable[Outcome2]="Lose",0,IF(BetTable[Outcome2]="Void",BetTable[S2],)))))</f>
        <v>0</v>
      </c>
      <c r="AH728" s="164">
        <f>IF(BetTable[Outcome3]="Win",BetTable[WBA3-Commission],IF(BetTable[Outcome3]="Win Half Stake",(BetTable[S3]/2)+BetTable[WBA3-Commission]/2,IF(BetTable[Outcome3]="Lose Half Stake",BetTable[S3]/2,IF(BetTable[Outcome3]="Lose",0,IF(BetTable[Outcome3]="Void",BetTable[S3],)))))</f>
        <v>0</v>
      </c>
      <c r="AI728" s="168">
        <f>IF(BetTable[Outcome]="",AI727,BetTable[Result]+AI727)</f>
        <v>1186.2972500000005</v>
      </c>
      <c r="AJ728" s="160"/>
    </row>
    <row r="729" spans="1:36" x14ac:dyDescent="0.2">
      <c r="A729" s="159" t="s">
        <v>1790</v>
      </c>
      <c r="B729" s="160" t="s">
        <v>9</v>
      </c>
      <c r="C729" s="161" t="s">
        <v>216</v>
      </c>
      <c r="D729" s="161"/>
      <c r="E729" s="161"/>
      <c r="F729" s="162"/>
      <c r="G729" s="162"/>
      <c r="H729" s="162"/>
      <c r="I729" s="160" t="s">
        <v>1967</v>
      </c>
      <c r="J729" s="163">
        <v>1.833</v>
      </c>
      <c r="K729" s="163"/>
      <c r="L729" s="163"/>
      <c r="M729" s="164">
        <v>60</v>
      </c>
      <c r="N729" s="164"/>
      <c r="O729" s="164"/>
      <c r="P729" s="159" t="s">
        <v>385</v>
      </c>
      <c r="Q729" s="159" t="s">
        <v>485</v>
      </c>
      <c r="R729" s="159" t="s">
        <v>1968</v>
      </c>
      <c r="S729" s="165">
        <v>3.4532754349932297E-2</v>
      </c>
      <c r="T729" s="166" t="s">
        <v>383</v>
      </c>
      <c r="U729" s="166"/>
      <c r="V729" s="166"/>
      <c r="W729" s="167">
        <f>IF(BetTable[Sport]="","",BetTable[Stake]+BetTable[S2]+BetTable[S3])</f>
        <v>60</v>
      </c>
      <c r="X729" s="164">
        <f>IF(BetTable[Odds]="","",(BetTable[WBA1-Commission])-BetTable[TS])</f>
        <v>49.97999999999999</v>
      </c>
      <c r="Y729" s="168">
        <f>IF(BetTable[Outcome]="","",BetTable[WBA1]+BetTable[WBA2]+BetTable[WBA3]-BetTable[TS])</f>
        <v>0</v>
      </c>
      <c r="Z729" s="164">
        <f>(((BetTable[Odds]-1)*BetTable[Stake])*(1-(BetTable[Comm %]))+BetTable[Stake])</f>
        <v>109.97999999999999</v>
      </c>
      <c r="AA729" s="164">
        <f>(((BetTable[O2]-1)*BetTable[S2])*(1-(BetTable[C% 2]))+BetTable[S2])</f>
        <v>0</v>
      </c>
      <c r="AB729" s="164">
        <f>(((BetTable[O3]-1)*BetTable[S3])*(1-(BetTable[C% 3]))+BetTable[S3])</f>
        <v>0</v>
      </c>
      <c r="AC729" s="165">
        <f>IFERROR(IF(BetTable[Sport]="","",BetTable[R1]/BetTable[TS]),"")</f>
        <v>0.83299999999999985</v>
      </c>
      <c r="AD729" s="165" t="str">
        <f>IF(BetTable[O2]="","",#REF!/BetTable[TS])</f>
        <v/>
      </c>
      <c r="AE729" s="165" t="str">
        <f>IFERROR(IF(BetTable[Sport]="","",#REF!/BetTable[TS]),"")</f>
        <v/>
      </c>
      <c r="AF729" s="164">
        <f>IF(BetTable[Outcome]="Win",BetTable[WBA1-Commission],IF(BetTable[Outcome]="Win Half Stake",(BetTable[Stake]/2)+BetTable[WBA1-Commission]/2,IF(BetTable[Outcome]="Lose Half Stake",BetTable[Stake]/2,IF(BetTable[Outcome]="Lose",0,IF(BetTable[Outcome]="Void",BetTable[Stake],)))))</f>
        <v>60</v>
      </c>
      <c r="AG729" s="164">
        <f>IF(BetTable[Outcome2]="Win",BetTable[WBA2-Commission],IF(BetTable[Outcome2]="Win Half Stake",(BetTable[S2]/2)+BetTable[WBA2-Commission]/2,IF(BetTable[Outcome2]="Lose Half Stake",BetTable[S2]/2,IF(BetTable[Outcome2]="Lose",0,IF(BetTable[Outcome2]="Void",BetTable[S2],)))))</f>
        <v>0</v>
      </c>
      <c r="AH729" s="164">
        <f>IF(BetTable[Outcome3]="Win",BetTable[WBA3-Commission],IF(BetTable[Outcome3]="Win Half Stake",(BetTable[S3]/2)+BetTable[WBA3-Commission]/2,IF(BetTable[Outcome3]="Lose Half Stake",BetTable[S3]/2,IF(BetTable[Outcome3]="Lose",0,IF(BetTable[Outcome3]="Void",BetTable[S3],)))))</f>
        <v>0</v>
      </c>
      <c r="AI729" s="168">
        <f>IF(BetTable[Outcome]="",AI728,BetTable[Result]+AI728)</f>
        <v>1186.2972500000005</v>
      </c>
      <c r="AJ729" s="160"/>
    </row>
    <row r="730" spans="1:36" x14ac:dyDescent="0.2">
      <c r="A730" s="159" t="s">
        <v>1790</v>
      </c>
      <c r="B730" s="160" t="s">
        <v>9</v>
      </c>
      <c r="C730" s="161" t="s">
        <v>216</v>
      </c>
      <c r="D730" s="161"/>
      <c r="E730" s="161"/>
      <c r="F730" s="162"/>
      <c r="G730" s="162"/>
      <c r="H730" s="162"/>
      <c r="I730" s="160" t="s">
        <v>1969</v>
      </c>
      <c r="J730" s="163">
        <v>1.952</v>
      </c>
      <c r="K730" s="163"/>
      <c r="L730" s="163"/>
      <c r="M730" s="164">
        <v>52</v>
      </c>
      <c r="N730" s="164"/>
      <c r="O730" s="164"/>
      <c r="P730" s="159" t="s">
        <v>1055</v>
      </c>
      <c r="Q730" s="159" t="s">
        <v>503</v>
      </c>
      <c r="R730" s="159" t="s">
        <v>1970</v>
      </c>
      <c r="S730" s="165">
        <v>3.82337223598379E-2</v>
      </c>
      <c r="T730" s="166" t="s">
        <v>382</v>
      </c>
      <c r="U730" s="166"/>
      <c r="V730" s="166"/>
      <c r="W730" s="167">
        <f>IF(BetTable[Sport]="","",BetTable[Stake]+BetTable[S2]+BetTable[S3])</f>
        <v>52</v>
      </c>
      <c r="X730" s="164">
        <f>IF(BetTable[Odds]="","",(BetTable[WBA1-Commission])-BetTable[TS])</f>
        <v>49.503999999999991</v>
      </c>
      <c r="Y730" s="168">
        <f>IF(BetTable[Outcome]="","",BetTable[WBA1]+BetTable[WBA2]+BetTable[WBA3]-BetTable[TS])</f>
        <v>-52</v>
      </c>
      <c r="Z730" s="164">
        <f>(((BetTable[Odds]-1)*BetTable[Stake])*(1-(BetTable[Comm %]))+BetTable[Stake])</f>
        <v>101.50399999999999</v>
      </c>
      <c r="AA730" s="164">
        <f>(((BetTable[O2]-1)*BetTable[S2])*(1-(BetTable[C% 2]))+BetTable[S2])</f>
        <v>0</v>
      </c>
      <c r="AB730" s="164">
        <f>(((BetTable[O3]-1)*BetTable[S3])*(1-(BetTable[C% 3]))+BetTable[S3])</f>
        <v>0</v>
      </c>
      <c r="AC730" s="165">
        <f>IFERROR(IF(BetTable[Sport]="","",BetTable[R1]/BetTable[TS]),"")</f>
        <v>0.95199999999999985</v>
      </c>
      <c r="AD730" s="165" t="str">
        <f>IF(BetTable[O2]="","",#REF!/BetTable[TS])</f>
        <v/>
      </c>
      <c r="AE730" s="165" t="str">
        <f>IFERROR(IF(BetTable[Sport]="","",#REF!/BetTable[TS]),"")</f>
        <v/>
      </c>
      <c r="AF730" s="164">
        <f>IF(BetTable[Outcome]="Win",BetTable[WBA1-Commission],IF(BetTable[Outcome]="Win Half Stake",(BetTable[Stake]/2)+BetTable[WBA1-Commission]/2,IF(BetTable[Outcome]="Lose Half Stake",BetTable[Stake]/2,IF(BetTable[Outcome]="Lose",0,IF(BetTable[Outcome]="Void",BetTable[Stake],)))))</f>
        <v>0</v>
      </c>
      <c r="AG730" s="164">
        <f>IF(BetTable[Outcome2]="Win",BetTable[WBA2-Commission],IF(BetTable[Outcome2]="Win Half Stake",(BetTable[S2]/2)+BetTable[WBA2-Commission]/2,IF(BetTable[Outcome2]="Lose Half Stake",BetTable[S2]/2,IF(BetTable[Outcome2]="Lose",0,IF(BetTable[Outcome2]="Void",BetTable[S2],)))))</f>
        <v>0</v>
      </c>
      <c r="AH730" s="164">
        <f>IF(BetTable[Outcome3]="Win",BetTable[WBA3-Commission],IF(BetTable[Outcome3]="Win Half Stake",(BetTable[S3]/2)+BetTable[WBA3-Commission]/2,IF(BetTable[Outcome3]="Lose Half Stake",BetTable[S3]/2,IF(BetTable[Outcome3]="Lose",0,IF(BetTable[Outcome3]="Void",BetTable[S3],)))))</f>
        <v>0</v>
      </c>
      <c r="AI730" s="168">
        <f>IF(BetTable[Outcome]="",AI729,BetTable[Result]+AI729)</f>
        <v>1134.2972500000005</v>
      </c>
      <c r="AJ730" s="160"/>
    </row>
    <row r="731" spans="1:36" x14ac:dyDescent="0.2">
      <c r="A731" s="159" t="s">
        <v>1790</v>
      </c>
      <c r="B731" s="160" t="s">
        <v>9</v>
      </c>
      <c r="C731" s="161" t="s">
        <v>216</v>
      </c>
      <c r="D731" s="161"/>
      <c r="E731" s="161"/>
      <c r="F731" s="162"/>
      <c r="G731" s="162"/>
      <c r="H731" s="162"/>
      <c r="I731" s="160" t="s">
        <v>1971</v>
      </c>
      <c r="J731" s="163">
        <v>1.87</v>
      </c>
      <c r="K731" s="163"/>
      <c r="L731" s="163"/>
      <c r="M731" s="164">
        <v>56</v>
      </c>
      <c r="N731" s="164"/>
      <c r="O731" s="164"/>
      <c r="P731" s="159" t="s">
        <v>668</v>
      </c>
      <c r="Q731" s="159" t="s">
        <v>632</v>
      </c>
      <c r="R731" s="159" t="s">
        <v>1972</v>
      </c>
      <c r="S731" s="165">
        <v>3.1796466877025399E-2</v>
      </c>
      <c r="T731" s="166" t="s">
        <v>383</v>
      </c>
      <c r="U731" s="166"/>
      <c r="V731" s="166"/>
      <c r="W731" s="167">
        <f>IF(BetTable[Sport]="","",BetTable[Stake]+BetTable[S2]+BetTable[S3])</f>
        <v>56</v>
      </c>
      <c r="X731" s="164">
        <f>IF(BetTable[Odds]="","",(BetTable[WBA1-Commission])-BetTable[TS])</f>
        <v>48.72</v>
      </c>
      <c r="Y731" s="168">
        <f>IF(BetTable[Outcome]="","",BetTable[WBA1]+BetTable[WBA2]+BetTable[WBA3]-BetTable[TS])</f>
        <v>0</v>
      </c>
      <c r="Z731" s="164">
        <f>(((BetTable[Odds]-1)*BetTable[Stake])*(1-(BetTable[Comm %]))+BetTable[Stake])</f>
        <v>104.72</v>
      </c>
      <c r="AA731" s="164">
        <f>(((BetTable[O2]-1)*BetTable[S2])*(1-(BetTable[C% 2]))+BetTable[S2])</f>
        <v>0</v>
      </c>
      <c r="AB731" s="164">
        <f>(((BetTable[O3]-1)*BetTable[S3])*(1-(BetTable[C% 3]))+BetTable[S3])</f>
        <v>0</v>
      </c>
      <c r="AC731" s="165">
        <f>IFERROR(IF(BetTable[Sport]="","",BetTable[R1]/BetTable[TS]),"")</f>
        <v>0.87</v>
      </c>
      <c r="AD731" s="165" t="str">
        <f>IF(BetTable[O2]="","",#REF!/BetTable[TS])</f>
        <v/>
      </c>
      <c r="AE731" s="165" t="str">
        <f>IFERROR(IF(BetTable[Sport]="","",#REF!/BetTable[TS]),"")</f>
        <v/>
      </c>
      <c r="AF731" s="164">
        <f>IF(BetTable[Outcome]="Win",BetTable[WBA1-Commission],IF(BetTable[Outcome]="Win Half Stake",(BetTable[Stake]/2)+BetTable[WBA1-Commission]/2,IF(BetTable[Outcome]="Lose Half Stake",BetTable[Stake]/2,IF(BetTable[Outcome]="Lose",0,IF(BetTable[Outcome]="Void",BetTable[Stake],)))))</f>
        <v>56</v>
      </c>
      <c r="AG731" s="164">
        <f>IF(BetTable[Outcome2]="Win",BetTable[WBA2-Commission],IF(BetTable[Outcome2]="Win Half Stake",(BetTable[S2]/2)+BetTable[WBA2-Commission]/2,IF(BetTable[Outcome2]="Lose Half Stake",BetTable[S2]/2,IF(BetTable[Outcome2]="Lose",0,IF(BetTable[Outcome2]="Void",BetTable[S2],)))))</f>
        <v>0</v>
      </c>
      <c r="AH731" s="164">
        <f>IF(BetTable[Outcome3]="Win",BetTable[WBA3-Commission],IF(BetTable[Outcome3]="Win Half Stake",(BetTable[S3]/2)+BetTable[WBA3-Commission]/2,IF(BetTable[Outcome3]="Lose Half Stake",BetTable[S3]/2,IF(BetTable[Outcome3]="Lose",0,IF(BetTable[Outcome3]="Void",BetTable[S3],)))))</f>
        <v>0</v>
      </c>
      <c r="AI731" s="168">
        <f>IF(BetTable[Outcome]="",AI730,BetTable[Result]+AI730)</f>
        <v>1134.2972500000005</v>
      </c>
      <c r="AJ731" s="160"/>
    </row>
    <row r="732" spans="1:36" x14ac:dyDescent="0.2">
      <c r="A732" s="159" t="s">
        <v>1790</v>
      </c>
      <c r="B732" s="160" t="s">
        <v>200</v>
      </c>
      <c r="C732" s="161" t="s">
        <v>1714</v>
      </c>
      <c r="D732" s="161"/>
      <c r="E732" s="161"/>
      <c r="F732" s="162"/>
      <c r="G732" s="162"/>
      <c r="H732" s="162"/>
      <c r="I732" s="160" t="s">
        <v>1973</v>
      </c>
      <c r="J732" s="163">
        <v>2.0099999999999998</v>
      </c>
      <c r="K732" s="163"/>
      <c r="L732" s="163"/>
      <c r="M732" s="164">
        <v>52</v>
      </c>
      <c r="N732" s="164"/>
      <c r="O732" s="164"/>
      <c r="P732" s="159" t="s">
        <v>409</v>
      </c>
      <c r="Q732" s="159" t="s">
        <v>503</v>
      </c>
      <c r="R732" s="159" t="s">
        <v>1974</v>
      </c>
      <c r="S732" s="165">
        <v>3.3959825178014602E-2</v>
      </c>
      <c r="T732" s="166" t="s">
        <v>510</v>
      </c>
      <c r="U732" s="166"/>
      <c r="V732" s="166"/>
      <c r="W732" s="167">
        <f>IF(BetTable[Sport]="","",BetTable[Stake]+BetTable[S2]+BetTable[S3])</f>
        <v>52</v>
      </c>
      <c r="X732" s="164">
        <f>IF(BetTable[Odds]="","",(BetTable[WBA1-Commission])-BetTable[TS])</f>
        <v>52.519999999999982</v>
      </c>
      <c r="Y732" s="168">
        <f>IF(BetTable[Outcome]="","",BetTable[WBA1]+BetTable[WBA2]+BetTable[WBA3]-BetTable[TS])</f>
        <v>26.259999999999991</v>
      </c>
      <c r="Z732" s="164">
        <f>(((BetTable[Odds]-1)*BetTable[Stake])*(1-(BetTable[Comm %]))+BetTable[Stake])</f>
        <v>104.51999999999998</v>
      </c>
      <c r="AA732" s="164">
        <f>(((BetTable[O2]-1)*BetTable[S2])*(1-(BetTable[C% 2]))+BetTable[S2])</f>
        <v>0</v>
      </c>
      <c r="AB732" s="164">
        <f>(((BetTable[O3]-1)*BetTable[S3])*(1-(BetTable[C% 3]))+BetTable[S3])</f>
        <v>0</v>
      </c>
      <c r="AC732" s="165">
        <f>IFERROR(IF(BetTable[Sport]="","",BetTable[R1]/BetTable[TS]),"")</f>
        <v>1.0099999999999996</v>
      </c>
      <c r="AD732" s="165" t="str">
        <f>IF(BetTable[O2]="","",#REF!/BetTable[TS])</f>
        <v/>
      </c>
      <c r="AE732" s="165" t="str">
        <f>IFERROR(IF(BetTable[Sport]="","",#REF!/BetTable[TS]),"")</f>
        <v/>
      </c>
      <c r="AF732" s="164">
        <f>IF(BetTable[Outcome]="Win",BetTable[WBA1-Commission],IF(BetTable[Outcome]="Win Half Stake",(BetTable[Stake]/2)+BetTable[WBA1-Commission]/2,IF(BetTable[Outcome]="Lose Half Stake",BetTable[Stake]/2,IF(BetTable[Outcome]="Lose",0,IF(BetTable[Outcome]="Void",BetTable[Stake],)))))</f>
        <v>78.259999999999991</v>
      </c>
      <c r="AG732" s="164">
        <f>IF(BetTable[Outcome2]="Win",BetTable[WBA2-Commission],IF(BetTable[Outcome2]="Win Half Stake",(BetTable[S2]/2)+BetTable[WBA2-Commission]/2,IF(BetTable[Outcome2]="Lose Half Stake",BetTable[S2]/2,IF(BetTable[Outcome2]="Lose",0,IF(BetTable[Outcome2]="Void",BetTable[S2],)))))</f>
        <v>0</v>
      </c>
      <c r="AH732" s="164">
        <f>IF(BetTable[Outcome3]="Win",BetTable[WBA3-Commission],IF(BetTable[Outcome3]="Win Half Stake",(BetTable[S3]/2)+BetTable[WBA3-Commission]/2,IF(BetTable[Outcome3]="Lose Half Stake",BetTable[S3]/2,IF(BetTable[Outcome3]="Lose",0,IF(BetTable[Outcome3]="Void",BetTable[S3],)))))</f>
        <v>0</v>
      </c>
      <c r="AI732" s="168">
        <f>IF(BetTable[Outcome]="",AI731,BetTable[Result]+AI731)</f>
        <v>1160.5572500000005</v>
      </c>
      <c r="AJ732" s="160"/>
    </row>
    <row r="733" spans="1:36" x14ac:dyDescent="0.2">
      <c r="A733" s="159" t="s">
        <v>1790</v>
      </c>
      <c r="B733" s="160" t="s">
        <v>200</v>
      </c>
      <c r="C733" s="161" t="s">
        <v>1714</v>
      </c>
      <c r="D733" s="161"/>
      <c r="E733" s="161"/>
      <c r="F733" s="162"/>
      <c r="G733" s="162"/>
      <c r="H733" s="162"/>
      <c r="I733" s="160" t="s">
        <v>1975</v>
      </c>
      <c r="J733" s="163">
        <v>1.92</v>
      </c>
      <c r="K733" s="163"/>
      <c r="L733" s="163"/>
      <c r="M733" s="164">
        <v>32</v>
      </c>
      <c r="N733" s="164"/>
      <c r="O733" s="164"/>
      <c r="P733" s="159" t="s">
        <v>864</v>
      </c>
      <c r="Q733" s="159" t="s">
        <v>488</v>
      </c>
      <c r="R733" s="159" t="s">
        <v>1976</v>
      </c>
      <c r="S733" s="165">
        <v>1.8947368421052602E-2</v>
      </c>
      <c r="T733" s="166" t="s">
        <v>372</v>
      </c>
      <c r="U733" s="166"/>
      <c r="V733" s="166"/>
      <c r="W733" s="167">
        <f>IF(BetTable[Sport]="","",BetTable[Stake]+BetTable[S2]+BetTable[S3])</f>
        <v>32</v>
      </c>
      <c r="X733" s="164">
        <f>IF(BetTable[Odds]="","",(BetTable[WBA1-Commission])-BetTable[TS])</f>
        <v>29.439999999999998</v>
      </c>
      <c r="Y733" s="168">
        <f>IF(BetTable[Outcome]="","",BetTable[WBA1]+BetTable[WBA2]+BetTable[WBA3]-BetTable[TS])</f>
        <v>29.439999999999998</v>
      </c>
      <c r="Z733" s="164">
        <f>(((BetTable[Odds]-1)*BetTable[Stake])*(1-(BetTable[Comm %]))+BetTable[Stake])</f>
        <v>61.44</v>
      </c>
      <c r="AA733" s="164">
        <f>(((BetTable[O2]-1)*BetTable[S2])*(1-(BetTable[C% 2]))+BetTable[S2])</f>
        <v>0</v>
      </c>
      <c r="AB733" s="164">
        <f>(((BetTable[O3]-1)*BetTable[S3])*(1-(BetTable[C% 3]))+BetTable[S3])</f>
        <v>0</v>
      </c>
      <c r="AC733" s="165">
        <f>IFERROR(IF(BetTable[Sport]="","",BetTable[R1]/BetTable[TS]),"")</f>
        <v>0.91999999999999993</v>
      </c>
      <c r="AD733" s="165" t="str">
        <f>IF(BetTable[O2]="","",#REF!/BetTable[TS])</f>
        <v/>
      </c>
      <c r="AE733" s="165" t="str">
        <f>IFERROR(IF(BetTable[Sport]="","",#REF!/BetTable[TS]),"")</f>
        <v/>
      </c>
      <c r="AF733" s="164">
        <f>IF(BetTable[Outcome]="Win",BetTable[WBA1-Commission],IF(BetTable[Outcome]="Win Half Stake",(BetTable[Stake]/2)+BetTable[WBA1-Commission]/2,IF(BetTable[Outcome]="Lose Half Stake",BetTable[Stake]/2,IF(BetTable[Outcome]="Lose",0,IF(BetTable[Outcome]="Void",BetTable[Stake],)))))</f>
        <v>61.44</v>
      </c>
      <c r="AG733" s="164">
        <f>IF(BetTable[Outcome2]="Win",BetTable[WBA2-Commission],IF(BetTable[Outcome2]="Win Half Stake",(BetTable[S2]/2)+BetTable[WBA2-Commission]/2,IF(BetTable[Outcome2]="Lose Half Stake",BetTable[S2]/2,IF(BetTable[Outcome2]="Lose",0,IF(BetTable[Outcome2]="Void",BetTable[S2],)))))</f>
        <v>0</v>
      </c>
      <c r="AH733" s="164">
        <f>IF(BetTable[Outcome3]="Win",BetTable[WBA3-Commission],IF(BetTable[Outcome3]="Win Half Stake",(BetTable[S3]/2)+BetTable[WBA3-Commission]/2,IF(BetTable[Outcome3]="Lose Half Stake",BetTable[S3]/2,IF(BetTable[Outcome3]="Lose",0,IF(BetTable[Outcome3]="Void",BetTable[S3],)))))</f>
        <v>0</v>
      </c>
      <c r="AI733" s="168">
        <f>IF(BetTable[Outcome]="",AI732,BetTable[Result]+AI732)</f>
        <v>1189.9972500000006</v>
      </c>
      <c r="AJ733" s="160"/>
    </row>
    <row r="734" spans="1:36" x14ac:dyDescent="0.2">
      <c r="A734" s="159" t="s">
        <v>1790</v>
      </c>
      <c r="B734" s="160" t="s">
        <v>7</v>
      </c>
      <c r="C734" s="161" t="s">
        <v>91</v>
      </c>
      <c r="D734" s="161"/>
      <c r="E734" s="161"/>
      <c r="F734" s="162"/>
      <c r="G734" s="162"/>
      <c r="H734" s="162"/>
      <c r="I734" s="160" t="s">
        <v>1835</v>
      </c>
      <c r="J734" s="163">
        <v>1.85</v>
      </c>
      <c r="K734" s="163"/>
      <c r="L734" s="163"/>
      <c r="M734" s="164">
        <v>30</v>
      </c>
      <c r="N734" s="164"/>
      <c r="O734" s="164"/>
      <c r="P734" s="159" t="s">
        <v>1509</v>
      </c>
      <c r="Q734" s="159" t="s">
        <v>474</v>
      </c>
      <c r="R734" s="159" t="s">
        <v>1977</v>
      </c>
      <c r="S734" s="165">
        <v>1.6311821646555098E-2</v>
      </c>
      <c r="T734" s="166" t="s">
        <v>382</v>
      </c>
      <c r="U734" s="166"/>
      <c r="V734" s="166"/>
      <c r="W734" s="167">
        <f>IF(BetTable[Sport]="","",BetTable[Stake]+BetTable[S2]+BetTable[S3])</f>
        <v>30</v>
      </c>
      <c r="X734" s="164">
        <f>IF(BetTable[Odds]="","",(BetTable[WBA1-Commission])-BetTable[TS])</f>
        <v>25.5</v>
      </c>
      <c r="Y734" s="168">
        <f>IF(BetTable[Outcome]="","",BetTable[WBA1]+BetTable[WBA2]+BetTable[WBA3]-BetTable[TS])</f>
        <v>-30</v>
      </c>
      <c r="Z734" s="164">
        <f>(((BetTable[Odds]-1)*BetTable[Stake])*(1-(BetTable[Comm %]))+BetTable[Stake])</f>
        <v>55.5</v>
      </c>
      <c r="AA734" s="164">
        <f>(((BetTable[O2]-1)*BetTable[S2])*(1-(BetTable[C% 2]))+BetTable[S2])</f>
        <v>0</v>
      </c>
      <c r="AB734" s="164">
        <f>(((BetTable[O3]-1)*BetTable[S3])*(1-(BetTable[C% 3]))+BetTable[S3])</f>
        <v>0</v>
      </c>
      <c r="AC734" s="165">
        <f>IFERROR(IF(BetTable[Sport]="","",BetTable[R1]/BetTable[TS]),"")</f>
        <v>0.85</v>
      </c>
      <c r="AD734" s="165" t="str">
        <f>IF(BetTable[O2]="","",#REF!/BetTable[TS])</f>
        <v/>
      </c>
      <c r="AE734" s="165" t="str">
        <f>IFERROR(IF(BetTable[Sport]="","",#REF!/BetTable[TS]),"")</f>
        <v/>
      </c>
      <c r="AF734" s="164">
        <f>IF(BetTable[Outcome]="Win",BetTable[WBA1-Commission],IF(BetTable[Outcome]="Win Half Stake",(BetTable[Stake]/2)+BetTable[WBA1-Commission]/2,IF(BetTable[Outcome]="Lose Half Stake",BetTable[Stake]/2,IF(BetTable[Outcome]="Lose",0,IF(BetTable[Outcome]="Void",BetTable[Stake],)))))</f>
        <v>0</v>
      </c>
      <c r="AG734" s="164">
        <f>IF(BetTable[Outcome2]="Win",BetTable[WBA2-Commission],IF(BetTable[Outcome2]="Win Half Stake",(BetTable[S2]/2)+BetTable[WBA2-Commission]/2,IF(BetTable[Outcome2]="Lose Half Stake",BetTable[S2]/2,IF(BetTable[Outcome2]="Lose",0,IF(BetTable[Outcome2]="Void",BetTable[S2],)))))</f>
        <v>0</v>
      </c>
      <c r="AH734" s="164">
        <f>IF(BetTable[Outcome3]="Win",BetTable[WBA3-Commission],IF(BetTable[Outcome3]="Win Half Stake",(BetTable[S3]/2)+BetTable[WBA3-Commission]/2,IF(BetTable[Outcome3]="Lose Half Stake",BetTable[S3]/2,IF(BetTable[Outcome3]="Lose",0,IF(BetTable[Outcome3]="Void",BetTable[S3],)))))</f>
        <v>0</v>
      </c>
      <c r="AI734" s="168">
        <f>IF(BetTable[Outcome]="",AI733,BetTable[Result]+AI733)</f>
        <v>1159.9972500000006</v>
      </c>
      <c r="AJ734" s="160"/>
    </row>
    <row r="735" spans="1:36" x14ac:dyDescent="0.2">
      <c r="A735" s="159" t="s">
        <v>1790</v>
      </c>
      <c r="B735" s="160" t="s">
        <v>200</v>
      </c>
      <c r="C735" s="161" t="s">
        <v>1714</v>
      </c>
      <c r="D735" s="161"/>
      <c r="E735" s="161"/>
      <c r="F735" s="162"/>
      <c r="G735" s="162"/>
      <c r="H735" s="162"/>
      <c r="I735" s="160" t="s">
        <v>1770</v>
      </c>
      <c r="J735" s="163">
        <v>2.08</v>
      </c>
      <c r="K735" s="163"/>
      <c r="L735" s="163"/>
      <c r="M735" s="164">
        <v>33</v>
      </c>
      <c r="N735" s="164"/>
      <c r="O735" s="164"/>
      <c r="P735" s="159" t="s">
        <v>351</v>
      </c>
      <c r="Q735" s="159" t="s">
        <v>506</v>
      </c>
      <c r="R735" s="159" t="s">
        <v>1978</v>
      </c>
      <c r="S735" s="165">
        <v>2.30863985588106E-2</v>
      </c>
      <c r="T735" s="166" t="s">
        <v>382</v>
      </c>
      <c r="U735" s="166"/>
      <c r="V735" s="166"/>
      <c r="W735" s="167">
        <f>IF(BetTable[Sport]="","",BetTable[Stake]+BetTable[S2]+BetTable[S3])</f>
        <v>33</v>
      </c>
      <c r="X735" s="164">
        <f>IF(BetTable[Odds]="","",(BetTable[WBA1-Commission])-BetTable[TS])</f>
        <v>35.64</v>
      </c>
      <c r="Y735" s="168">
        <f>IF(BetTable[Outcome]="","",BetTable[WBA1]+BetTable[WBA2]+BetTable[WBA3]-BetTable[TS])</f>
        <v>-33</v>
      </c>
      <c r="Z735" s="164">
        <f>(((BetTable[Odds]-1)*BetTable[Stake])*(1-(BetTable[Comm %]))+BetTable[Stake])</f>
        <v>68.64</v>
      </c>
      <c r="AA735" s="164">
        <f>(((BetTable[O2]-1)*BetTable[S2])*(1-(BetTable[C% 2]))+BetTable[S2])</f>
        <v>0</v>
      </c>
      <c r="AB735" s="164">
        <f>(((BetTable[O3]-1)*BetTable[S3])*(1-(BetTable[C% 3]))+BetTable[S3])</f>
        <v>0</v>
      </c>
      <c r="AC735" s="165">
        <f>IFERROR(IF(BetTable[Sport]="","",BetTable[R1]/BetTable[TS]),"")</f>
        <v>1.08</v>
      </c>
      <c r="AD735" s="165" t="str">
        <f>IF(BetTable[O2]="","",#REF!/BetTable[TS])</f>
        <v/>
      </c>
      <c r="AE735" s="165" t="str">
        <f>IFERROR(IF(BetTable[Sport]="","",#REF!/BetTable[TS]),"")</f>
        <v/>
      </c>
      <c r="AF735" s="164">
        <f>IF(BetTable[Outcome]="Win",BetTable[WBA1-Commission],IF(BetTable[Outcome]="Win Half Stake",(BetTable[Stake]/2)+BetTable[WBA1-Commission]/2,IF(BetTable[Outcome]="Lose Half Stake",BetTable[Stake]/2,IF(BetTable[Outcome]="Lose",0,IF(BetTable[Outcome]="Void",BetTable[Stake],)))))</f>
        <v>0</v>
      </c>
      <c r="AG735" s="164">
        <f>IF(BetTable[Outcome2]="Win",BetTable[WBA2-Commission],IF(BetTable[Outcome2]="Win Half Stake",(BetTable[S2]/2)+BetTable[WBA2-Commission]/2,IF(BetTable[Outcome2]="Lose Half Stake",BetTable[S2]/2,IF(BetTable[Outcome2]="Lose",0,IF(BetTable[Outcome2]="Void",BetTable[S2],)))))</f>
        <v>0</v>
      </c>
      <c r="AH735" s="164">
        <f>IF(BetTable[Outcome3]="Win",BetTable[WBA3-Commission],IF(BetTable[Outcome3]="Win Half Stake",(BetTable[S3]/2)+BetTable[WBA3-Commission]/2,IF(BetTable[Outcome3]="Lose Half Stake",BetTable[S3]/2,IF(BetTable[Outcome3]="Lose",0,IF(BetTable[Outcome3]="Void",BetTable[S3],)))))</f>
        <v>0</v>
      </c>
      <c r="AI735" s="168">
        <f>IF(BetTable[Outcome]="",AI734,BetTable[Result]+AI734)</f>
        <v>1126.9972500000006</v>
      </c>
      <c r="AJ735" s="160"/>
    </row>
    <row r="736" spans="1:36" x14ac:dyDescent="0.2">
      <c r="A736" s="159" t="s">
        <v>1790</v>
      </c>
      <c r="B736" s="160" t="s">
        <v>200</v>
      </c>
      <c r="C736" s="161" t="s">
        <v>1714</v>
      </c>
      <c r="D736" s="161"/>
      <c r="E736" s="161"/>
      <c r="F736" s="162"/>
      <c r="G736" s="162"/>
      <c r="H736" s="162"/>
      <c r="I736" s="160" t="s">
        <v>1979</v>
      </c>
      <c r="J736" s="163">
        <v>3</v>
      </c>
      <c r="K736" s="163"/>
      <c r="L736" s="163"/>
      <c r="M736" s="164">
        <v>29</v>
      </c>
      <c r="N736" s="164"/>
      <c r="O736" s="164"/>
      <c r="P736" s="159" t="s">
        <v>494</v>
      </c>
      <c r="Q736" s="159" t="s">
        <v>458</v>
      </c>
      <c r="R736" s="159" t="s">
        <v>1980</v>
      </c>
      <c r="S736" s="165">
        <v>3.7570037570037497E-2</v>
      </c>
      <c r="T736" s="166" t="s">
        <v>372</v>
      </c>
      <c r="U736" s="166"/>
      <c r="V736" s="166"/>
      <c r="W736" s="167">
        <f>IF(BetTable[Sport]="","",BetTable[Stake]+BetTable[S2]+BetTable[S3])</f>
        <v>29</v>
      </c>
      <c r="X736" s="164">
        <f>IF(BetTable[Odds]="","",(BetTable[WBA1-Commission])-BetTable[TS])</f>
        <v>58</v>
      </c>
      <c r="Y736" s="168">
        <f>IF(BetTable[Outcome]="","",BetTable[WBA1]+BetTable[WBA2]+BetTable[WBA3]-BetTable[TS])</f>
        <v>58</v>
      </c>
      <c r="Z736" s="164">
        <f>(((BetTable[Odds]-1)*BetTable[Stake])*(1-(BetTable[Comm %]))+BetTable[Stake])</f>
        <v>87</v>
      </c>
      <c r="AA736" s="164">
        <f>(((BetTable[O2]-1)*BetTable[S2])*(1-(BetTable[C% 2]))+BetTable[S2])</f>
        <v>0</v>
      </c>
      <c r="AB736" s="164">
        <f>(((BetTable[O3]-1)*BetTable[S3])*(1-(BetTable[C% 3]))+BetTable[S3])</f>
        <v>0</v>
      </c>
      <c r="AC736" s="165">
        <f>IFERROR(IF(BetTable[Sport]="","",BetTable[R1]/BetTable[TS]),"")</f>
        <v>2</v>
      </c>
      <c r="AD736" s="165" t="str">
        <f>IF(BetTable[O2]="","",#REF!/BetTable[TS])</f>
        <v/>
      </c>
      <c r="AE736" s="165" t="str">
        <f>IFERROR(IF(BetTable[Sport]="","",#REF!/BetTable[TS]),"")</f>
        <v/>
      </c>
      <c r="AF736" s="164">
        <f>IF(BetTable[Outcome]="Win",BetTable[WBA1-Commission],IF(BetTable[Outcome]="Win Half Stake",(BetTable[Stake]/2)+BetTable[WBA1-Commission]/2,IF(BetTable[Outcome]="Lose Half Stake",BetTable[Stake]/2,IF(BetTable[Outcome]="Lose",0,IF(BetTable[Outcome]="Void",BetTable[Stake],)))))</f>
        <v>87</v>
      </c>
      <c r="AG736" s="164">
        <f>IF(BetTable[Outcome2]="Win",BetTable[WBA2-Commission],IF(BetTable[Outcome2]="Win Half Stake",(BetTable[S2]/2)+BetTable[WBA2-Commission]/2,IF(BetTable[Outcome2]="Lose Half Stake",BetTable[S2]/2,IF(BetTable[Outcome2]="Lose",0,IF(BetTable[Outcome2]="Void",BetTable[S2],)))))</f>
        <v>0</v>
      </c>
      <c r="AH736" s="164">
        <f>IF(BetTable[Outcome3]="Win",BetTable[WBA3-Commission],IF(BetTable[Outcome3]="Win Half Stake",(BetTable[S3]/2)+BetTable[WBA3-Commission]/2,IF(BetTable[Outcome3]="Lose Half Stake",BetTable[S3]/2,IF(BetTable[Outcome3]="Lose",0,IF(BetTable[Outcome3]="Void",BetTable[S3],)))))</f>
        <v>0</v>
      </c>
      <c r="AI736" s="168">
        <f>IF(BetTable[Outcome]="",AI735,BetTable[Result]+AI735)</f>
        <v>1184.9972500000006</v>
      </c>
      <c r="AJ736" s="160"/>
    </row>
    <row r="737" spans="1:36" x14ac:dyDescent="0.2">
      <c r="A737" s="159" t="s">
        <v>1790</v>
      </c>
      <c r="B737" s="160" t="s">
        <v>200</v>
      </c>
      <c r="C737" s="161" t="s">
        <v>1714</v>
      </c>
      <c r="D737" s="161"/>
      <c r="E737" s="161"/>
      <c r="F737" s="162"/>
      <c r="G737" s="162"/>
      <c r="H737" s="162"/>
      <c r="I737" s="160" t="s">
        <v>1981</v>
      </c>
      <c r="J737" s="163">
        <v>1.94</v>
      </c>
      <c r="K737" s="163"/>
      <c r="L737" s="163"/>
      <c r="M737" s="164">
        <v>27</v>
      </c>
      <c r="N737" s="164"/>
      <c r="O737" s="164"/>
      <c r="P737" s="159" t="s">
        <v>351</v>
      </c>
      <c r="Q737" s="159" t="s">
        <v>461</v>
      </c>
      <c r="R737" s="159" t="s">
        <v>1982</v>
      </c>
      <c r="S737" s="165">
        <v>1.6504806399512299E-2</v>
      </c>
      <c r="T737" s="166" t="s">
        <v>372</v>
      </c>
      <c r="U737" s="166"/>
      <c r="V737" s="166"/>
      <c r="W737" s="167">
        <f>IF(BetTable[Sport]="","",BetTable[Stake]+BetTable[S2]+BetTable[S3])</f>
        <v>27</v>
      </c>
      <c r="X737" s="164">
        <f>IF(BetTable[Odds]="","",(BetTable[WBA1-Commission])-BetTable[TS])</f>
        <v>25.379999999999995</v>
      </c>
      <c r="Y737" s="168">
        <f>IF(BetTable[Outcome]="","",BetTable[WBA1]+BetTable[WBA2]+BetTable[WBA3]-BetTable[TS])</f>
        <v>25.379999999999995</v>
      </c>
      <c r="Z737" s="164">
        <f>(((BetTable[Odds]-1)*BetTable[Stake])*(1-(BetTable[Comm %]))+BetTable[Stake])</f>
        <v>52.379999999999995</v>
      </c>
      <c r="AA737" s="164">
        <f>(((BetTable[O2]-1)*BetTable[S2])*(1-(BetTable[C% 2]))+BetTable[S2])</f>
        <v>0</v>
      </c>
      <c r="AB737" s="164">
        <f>(((BetTable[O3]-1)*BetTable[S3])*(1-(BetTable[C% 3]))+BetTable[S3])</f>
        <v>0</v>
      </c>
      <c r="AC737" s="165">
        <f>IFERROR(IF(BetTable[Sport]="","",BetTable[R1]/BetTable[TS]),"")</f>
        <v>0.93999999999999984</v>
      </c>
      <c r="AD737" s="165" t="str">
        <f>IF(BetTable[O2]="","",#REF!/BetTable[TS])</f>
        <v/>
      </c>
      <c r="AE737" s="165" t="str">
        <f>IFERROR(IF(BetTable[Sport]="","",#REF!/BetTable[TS]),"")</f>
        <v/>
      </c>
      <c r="AF737" s="164">
        <f>IF(BetTable[Outcome]="Win",BetTable[WBA1-Commission],IF(BetTable[Outcome]="Win Half Stake",(BetTable[Stake]/2)+BetTable[WBA1-Commission]/2,IF(BetTable[Outcome]="Lose Half Stake",BetTable[Stake]/2,IF(BetTable[Outcome]="Lose",0,IF(BetTable[Outcome]="Void",BetTable[Stake],)))))</f>
        <v>52.379999999999995</v>
      </c>
      <c r="AG737" s="164">
        <f>IF(BetTable[Outcome2]="Win",BetTable[WBA2-Commission],IF(BetTable[Outcome2]="Win Half Stake",(BetTable[S2]/2)+BetTable[WBA2-Commission]/2,IF(BetTable[Outcome2]="Lose Half Stake",BetTable[S2]/2,IF(BetTable[Outcome2]="Lose",0,IF(BetTable[Outcome2]="Void",BetTable[S2],)))))</f>
        <v>0</v>
      </c>
      <c r="AH737" s="164">
        <f>IF(BetTable[Outcome3]="Win",BetTable[WBA3-Commission],IF(BetTable[Outcome3]="Win Half Stake",(BetTable[S3]/2)+BetTable[WBA3-Commission]/2,IF(BetTable[Outcome3]="Lose Half Stake",BetTable[S3]/2,IF(BetTable[Outcome3]="Lose",0,IF(BetTable[Outcome3]="Void",BetTable[S3],)))))</f>
        <v>0</v>
      </c>
      <c r="AI737" s="168">
        <f>IF(BetTable[Outcome]="",AI736,BetTable[Result]+AI736)</f>
        <v>1210.3772500000005</v>
      </c>
      <c r="AJ737" s="160"/>
    </row>
    <row r="738" spans="1:36" x14ac:dyDescent="0.2">
      <c r="A738" s="159" t="s">
        <v>1790</v>
      </c>
      <c r="B738" s="160" t="s">
        <v>7</v>
      </c>
      <c r="C738" s="161" t="s">
        <v>91</v>
      </c>
      <c r="D738" s="161"/>
      <c r="E738" s="161"/>
      <c r="F738" s="162"/>
      <c r="G738" s="162"/>
      <c r="H738" s="162"/>
      <c r="I738" s="160" t="s">
        <v>1882</v>
      </c>
      <c r="J738" s="163">
        <v>1.93</v>
      </c>
      <c r="K738" s="163"/>
      <c r="L738" s="163"/>
      <c r="M738" s="164">
        <v>41</v>
      </c>
      <c r="N738" s="164"/>
      <c r="O738" s="164"/>
      <c r="P738" s="159" t="s">
        <v>1524</v>
      </c>
      <c r="Q738" s="159" t="s">
        <v>503</v>
      </c>
      <c r="R738" s="159" t="s">
        <v>1983</v>
      </c>
      <c r="S738" s="165">
        <v>2.4633240467597201E-2</v>
      </c>
      <c r="T738" s="166" t="s">
        <v>382</v>
      </c>
      <c r="U738" s="166"/>
      <c r="V738" s="166"/>
      <c r="W738" s="167">
        <f>IF(BetTable[Sport]="","",BetTable[Stake]+BetTable[S2]+BetTable[S3])</f>
        <v>41</v>
      </c>
      <c r="X738" s="164">
        <f>IF(BetTable[Odds]="","",(BetTable[WBA1-Commission])-BetTable[TS])</f>
        <v>38.129999999999995</v>
      </c>
      <c r="Y738" s="168">
        <f>IF(BetTable[Outcome]="","",BetTable[WBA1]+BetTable[WBA2]+BetTable[WBA3]-BetTable[TS])</f>
        <v>-41</v>
      </c>
      <c r="Z738" s="164">
        <f>(((BetTable[Odds]-1)*BetTable[Stake])*(1-(BetTable[Comm %]))+BetTable[Stake])</f>
        <v>79.13</v>
      </c>
      <c r="AA738" s="164">
        <f>(((BetTable[O2]-1)*BetTable[S2])*(1-(BetTable[C% 2]))+BetTable[S2])</f>
        <v>0</v>
      </c>
      <c r="AB738" s="164">
        <f>(((BetTable[O3]-1)*BetTable[S3])*(1-(BetTable[C% 3]))+BetTable[S3])</f>
        <v>0</v>
      </c>
      <c r="AC738" s="165">
        <f>IFERROR(IF(BetTable[Sport]="","",BetTable[R1]/BetTable[TS]),"")</f>
        <v>0.92999999999999994</v>
      </c>
      <c r="AD738" s="165" t="str">
        <f>IF(BetTable[O2]="","",#REF!/BetTable[TS])</f>
        <v/>
      </c>
      <c r="AE738" s="165" t="str">
        <f>IFERROR(IF(BetTable[Sport]="","",#REF!/BetTable[TS]),"")</f>
        <v/>
      </c>
      <c r="AF738" s="164">
        <f>IF(BetTable[Outcome]="Win",BetTable[WBA1-Commission],IF(BetTable[Outcome]="Win Half Stake",(BetTable[Stake]/2)+BetTable[WBA1-Commission]/2,IF(BetTable[Outcome]="Lose Half Stake",BetTable[Stake]/2,IF(BetTable[Outcome]="Lose",0,IF(BetTable[Outcome]="Void",BetTable[Stake],)))))</f>
        <v>0</v>
      </c>
      <c r="AG738" s="164">
        <f>IF(BetTable[Outcome2]="Win",BetTable[WBA2-Commission],IF(BetTable[Outcome2]="Win Half Stake",(BetTable[S2]/2)+BetTable[WBA2-Commission]/2,IF(BetTable[Outcome2]="Lose Half Stake",BetTable[S2]/2,IF(BetTable[Outcome2]="Lose",0,IF(BetTable[Outcome2]="Void",BetTable[S2],)))))</f>
        <v>0</v>
      </c>
      <c r="AH738" s="164">
        <f>IF(BetTable[Outcome3]="Win",BetTable[WBA3-Commission],IF(BetTable[Outcome3]="Win Half Stake",(BetTable[S3]/2)+BetTable[WBA3-Commission]/2,IF(BetTable[Outcome3]="Lose Half Stake",BetTable[S3]/2,IF(BetTable[Outcome3]="Lose",0,IF(BetTable[Outcome3]="Void",BetTable[S3],)))))</f>
        <v>0</v>
      </c>
      <c r="AI738" s="168">
        <f>IF(BetTable[Outcome]="",AI737,BetTable[Result]+AI737)</f>
        <v>1169.3772500000005</v>
      </c>
      <c r="AJ738" s="160"/>
    </row>
    <row r="739" spans="1:36" x14ac:dyDescent="0.2">
      <c r="A739" s="159" t="s">
        <v>1790</v>
      </c>
      <c r="B739" s="160" t="s">
        <v>200</v>
      </c>
      <c r="C739" s="161" t="s">
        <v>1714</v>
      </c>
      <c r="D739" s="161"/>
      <c r="E739" s="161"/>
      <c r="F739" s="162"/>
      <c r="G739" s="162"/>
      <c r="H739" s="162"/>
      <c r="I739" s="160" t="s">
        <v>1984</v>
      </c>
      <c r="J739" s="163">
        <v>3.55</v>
      </c>
      <c r="K739" s="163"/>
      <c r="L739" s="163"/>
      <c r="M739" s="164">
        <v>23</v>
      </c>
      <c r="N739" s="164"/>
      <c r="O739" s="164"/>
      <c r="P739" s="159" t="s">
        <v>428</v>
      </c>
      <c r="Q739" s="159" t="s">
        <v>1985</v>
      </c>
      <c r="R739" s="159" t="s">
        <v>1986</v>
      </c>
      <c r="S739" s="165">
        <v>3.7596965423172299E-2</v>
      </c>
      <c r="T739" s="166" t="s">
        <v>372</v>
      </c>
      <c r="U739" s="166"/>
      <c r="V739" s="166"/>
      <c r="W739" s="167">
        <f>IF(BetTable[Sport]="","",BetTable[Stake]+BetTable[S2]+BetTable[S3])</f>
        <v>23</v>
      </c>
      <c r="X739" s="164">
        <f>IF(BetTable[Odds]="","",(BetTable[WBA1-Commission])-BetTable[TS])</f>
        <v>58.650000000000006</v>
      </c>
      <c r="Y739" s="168">
        <f>IF(BetTable[Outcome]="","",BetTable[WBA1]+BetTable[WBA2]+BetTable[WBA3]-BetTable[TS])</f>
        <v>58.650000000000006</v>
      </c>
      <c r="Z739" s="164">
        <f>(((BetTable[Odds]-1)*BetTable[Stake])*(1-(BetTable[Comm %]))+BetTable[Stake])</f>
        <v>81.650000000000006</v>
      </c>
      <c r="AA739" s="164">
        <f>(((BetTable[O2]-1)*BetTable[S2])*(1-(BetTable[C% 2]))+BetTable[S2])</f>
        <v>0</v>
      </c>
      <c r="AB739" s="164">
        <f>(((BetTable[O3]-1)*BetTable[S3])*(1-(BetTable[C% 3]))+BetTable[S3])</f>
        <v>0</v>
      </c>
      <c r="AC739" s="165">
        <f>IFERROR(IF(BetTable[Sport]="","",BetTable[R1]/BetTable[TS]),"")</f>
        <v>2.5500000000000003</v>
      </c>
      <c r="AD739" s="165" t="str">
        <f>IF(BetTable[O2]="","",#REF!/BetTable[TS])</f>
        <v/>
      </c>
      <c r="AE739" s="165" t="str">
        <f>IFERROR(IF(BetTable[Sport]="","",#REF!/BetTable[TS]),"")</f>
        <v/>
      </c>
      <c r="AF739" s="164">
        <f>IF(BetTable[Outcome]="Win",BetTable[WBA1-Commission],IF(BetTable[Outcome]="Win Half Stake",(BetTable[Stake]/2)+BetTable[WBA1-Commission]/2,IF(BetTable[Outcome]="Lose Half Stake",BetTable[Stake]/2,IF(BetTable[Outcome]="Lose",0,IF(BetTable[Outcome]="Void",BetTable[Stake],)))))</f>
        <v>81.650000000000006</v>
      </c>
      <c r="AG739" s="164">
        <f>IF(BetTable[Outcome2]="Win",BetTable[WBA2-Commission],IF(BetTable[Outcome2]="Win Half Stake",(BetTable[S2]/2)+BetTable[WBA2-Commission]/2,IF(BetTable[Outcome2]="Lose Half Stake",BetTable[S2]/2,IF(BetTable[Outcome2]="Lose",0,IF(BetTable[Outcome2]="Void",BetTable[S2],)))))</f>
        <v>0</v>
      </c>
      <c r="AH739" s="164">
        <f>IF(BetTable[Outcome3]="Win",BetTable[WBA3-Commission],IF(BetTable[Outcome3]="Win Half Stake",(BetTable[S3]/2)+BetTable[WBA3-Commission]/2,IF(BetTable[Outcome3]="Lose Half Stake",BetTable[S3]/2,IF(BetTable[Outcome3]="Lose",0,IF(BetTable[Outcome3]="Void",BetTable[S3],)))))</f>
        <v>0</v>
      </c>
      <c r="AI739" s="168">
        <f>IF(BetTable[Outcome]="",AI738,BetTable[Result]+AI738)</f>
        <v>1228.0272500000005</v>
      </c>
      <c r="AJ739" s="160"/>
    </row>
    <row r="740" spans="1:36" x14ac:dyDescent="0.2">
      <c r="A740" s="159" t="s">
        <v>1790</v>
      </c>
      <c r="B740" s="160" t="s">
        <v>200</v>
      </c>
      <c r="C740" s="161" t="s">
        <v>1714</v>
      </c>
      <c r="D740" s="161"/>
      <c r="E740" s="161"/>
      <c r="F740" s="162"/>
      <c r="G740" s="162"/>
      <c r="H740" s="162"/>
      <c r="I740" s="160" t="s">
        <v>1987</v>
      </c>
      <c r="J740" s="163">
        <v>2.25</v>
      </c>
      <c r="K740" s="163"/>
      <c r="L740" s="163"/>
      <c r="M740" s="164">
        <v>33</v>
      </c>
      <c r="N740" s="164"/>
      <c r="O740" s="164"/>
      <c r="P740" s="159" t="s">
        <v>360</v>
      </c>
      <c r="Q740" s="159" t="s">
        <v>495</v>
      </c>
      <c r="R740" s="159" t="s">
        <v>1988</v>
      </c>
      <c r="S740" s="165">
        <v>2.6310989138624698E-2</v>
      </c>
      <c r="T740" s="166" t="s">
        <v>372</v>
      </c>
      <c r="U740" s="166"/>
      <c r="V740" s="166"/>
      <c r="W740" s="167">
        <f>IF(BetTable[Sport]="","",BetTable[Stake]+BetTable[S2]+BetTable[S3])</f>
        <v>33</v>
      </c>
      <c r="X740" s="164">
        <f>IF(BetTable[Odds]="","",(BetTable[WBA1-Commission])-BetTable[TS])</f>
        <v>41.25</v>
      </c>
      <c r="Y740" s="168">
        <f>IF(BetTable[Outcome]="","",BetTable[WBA1]+BetTable[WBA2]+BetTable[WBA3]-BetTable[TS])</f>
        <v>41.25</v>
      </c>
      <c r="Z740" s="164">
        <f>(((BetTable[Odds]-1)*BetTable[Stake])*(1-(BetTable[Comm %]))+BetTable[Stake])</f>
        <v>74.25</v>
      </c>
      <c r="AA740" s="164">
        <f>(((BetTable[O2]-1)*BetTable[S2])*(1-(BetTable[C% 2]))+BetTable[S2])</f>
        <v>0</v>
      </c>
      <c r="AB740" s="164">
        <f>(((BetTable[O3]-1)*BetTable[S3])*(1-(BetTable[C% 3]))+BetTable[S3])</f>
        <v>0</v>
      </c>
      <c r="AC740" s="165">
        <f>IFERROR(IF(BetTable[Sport]="","",BetTable[R1]/BetTable[TS]),"")</f>
        <v>1.25</v>
      </c>
      <c r="AD740" s="165" t="str">
        <f>IF(BetTable[O2]="","",#REF!/BetTable[TS])</f>
        <v/>
      </c>
      <c r="AE740" s="165" t="str">
        <f>IFERROR(IF(BetTable[Sport]="","",#REF!/BetTable[TS]),"")</f>
        <v/>
      </c>
      <c r="AF740" s="164">
        <f>IF(BetTable[Outcome]="Win",BetTable[WBA1-Commission],IF(BetTable[Outcome]="Win Half Stake",(BetTable[Stake]/2)+BetTable[WBA1-Commission]/2,IF(BetTable[Outcome]="Lose Half Stake",BetTable[Stake]/2,IF(BetTable[Outcome]="Lose",0,IF(BetTable[Outcome]="Void",BetTable[Stake],)))))</f>
        <v>74.25</v>
      </c>
      <c r="AG740" s="164">
        <f>IF(BetTable[Outcome2]="Win",BetTable[WBA2-Commission],IF(BetTable[Outcome2]="Win Half Stake",(BetTable[S2]/2)+BetTable[WBA2-Commission]/2,IF(BetTable[Outcome2]="Lose Half Stake",BetTable[S2]/2,IF(BetTable[Outcome2]="Lose",0,IF(BetTable[Outcome2]="Void",BetTable[S2],)))))</f>
        <v>0</v>
      </c>
      <c r="AH740" s="164">
        <f>IF(BetTable[Outcome3]="Win",BetTable[WBA3-Commission],IF(BetTable[Outcome3]="Win Half Stake",(BetTable[S3]/2)+BetTable[WBA3-Commission]/2,IF(BetTable[Outcome3]="Lose Half Stake",BetTable[S3]/2,IF(BetTable[Outcome3]="Lose",0,IF(BetTable[Outcome3]="Void",BetTable[S3],)))))</f>
        <v>0</v>
      </c>
      <c r="AI740" s="168">
        <f>IF(BetTable[Outcome]="",AI739,BetTable[Result]+AI739)</f>
        <v>1269.2772500000005</v>
      </c>
      <c r="AJ740" s="160"/>
    </row>
    <row r="741" spans="1:36" x14ac:dyDescent="0.2">
      <c r="A741" s="159" t="s">
        <v>1790</v>
      </c>
      <c r="B741" s="160" t="s">
        <v>200</v>
      </c>
      <c r="C741" s="161" t="s">
        <v>1714</v>
      </c>
      <c r="D741" s="161"/>
      <c r="E741" s="161"/>
      <c r="F741" s="162"/>
      <c r="G741" s="162"/>
      <c r="H741" s="162"/>
      <c r="I741" s="160" t="s">
        <v>1989</v>
      </c>
      <c r="J741" s="163">
        <v>2.95</v>
      </c>
      <c r="K741" s="163"/>
      <c r="L741" s="163"/>
      <c r="M741" s="164">
        <v>16</v>
      </c>
      <c r="N741" s="164"/>
      <c r="O741" s="164"/>
      <c r="P741" s="159" t="s">
        <v>494</v>
      </c>
      <c r="Q741" s="159" t="s">
        <v>703</v>
      </c>
      <c r="R741" s="159" t="s">
        <v>1990</v>
      </c>
      <c r="S741" s="165">
        <v>1.9989447302466601E-2</v>
      </c>
      <c r="T741" s="166" t="s">
        <v>372</v>
      </c>
      <c r="U741" s="166"/>
      <c r="V741" s="166"/>
      <c r="W741" s="167">
        <f>IF(BetTable[Sport]="","",BetTable[Stake]+BetTable[S2]+BetTable[S3])</f>
        <v>16</v>
      </c>
      <c r="X741" s="164">
        <f>IF(BetTable[Odds]="","",(BetTable[WBA1-Commission])-BetTable[TS])</f>
        <v>31.200000000000003</v>
      </c>
      <c r="Y741" s="168">
        <f>IF(BetTable[Outcome]="","",BetTable[WBA1]+BetTable[WBA2]+BetTable[WBA3]-BetTable[TS])</f>
        <v>31.200000000000003</v>
      </c>
      <c r="Z741" s="164">
        <f>(((BetTable[Odds]-1)*BetTable[Stake])*(1-(BetTable[Comm %]))+BetTable[Stake])</f>
        <v>47.2</v>
      </c>
      <c r="AA741" s="164">
        <f>(((BetTable[O2]-1)*BetTable[S2])*(1-(BetTable[C% 2]))+BetTable[S2])</f>
        <v>0</v>
      </c>
      <c r="AB741" s="164">
        <f>(((BetTable[O3]-1)*BetTable[S3])*(1-(BetTable[C% 3]))+BetTable[S3])</f>
        <v>0</v>
      </c>
      <c r="AC741" s="165">
        <f>IFERROR(IF(BetTable[Sport]="","",BetTable[R1]/BetTable[TS]),"")</f>
        <v>1.9500000000000002</v>
      </c>
      <c r="AD741" s="165" t="str">
        <f>IF(BetTable[O2]="","",#REF!/BetTable[TS])</f>
        <v/>
      </c>
      <c r="AE741" s="165" t="str">
        <f>IFERROR(IF(BetTable[Sport]="","",#REF!/BetTable[TS]),"")</f>
        <v/>
      </c>
      <c r="AF741" s="164">
        <f>IF(BetTable[Outcome]="Win",BetTable[WBA1-Commission],IF(BetTable[Outcome]="Win Half Stake",(BetTable[Stake]/2)+BetTable[WBA1-Commission]/2,IF(BetTable[Outcome]="Lose Half Stake",BetTable[Stake]/2,IF(BetTable[Outcome]="Lose",0,IF(BetTable[Outcome]="Void",BetTable[Stake],)))))</f>
        <v>47.2</v>
      </c>
      <c r="AG741" s="164">
        <f>IF(BetTable[Outcome2]="Win",BetTable[WBA2-Commission],IF(BetTable[Outcome2]="Win Half Stake",(BetTable[S2]/2)+BetTable[WBA2-Commission]/2,IF(BetTable[Outcome2]="Lose Half Stake",BetTable[S2]/2,IF(BetTable[Outcome2]="Lose",0,IF(BetTable[Outcome2]="Void",BetTable[S2],)))))</f>
        <v>0</v>
      </c>
      <c r="AH741" s="164">
        <f>IF(BetTable[Outcome3]="Win",BetTable[WBA3-Commission],IF(BetTable[Outcome3]="Win Half Stake",(BetTable[S3]/2)+BetTable[WBA3-Commission]/2,IF(BetTable[Outcome3]="Lose Half Stake",BetTable[S3]/2,IF(BetTable[Outcome3]="Lose",0,IF(BetTable[Outcome3]="Void",BetTable[S3],)))))</f>
        <v>0</v>
      </c>
      <c r="AI741" s="168">
        <f>IF(BetTable[Outcome]="",AI740,BetTable[Result]+AI740)</f>
        <v>1300.4772500000006</v>
      </c>
      <c r="AJ741" s="160"/>
    </row>
    <row r="742" spans="1:36" x14ac:dyDescent="0.2">
      <c r="A742" s="159" t="s">
        <v>1790</v>
      </c>
      <c r="B742" s="160" t="s">
        <v>200</v>
      </c>
      <c r="C742" s="161" t="s">
        <v>91</v>
      </c>
      <c r="D742" s="161"/>
      <c r="E742" s="161"/>
      <c r="F742" s="162"/>
      <c r="G742" s="162"/>
      <c r="H742" s="162"/>
      <c r="I742" s="160" t="s">
        <v>1991</v>
      </c>
      <c r="J742" s="163">
        <v>1.9</v>
      </c>
      <c r="K742" s="163"/>
      <c r="L742" s="163"/>
      <c r="M742" s="164">
        <v>42</v>
      </c>
      <c r="N742" s="164"/>
      <c r="O742" s="164"/>
      <c r="P742" s="159" t="s">
        <v>351</v>
      </c>
      <c r="Q742" s="159" t="s">
        <v>503</v>
      </c>
      <c r="R742" s="159" t="s">
        <v>1992</v>
      </c>
      <c r="S742" s="165">
        <v>2.4294289450736101E-2</v>
      </c>
      <c r="T742" s="166" t="s">
        <v>382</v>
      </c>
      <c r="U742" s="166"/>
      <c r="V742" s="166"/>
      <c r="W742" s="167">
        <f>IF(BetTable[Sport]="","",BetTable[Stake]+BetTable[S2]+BetTable[S3])</f>
        <v>42</v>
      </c>
      <c r="X742" s="164">
        <f>IF(BetTable[Odds]="","",(BetTable[WBA1-Commission])-BetTable[TS])</f>
        <v>37.799999999999997</v>
      </c>
      <c r="Y742" s="168">
        <f>IF(BetTable[Outcome]="","",BetTable[WBA1]+BetTable[WBA2]+BetTable[WBA3]-BetTable[TS])</f>
        <v>-42</v>
      </c>
      <c r="Z742" s="164">
        <f>(((BetTable[Odds]-1)*BetTable[Stake])*(1-(BetTable[Comm %]))+BetTable[Stake])</f>
        <v>79.8</v>
      </c>
      <c r="AA742" s="164">
        <f>(((BetTable[O2]-1)*BetTable[S2])*(1-(BetTable[C% 2]))+BetTable[S2])</f>
        <v>0</v>
      </c>
      <c r="AB742" s="164">
        <f>(((BetTable[O3]-1)*BetTable[S3])*(1-(BetTable[C% 3]))+BetTable[S3])</f>
        <v>0</v>
      </c>
      <c r="AC742" s="165">
        <f>IFERROR(IF(BetTable[Sport]="","",BetTable[R1]/BetTable[TS]),"")</f>
        <v>0.89999999999999991</v>
      </c>
      <c r="AD742" s="165" t="str">
        <f>IF(BetTable[O2]="","",#REF!/BetTable[TS])</f>
        <v/>
      </c>
      <c r="AE742" s="165" t="str">
        <f>IFERROR(IF(BetTable[Sport]="","",#REF!/BetTable[TS]),"")</f>
        <v/>
      </c>
      <c r="AF742" s="164">
        <f>IF(BetTable[Outcome]="Win",BetTable[WBA1-Commission],IF(BetTable[Outcome]="Win Half Stake",(BetTable[Stake]/2)+BetTable[WBA1-Commission]/2,IF(BetTable[Outcome]="Lose Half Stake",BetTable[Stake]/2,IF(BetTable[Outcome]="Lose",0,IF(BetTable[Outcome]="Void",BetTable[Stake],)))))</f>
        <v>0</v>
      </c>
      <c r="AG742" s="164">
        <f>IF(BetTable[Outcome2]="Win",BetTable[WBA2-Commission],IF(BetTable[Outcome2]="Win Half Stake",(BetTable[S2]/2)+BetTable[WBA2-Commission]/2,IF(BetTable[Outcome2]="Lose Half Stake",BetTable[S2]/2,IF(BetTable[Outcome2]="Lose",0,IF(BetTable[Outcome2]="Void",BetTable[S2],)))))</f>
        <v>0</v>
      </c>
      <c r="AH742" s="164">
        <f>IF(BetTable[Outcome3]="Win",BetTable[WBA3-Commission],IF(BetTable[Outcome3]="Win Half Stake",(BetTable[S3]/2)+BetTable[WBA3-Commission]/2,IF(BetTable[Outcome3]="Lose Half Stake",BetTable[S3]/2,IF(BetTable[Outcome3]="Lose",0,IF(BetTable[Outcome3]="Void",BetTable[S3],)))))</f>
        <v>0</v>
      </c>
      <c r="AI742" s="168">
        <f>IF(BetTable[Outcome]="",AI741,BetTable[Result]+AI741)</f>
        <v>1258.4772500000006</v>
      </c>
      <c r="AJ742" s="160"/>
    </row>
    <row r="743" spans="1:36" x14ac:dyDescent="0.2">
      <c r="A743" s="159" t="s">
        <v>1790</v>
      </c>
      <c r="B743" s="160" t="s">
        <v>200</v>
      </c>
      <c r="C743" s="161" t="s">
        <v>1714</v>
      </c>
      <c r="D743" s="161"/>
      <c r="E743" s="161"/>
      <c r="F743" s="162"/>
      <c r="G743" s="162"/>
      <c r="H743" s="162"/>
      <c r="I743" s="160" t="s">
        <v>1993</v>
      </c>
      <c r="J743" s="163">
        <v>1.97</v>
      </c>
      <c r="K743" s="163"/>
      <c r="L743" s="163"/>
      <c r="M743" s="164">
        <v>27</v>
      </c>
      <c r="N743" s="164"/>
      <c r="O743" s="164"/>
      <c r="P743" s="159" t="s">
        <v>360</v>
      </c>
      <c r="Q743" s="159" t="s">
        <v>474</v>
      </c>
      <c r="R743" s="159" t="s">
        <v>1994</v>
      </c>
      <c r="S743" s="165">
        <v>1.7220459836244501E-2</v>
      </c>
      <c r="T743" s="166" t="s">
        <v>372</v>
      </c>
      <c r="U743" s="166"/>
      <c r="V743" s="166"/>
      <c r="W743" s="167">
        <f>IF(BetTable[Sport]="","",BetTable[Stake]+BetTable[S2]+BetTable[S3])</f>
        <v>27</v>
      </c>
      <c r="X743" s="164">
        <f>IF(BetTable[Odds]="","",(BetTable[WBA1-Commission])-BetTable[TS])</f>
        <v>26.189999999999998</v>
      </c>
      <c r="Y743" s="168">
        <f>IF(BetTable[Outcome]="","",BetTable[WBA1]+BetTable[WBA2]+BetTable[WBA3]-BetTable[TS])</f>
        <v>26.189999999999998</v>
      </c>
      <c r="Z743" s="164">
        <f>(((BetTable[Odds]-1)*BetTable[Stake])*(1-(BetTable[Comm %]))+BetTable[Stake])</f>
        <v>53.19</v>
      </c>
      <c r="AA743" s="164">
        <f>(((BetTable[O2]-1)*BetTable[S2])*(1-(BetTable[C% 2]))+BetTable[S2])</f>
        <v>0</v>
      </c>
      <c r="AB743" s="164">
        <f>(((BetTable[O3]-1)*BetTable[S3])*(1-(BetTable[C% 3]))+BetTable[S3])</f>
        <v>0</v>
      </c>
      <c r="AC743" s="165">
        <f>IFERROR(IF(BetTable[Sport]="","",BetTable[R1]/BetTable[TS]),"")</f>
        <v>0.96999999999999986</v>
      </c>
      <c r="AD743" s="165" t="str">
        <f>IF(BetTable[O2]="","",#REF!/BetTable[TS])</f>
        <v/>
      </c>
      <c r="AE743" s="165" t="str">
        <f>IFERROR(IF(BetTable[Sport]="","",#REF!/BetTable[TS]),"")</f>
        <v/>
      </c>
      <c r="AF743" s="164">
        <f>IF(BetTable[Outcome]="Win",BetTable[WBA1-Commission],IF(BetTable[Outcome]="Win Half Stake",(BetTable[Stake]/2)+BetTable[WBA1-Commission]/2,IF(BetTable[Outcome]="Lose Half Stake",BetTable[Stake]/2,IF(BetTable[Outcome]="Lose",0,IF(BetTable[Outcome]="Void",BetTable[Stake],)))))</f>
        <v>53.19</v>
      </c>
      <c r="AG743" s="164">
        <f>IF(BetTable[Outcome2]="Win",BetTable[WBA2-Commission],IF(BetTable[Outcome2]="Win Half Stake",(BetTable[S2]/2)+BetTable[WBA2-Commission]/2,IF(BetTable[Outcome2]="Lose Half Stake",BetTable[S2]/2,IF(BetTable[Outcome2]="Lose",0,IF(BetTable[Outcome2]="Void",BetTable[S2],)))))</f>
        <v>0</v>
      </c>
      <c r="AH743" s="164">
        <f>IF(BetTable[Outcome3]="Win",BetTable[WBA3-Commission],IF(BetTable[Outcome3]="Win Half Stake",(BetTable[S3]/2)+BetTable[WBA3-Commission]/2,IF(BetTable[Outcome3]="Lose Half Stake",BetTable[S3]/2,IF(BetTable[Outcome3]="Lose",0,IF(BetTable[Outcome3]="Void",BetTable[S3],)))))</f>
        <v>0</v>
      </c>
      <c r="AI743" s="168">
        <f>IF(BetTable[Outcome]="",AI742,BetTable[Result]+AI742)</f>
        <v>1284.6672500000006</v>
      </c>
      <c r="AJ743" s="160"/>
    </row>
    <row r="744" spans="1:36" x14ac:dyDescent="0.2">
      <c r="A744" s="159" t="s">
        <v>1790</v>
      </c>
      <c r="B744" s="160" t="s">
        <v>200</v>
      </c>
      <c r="C744" s="161" t="s">
        <v>91</v>
      </c>
      <c r="D744" s="161"/>
      <c r="E744" s="161"/>
      <c r="F744" s="162"/>
      <c r="G744" s="162"/>
      <c r="H744" s="162"/>
      <c r="I744" s="160" t="s">
        <v>1995</v>
      </c>
      <c r="J744" s="163">
        <v>1.89</v>
      </c>
      <c r="K744" s="163"/>
      <c r="L744" s="163"/>
      <c r="M744" s="164">
        <v>28</v>
      </c>
      <c r="N744" s="164"/>
      <c r="O744" s="164"/>
      <c r="P744" s="159" t="s">
        <v>791</v>
      </c>
      <c r="Q744" s="159" t="s">
        <v>552</v>
      </c>
      <c r="R744" s="159" t="s">
        <v>1996</v>
      </c>
      <c r="S744" s="165">
        <v>2.2170855639234099E-2</v>
      </c>
      <c r="T744" s="166" t="s">
        <v>382</v>
      </c>
      <c r="U744" s="166"/>
      <c r="V744" s="166"/>
      <c r="W744" s="167">
        <f>IF(BetTable[Sport]="","",BetTable[Stake]+BetTable[S2]+BetTable[S3])</f>
        <v>28</v>
      </c>
      <c r="X744" s="164">
        <f>IF(BetTable[Odds]="","",(BetTable[WBA1-Commission])-BetTable[TS])</f>
        <v>24.92</v>
      </c>
      <c r="Y744" s="168">
        <f>IF(BetTable[Outcome]="","",BetTable[WBA1]+BetTable[WBA2]+BetTable[WBA3]-BetTable[TS])</f>
        <v>-28</v>
      </c>
      <c r="Z744" s="164">
        <f>(((BetTable[Odds]-1)*BetTable[Stake])*(1-(BetTable[Comm %]))+BetTable[Stake])</f>
        <v>52.92</v>
      </c>
      <c r="AA744" s="164">
        <f>(((BetTable[O2]-1)*BetTable[S2])*(1-(BetTable[C% 2]))+BetTable[S2])</f>
        <v>0</v>
      </c>
      <c r="AB744" s="164">
        <f>(((BetTable[O3]-1)*BetTable[S3])*(1-(BetTable[C% 3]))+BetTable[S3])</f>
        <v>0</v>
      </c>
      <c r="AC744" s="165">
        <f>IFERROR(IF(BetTable[Sport]="","",BetTable[R1]/BetTable[TS]),"")</f>
        <v>0.89</v>
      </c>
      <c r="AD744" s="165" t="str">
        <f>IF(BetTable[O2]="","",#REF!/BetTable[TS])</f>
        <v/>
      </c>
      <c r="AE744" s="165" t="str">
        <f>IFERROR(IF(BetTable[Sport]="","",#REF!/BetTable[TS]),"")</f>
        <v/>
      </c>
      <c r="AF744" s="164">
        <f>IF(BetTable[Outcome]="Win",BetTable[WBA1-Commission],IF(BetTable[Outcome]="Win Half Stake",(BetTable[Stake]/2)+BetTable[WBA1-Commission]/2,IF(BetTable[Outcome]="Lose Half Stake",BetTable[Stake]/2,IF(BetTable[Outcome]="Lose",0,IF(BetTable[Outcome]="Void",BetTable[Stake],)))))</f>
        <v>0</v>
      </c>
      <c r="AG744" s="164">
        <f>IF(BetTable[Outcome2]="Win",BetTable[WBA2-Commission],IF(BetTable[Outcome2]="Win Half Stake",(BetTable[S2]/2)+BetTable[WBA2-Commission]/2,IF(BetTable[Outcome2]="Lose Half Stake",BetTable[S2]/2,IF(BetTable[Outcome2]="Lose",0,IF(BetTable[Outcome2]="Void",BetTable[S2],)))))</f>
        <v>0</v>
      </c>
      <c r="AH744" s="164">
        <f>IF(BetTable[Outcome3]="Win",BetTable[WBA3-Commission],IF(BetTable[Outcome3]="Win Half Stake",(BetTable[S3]/2)+BetTable[WBA3-Commission]/2,IF(BetTable[Outcome3]="Lose Half Stake",BetTable[S3]/2,IF(BetTable[Outcome3]="Lose",0,IF(BetTable[Outcome3]="Void",BetTable[S3],)))))</f>
        <v>0</v>
      </c>
      <c r="AI744" s="168">
        <f>IF(BetTable[Outcome]="",AI743,BetTable[Result]+AI743)</f>
        <v>1256.6672500000006</v>
      </c>
      <c r="AJ744" s="160"/>
    </row>
    <row r="745" spans="1:36" x14ac:dyDescent="0.2">
      <c r="A745" s="159" t="s">
        <v>1790</v>
      </c>
      <c r="B745" s="160" t="s">
        <v>7</v>
      </c>
      <c r="C745" s="161" t="s">
        <v>216</v>
      </c>
      <c r="D745" s="161"/>
      <c r="E745" s="161"/>
      <c r="F745" s="162"/>
      <c r="G745" s="162"/>
      <c r="H745" s="162"/>
      <c r="I745" s="160" t="s">
        <v>1997</v>
      </c>
      <c r="J745" s="163">
        <v>1.909</v>
      </c>
      <c r="K745" s="163"/>
      <c r="L745" s="163"/>
      <c r="M745" s="164">
        <v>55</v>
      </c>
      <c r="N745" s="164"/>
      <c r="O745" s="164"/>
      <c r="P745" s="159" t="s">
        <v>1998</v>
      </c>
      <c r="Q745" s="159" t="s">
        <v>488</v>
      </c>
      <c r="R745" s="159" t="s">
        <v>1999</v>
      </c>
      <c r="S745" s="165">
        <v>6.5675566774409805E-2</v>
      </c>
      <c r="T745" s="166" t="s">
        <v>372</v>
      </c>
      <c r="U745" s="166"/>
      <c r="V745" s="166"/>
      <c r="W745" s="167">
        <f>IF(BetTable[Sport]="","",BetTable[Stake]+BetTable[S2]+BetTable[S3])</f>
        <v>55</v>
      </c>
      <c r="X745" s="164">
        <f>IF(BetTable[Odds]="","",(BetTable[WBA1-Commission])-BetTable[TS])</f>
        <v>49.995000000000005</v>
      </c>
      <c r="Y745" s="168">
        <f>IF(BetTable[Outcome]="","",BetTable[WBA1]+BetTable[WBA2]+BetTable[WBA3]-BetTable[TS])</f>
        <v>49.995000000000005</v>
      </c>
      <c r="Z745" s="164">
        <f>(((BetTable[Odds]-1)*BetTable[Stake])*(1-(BetTable[Comm %]))+BetTable[Stake])</f>
        <v>104.995</v>
      </c>
      <c r="AA745" s="164">
        <f>(((BetTable[O2]-1)*BetTable[S2])*(1-(BetTable[C% 2]))+BetTable[S2])</f>
        <v>0</v>
      </c>
      <c r="AB745" s="164">
        <f>(((BetTable[O3]-1)*BetTable[S3])*(1-(BetTable[C% 3]))+BetTable[S3])</f>
        <v>0</v>
      </c>
      <c r="AC745" s="165">
        <f>IFERROR(IF(BetTable[Sport]="","",BetTable[R1]/BetTable[TS]),"")</f>
        <v>0.90900000000000003</v>
      </c>
      <c r="AD745" s="165" t="str">
        <f>IF(BetTable[O2]="","",#REF!/BetTable[TS])</f>
        <v/>
      </c>
      <c r="AE745" s="165" t="str">
        <f>IFERROR(IF(BetTable[Sport]="","",#REF!/BetTable[TS]),"")</f>
        <v/>
      </c>
      <c r="AF745" s="164">
        <f>IF(BetTable[Outcome]="Win",BetTable[WBA1-Commission],IF(BetTable[Outcome]="Win Half Stake",(BetTable[Stake]/2)+BetTable[WBA1-Commission]/2,IF(BetTable[Outcome]="Lose Half Stake",BetTable[Stake]/2,IF(BetTable[Outcome]="Lose",0,IF(BetTable[Outcome]="Void",BetTable[Stake],)))))</f>
        <v>104.995</v>
      </c>
      <c r="AG745" s="164">
        <f>IF(BetTable[Outcome2]="Win",BetTable[WBA2-Commission],IF(BetTable[Outcome2]="Win Half Stake",(BetTable[S2]/2)+BetTable[WBA2-Commission]/2,IF(BetTable[Outcome2]="Lose Half Stake",BetTable[S2]/2,IF(BetTable[Outcome2]="Lose",0,IF(BetTable[Outcome2]="Void",BetTable[S2],)))))</f>
        <v>0</v>
      </c>
      <c r="AH745" s="164">
        <f>IF(BetTable[Outcome3]="Win",BetTable[WBA3-Commission],IF(BetTable[Outcome3]="Win Half Stake",(BetTable[S3]/2)+BetTable[WBA3-Commission]/2,IF(BetTable[Outcome3]="Lose Half Stake",BetTable[S3]/2,IF(BetTable[Outcome3]="Lose",0,IF(BetTable[Outcome3]="Void",BetTable[S3],)))))</f>
        <v>0</v>
      </c>
      <c r="AI745" s="168">
        <f>IF(BetTable[Outcome]="",AI744,BetTable[Result]+AI744)</f>
        <v>1306.6622500000008</v>
      </c>
      <c r="AJ745" s="160"/>
    </row>
    <row r="746" spans="1:36" x14ac:dyDescent="0.2">
      <c r="A746" s="159" t="s">
        <v>1790</v>
      </c>
      <c r="B746" s="160" t="s">
        <v>8</v>
      </c>
      <c r="C746" s="161" t="s">
        <v>216</v>
      </c>
      <c r="D746" s="161"/>
      <c r="E746" s="161"/>
      <c r="F746" s="162"/>
      <c r="G746" s="162"/>
      <c r="H746" s="162"/>
      <c r="I746" s="160" t="s">
        <v>2000</v>
      </c>
      <c r="J746" s="163">
        <v>1.345</v>
      </c>
      <c r="K746" s="163"/>
      <c r="L746" s="163"/>
      <c r="M746" s="164">
        <v>50</v>
      </c>
      <c r="N746" s="164"/>
      <c r="O746" s="164"/>
      <c r="P746" s="159" t="s">
        <v>428</v>
      </c>
      <c r="Q746" s="159" t="s">
        <v>503</v>
      </c>
      <c r="R746" s="159" t="s">
        <v>2001</v>
      </c>
      <c r="S746" s="165">
        <v>2.19978736185301E-2</v>
      </c>
      <c r="T746" s="166" t="s">
        <v>372</v>
      </c>
      <c r="U746" s="166"/>
      <c r="V746" s="166"/>
      <c r="W746" s="167">
        <f>IF(BetTable[Sport]="","",BetTable[Stake]+BetTable[S2]+BetTable[S3])</f>
        <v>50</v>
      </c>
      <c r="X746" s="164">
        <f>IF(BetTable[Odds]="","",(BetTable[WBA1-Commission])-BetTable[TS])</f>
        <v>17.25</v>
      </c>
      <c r="Y746" s="168">
        <f>IF(BetTable[Outcome]="","",BetTable[WBA1]+BetTable[WBA2]+BetTable[WBA3]-BetTable[TS])</f>
        <v>17.25</v>
      </c>
      <c r="Z746" s="164">
        <f>(((BetTable[Odds]-1)*BetTable[Stake])*(1-(BetTable[Comm %]))+BetTable[Stake])</f>
        <v>67.25</v>
      </c>
      <c r="AA746" s="164">
        <f>(((BetTable[O2]-1)*BetTable[S2])*(1-(BetTable[C% 2]))+BetTable[S2])</f>
        <v>0</v>
      </c>
      <c r="AB746" s="164">
        <f>(((BetTable[O3]-1)*BetTable[S3])*(1-(BetTable[C% 3]))+BetTable[S3])</f>
        <v>0</v>
      </c>
      <c r="AC746" s="165">
        <f>IFERROR(IF(BetTable[Sport]="","",BetTable[R1]/BetTable[TS]),"")</f>
        <v>0.34499999999999997</v>
      </c>
      <c r="AD746" s="165" t="str">
        <f>IF(BetTable[O2]="","",#REF!/BetTable[TS])</f>
        <v/>
      </c>
      <c r="AE746" s="165" t="str">
        <f>IFERROR(IF(BetTable[Sport]="","",#REF!/BetTable[TS]),"")</f>
        <v/>
      </c>
      <c r="AF746" s="164">
        <f>IF(BetTable[Outcome]="Win",BetTable[WBA1-Commission],IF(BetTable[Outcome]="Win Half Stake",(BetTable[Stake]/2)+BetTable[WBA1-Commission]/2,IF(BetTable[Outcome]="Lose Half Stake",BetTable[Stake]/2,IF(BetTable[Outcome]="Lose",0,IF(BetTable[Outcome]="Void",BetTable[Stake],)))))</f>
        <v>67.25</v>
      </c>
      <c r="AG746" s="164">
        <f>IF(BetTable[Outcome2]="Win",BetTable[WBA2-Commission],IF(BetTable[Outcome2]="Win Half Stake",(BetTable[S2]/2)+BetTable[WBA2-Commission]/2,IF(BetTable[Outcome2]="Lose Half Stake",BetTable[S2]/2,IF(BetTable[Outcome2]="Lose",0,IF(BetTable[Outcome2]="Void",BetTable[S2],)))))</f>
        <v>0</v>
      </c>
      <c r="AH746" s="164">
        <f>IF(BetTable[Outcome3]="Win",BetTable[WBA3-Commission],IF(BetTable[Outcome3]="Win Half Stake",(BetTable[S3]/2)+BetTable[WBA3-Commission]/2,IF(BetTable[Outcome3]="Lose Half Stake",BetTable[S3]/2,IF(BetTable[Outcome3]="Lose",0,IF(BetTable[Outcome3]="Void",BetTable[S3],)))))</f>
        <v>0</v>
      </c>
      <c r="AI746" s="168">
        <f>IF(BetTable[Outcome]="",AI745,BetTable[Result]+AI745)</f>
        <v>1323.9122500000008</v>
      </c>
      <c r="AJ746" s="160"/>
    </row>
    <row r="747" spans="1:36" x14ac:dyDescent="0.2">
      <c r="A747" s="159" t="s">
        <v>1790</v>
      </c>
      <c r="B747" s="160" t="s">
        <v>200</v>
      </c>
      <c r="C747" s="161" t="s">
        <v>1714</v>
      </c>
      <c r="D747" s="161"/>
      <c r="E747" s="161"/>
      <c r="F747" s="162"/>
      <c r="G747" s="162"/>
      <c r="H747" s="162"/>
      <c r="I747" s="160" t="s">
        <v>2002</v>
      </c>
      <c r="J747" s="163">
        <v>1.53</v>
      </c>
      <c r="K747" s="163"/>
      <c r="L747" s="163"/>
      <c r="M747" s="164">
        <v>82</v>
      </c>
      <c r="N747" s="164"/>
      <c r="O747" s="164"/>
      <c r="P747" s="159" t="s">
        <v>668</v>
      </c>
      <c r="Q747" s="159" t="s">
        <v>488</v>
      </c>
      <c r="R747" s="159" t="s">
        <v>2003</v>
      </c>
      <c r="S747" s="165">
        <v>5.4453611348140002E-2</v>
      </c>
      <c r="T747" s="166" t="s">
        <v>383</v>
      </c>
      <c r="U747" s="166"/>
      <c r="V747" s="166"/>
      <c r="W747" s="167">
        <f>IF(BetTable[Sport]="","",BetTable[Stake]+BetTable[S2]+BetTable[S3])</f>
        <v>82</v>
      </c>
      <c r="X747" s="164">
        <f>IF(BetTable[Odds]="","",(BetTable[WBA1-Commission])-BetTable[TS])</f>
        <v>43.460000000000008</v>
      </c>
      <c r="Y747" s="168">
        <f>IF(BetTable[Outcome]="","",BetTable[WBA1]+BetTable[WBA2]+BetTable[WBA3]-BetTable[TS])</f>
        <v>0</v>
      </c>
      <c r="Z747" s="164">
        <f>(((BetTable[Odds]-1)*BetTable[Stake])*(1-(BetTable[Comm %]))+BetTable[Stake])</f>
        <v>125.46000000000001</v>
      </c>
      <c r="AA747" s="164">
        <f>(((BetTable[O2]-1)*BetTable[S2])*(1-(BetTable[C% 2]))+BetTable[S2])</f>
        <v>0</v>
      </c>
      <c r="AB747" s="164">
        <f>(((BetTable[O3]-1)*BetTable[S3])*(1-(BetTable[C% 3]))+BetTable[S3])</f>
        <v>0</v>
      </c>
      <c r="AC747" s="165">
        <f>IFERROR(IF(BetTable[Sport]="","",BetTable[R1]/BetTable[TS]),"")</f>
        <v>0.53000000000000014</v>
      </c>
      <c r="AD747" s="165" t="str">
        <f>IF(BetTable[O2]="","",#REF!/BetTable[TS])</f>
        <v/>
      </c>
      <c r="AE747" s="165" t="str">
        <f>IFERROR(IF(BetTable[Sport]="","",#REF!/BetTable[TS]),"")</f>
        <v/>
      </c>
      <c r="AF747" s="164">
        <f>IF(BetTable[Outcome]="Win",BetTable[WBA1-Commission],IF(BetTable[Outcome]="Win Half Stake",(BetTable[Stake]/2)+BetTable[WBA1-Commission]/2,IF(BetTable[Outcome]="Lose Half Stake",BetTable[Stake]/2,IF(BetTable[Outcome]="Lose",0,IF(BetTable[Outcome]="Void",BetTable[Stake],)))))</f>
        <v>82</v>
      </c>
      <c r="AG747" s="164">
        <f>IF(BetTable[Outcome2]="Win",BetTable[WBA2-Commission],IF(BetTable[Outcome2]="Win Half Stake",(BetTable[S2]/2)+BetTable[WBA2-Commission]/2,IF(BetTable[Outcome2]="Lose Half Stake",BetTable[S2]/2,IF(BetTable[Outcome2]="Lose",0,IF(BetTable[Outcome2]="Void",BetTable[S2],)))))</f>
        <v>0</v>
      </c>
      <c r="AH747" s="164">
        <f>IF(BetTable[Outcome3]="Win",BetTable[WBA3-Commission],IF(BetTable[Outcome3]="Win Half Stake",(BetTable[S3]/2)+BetTable[WBA3-Commission]/2,IF(BetTable[Outcome3]="Lose Half Stake",BetTable[S3]/2,IF(BetTable[Outcome3]="Lose",0,IF(BetTable[Outcome3]="Void",BetTable[S3],)))))</f>
        <v>0</v>
      </c>
      <c r="AI747" s="168">
        <f>IF(BetTable[Outcome]="",AI746,BetTable[Result]+AI746)</f>
        <v>1323.9122500000008</v>
      </c>
      <c r="AJ747" s="160"/>
    </row>
    <row r="748" spans="1:36" x14ac:dyDescent="0.2">
      <c r="A748" s="159" t="s">
        <v>1790</v>
      </c>
      <c r="B748" s="160" t="s">
        <v>200</v>
      </c>
      <c r="C748" s="161" t="s">
        <v>1714</v>
      </c>
      <c r="D748" s="161"/>
      <c r="E748" s="161"/>
      <c r="F748" s="162"/>
      <c r="G748" s="162"/>
      <c r="H748" s="162"/>
      <c r="I748" s="160" t="s">
        <v>2004</v>
      </c>
      <c r="J748" s="163">
        <v>1.8</v>
      </c>
      <c r="K748" s="163"/>
      <c r="L748" s="163"/>
      <c r="M748" s="164">
        <v>27</v>
      </c>
      <c r="N748" s="164"/>
      <c r="O748" s="164"/>
      <c r="P748" s="159" t="s">
        <v>508</v>
      </c>
      <c r="Q748" s="159" t="s">
        <v>503</v>
      </c>
      <c r="R748" s="159" t="s">
        <v>2005</v>
      </c>
      <c r="S748" s="165">
        <v>1.40262177824153E-2</v>
      </c>
      <c r="T748" s="166" t="s">
        <v>372</v>
      </c>
      <c r="U748" s="166"/>
      <c r="V748" s="166"/>
      <c r="W748" s="167">
        <f>IF(BetTable[Sport]="","",BetTable[Stake]+BetTable[S2]+BetTable[S3])</f>
        <v>27</v>
      </c>
      <c r="X748" s="164">
        <f>IF(BetTable[Odds]="","",(BetTable[WBA1-Commission])-BetTable[TS])</f>
        <v>21.6</v>
      </c>
      <c r="Y748" s="168">
        <f>IF(BetTable[Outcome]="","",BetTable[WBA1]+BetTable[WBA2]+BetTable[WBA3]-BetTable[TS])</f>
        <v>21.6</v>
      </c>
      <c r="Z748" s="164">
        <f>(((BetTable[Odds]-1)*BetTable[Stake])*(1-(BetTable[Comm %]))+BetTable[Stake])</f>
        <v>48.6</v>
      </c>
      <c r="AA748" s="164">
        <f>(((BetTable[O2]-1)*BetTable[S2])*(1-(BetTable[C% 2]))+BetTable[S2])</f>
        <v>0</v>
      </c>
      <c r="AB748" s="164">
        <f>(((BetTable[O3]-1)*BetTable[S3])*(1-(BetTable[C% 3]))+BetTable[S3])</f>
        <v>0</v>
      </c>
      <c r="AC748" s="165">
        <f>IFERROR(IF(BetTable[Sport]="","",BetTable[R1]/BetTable[TS]),"")</f>
        <v>0.8</v>
      </c>
      <c r="AD748" s="165" t="str">
        <f>IF(BetTable[O2]="","",#REF!/BetTable[TS])</f>
        <v/>
      </c>
      <c r="AE748" s="165" t="str">
        <f>IFERROR(IF(BetTable[Sport]="","",#REF!/BetTable[TS]),"")</f>
        <v/>
      </c>
      <c r="AF748" s="164">
        <f>IF(BetTable[Outcome]="Win",BetTable[WBA1-Commission],IF(BetTable[Outcome]="Win Half Stake",(BetTable[Stake]/2)+BetTable[WBA1-Commission]/2,IF(BetTable[Outcome]="Lose Half Stake",BetTable[Stake]/2,IF(BetTable[Outcome]="Lose",0,IF(BetTable[Outcome]="Void",BetTable[Stake],)))))</f>
        <v>48.6</v>
      </c>
      <c r="AG748" s="164">
        <f>IF(BetTable[Outcome2]="Win",BetTable[WBA2-Commission],IF(BetTable[Outcome2]="Win Half Stake",(BetTable[S2]/2)+BetTable[WBA2-Commission]/2,IF(BetTable[Outcome2]="Lose Half Stake",BetTable[S2]/2,IF(BetTable[Outcome2]="Lose",0,IF(BetTable[Outcome2]="Void",BetTable[S2],)))))</f>
        <v>0</v>
      </c>
      <c r="AH748" s="164">
        <f>IF(BetTable[Outcome3]="Win",BetTable[WBA3-Commission],IF(BetTable[Outcome3]="Win Half Stake",(BetTable[S3]/2)+BetTable[WBA3-Commission]/2,IF(BetTable[Outcome3]="Lose Half Stake",BetTable[S3]/2,IF(BetTable[Outcome3]="Lose",0,IF(BetTable[Outcome3]="Void",BetTable[S3],)))))</f>
        <v>0</v>
      </c>
      <c r="AI748" s="168">
        <f>IF(BetTable[Outcome]="",AI747,BetTable[Result]+AI747)</f>
        <v>1345.5122500000007</v>
      </c>
      <c r="AJ748" s="160"/>
    </row>
    <row r="749" spans="1:36" x14ac:dyDescent="0.2">
      <c r="A749" s="159" t="s">
        <v>1790</v>
      </c>
      <c r="B749" s="160" t="s">
        <v>200</v>
      </c>
      <c r="C749" s="161" t="s">
        <v>1714</v>
      </c>
      <c r="D749" s="161"/>
      <c r="E749" s="161"/>
      <c r="F749" s="162"/>
      <c r="G749" s="162"/>
      <c r="H749" s="162"/>
      <c r="I749" s="160" t="s">
        <v>2006</v>
      </c>
      <c r="J749" s="163">
        <v>2</v>
      </c>
      <c r="K749" s="163"/>
      <c r="L749" s="163"/>
      <c r="M749" s="164">
        <v>45</v>
      </c>
      <c r="N749" s="164"/>
      <c r="O749" s="164"/>
      <c r="P749" s="159" t="s">
        <v>852</v>
      </c>
      <c r="Q749" s="159" t="s">
        <v>506</v>
      </c>
      <c r="R749" s="159" t="s">
        <v>2007</v>
      </c>
      <c r="S749" s="165">
        <v>2.9088336640322801E-2</v>
      </c>
      <c r="T749" s="166" t="s">
        <v>372</v>
      </c>
      <c r="U749" s="166"/>
      <c r="V749" s="166"/>
      <c r="W749" s="167">
        <f>IF(BetTable[Sport]="","",BetTable[Stake]+BetTable[S2]+BetTable[S3])</f>
        <v>45</v>
      </c>
      <c r="X749" s="164">
        <f>IF(BetTable[Odds]="","",(BetTable[WBA1-Commission])-BetTable[TS])</f>
        <v>45</v>
      </c>
      <c r="Y749" s="168">
        <f>IF(BetTable[Outcome]="","",BetTable[WBA1]+BetTable[WBA2]+BetTable[WBA3]-BetTable[TS])</f>
        <v>45</v>
      </c>
      <c r="Z749" s="164">
        <f>(((BetTable[Odds]-1)*BetTable[Stake])*(1-(BetTable[Comm %]))+BetTable[Stake])</f>
        <v>90</v>
      </c>
      <c r="AA749" s="164">
        <f>(((BetTable[O2]-1)*BetTable[S2])*(1-(BetTable[C% 2]))+BetTable[S2])</f>
        <v>0</v>
      </c>
      <c r="AB749" s="164">
        <f>(((BetTable[O3]-1)*BetTable[S3])*(1-(BetTable[C% 3]))+BetTable[S3])</f>
        <v>0</v>
      </c>
      <c r="AC749" s="165">
        <f>IFERROR(IF(BetTable[Sport]="","",BetTable[R1]/BetTable[TS]),"")</f>
        <v>1</v>
      </c>
      <c r="AD749" s="165" t="str">
        <f>IF(BetTable[O2]="","",#REF!/BetTable[TS])</f>
        <v/>
      </c>
      <c r="AE749" s="165" t="str">
        <f>IFERROR(IF(BetTable[Sport]="","",#REF!/BetTable[TS]),"")</f>
        <v/>
      </c>
      <c r="AF749" s="164">
        <f>IF(BetTable[Outcome]="Win",BetTable[WBA1-Commission],IF(BetTable[Outcome]="Win Half Stake",(BetTable[Stake]/2)+BetTable[WBA1-Commission]/2,IF(BetTable[Outcome]="Lose Half Stake",BetTable[Stake]/2,IF(BetTable[Outcome]="Lose",0,IF(BetTable[Outcome]="Void",BetTable[Stake],)))))</f>
        <v>90</v>
      </c>
      <c r="AG749" s="164">
        <f>IF(BetTable[Outcome2]="Win",BetTable[WBA2-Commission],IF(BetTable[Outcome2]="Win Half Stake",(BetTable[S2]/2)+BetTable[WBA2-Commission]/2,IF(BetTable[Outcome2]="Lose Half Stake",BetTable[S2]/2,IF(BetTable[Outcome2]="Lose",0,IF(BetTable[Outcome2]="Void",BetTable[S2],)))))</f>
        <v>0</v>
      </c>
      <c r="AH749" s="164">
        <f>IF(BetTable[Outcome3]="Win",BetTable[WBA3-Commission],IF(BetTable[Outcome3]="Win Half Stake",(BetTable[S3]/2)+BetTable[WBA3-Commission]/2,IF(BetTable[Outcome3]="Lose Half Stake",BetTable[S3]/2,IF(BetTable[Outcome3]="Lose",0,IF(BetTable[Outcome3]="Void",BetTable[S3],)))))</f>
        <v>0</v>
      </c>
      <c r="AI749" s="168">
        <f>IF(BetTable[Outcome]="",AI748,BetTable[Result]+AI748)</f>
        <v>1390.5122500000007</v>
      </c>
      <c r="AJ749" s="160"/>
    </row>
    <row r="750" spans="1:36" x14ac:dyDescent="0.2">
      <c r="A750" s="159" t="s">
        <v>1790</v>
      </c>
      <c r="B750" s="160" t="s">
        <v>7</v>
      </c>
      <c r="C750" s="161" t="s">
        <v>1714</v>
      </c>
      <c r="D750" s="161"/>
      <c r="E750" s="161"/>
      <c r="F750" s="162"/>
      <c r="G750" s="162"/>
      <c r="H750" s="162"/>
      <c r="I750" s="160" t="s">
        <v>2008</v>
      </c>
      <c r="J750" s="163">
        <v>1.84</v>
      </c>
      <c r="K750" s="163"/>
      <c r="L750" s="163"/>
      <c r="M750" s="164">
        <v>47</v>
      </c>
      <c r="N750" s="164"/>
      <c r="O750" s="164"/>
      <c r="P750" s="159" t="s">
        <v>1750</v>
      </c>
      <c r="Q750" s="159" t="s">
        <v>488</v>
      </c>
      <c r="R750" s="159" t="s">
        <v>2009</v>
      </c>
      <c r="S750" s="165">
        <v>2.52651941874623E-2</v>
      </c>
      <c r="T750" s="166" t="s">
        <v>372</v>
      </c>
      <c r="U750" s="166"/>
      <c r="V750" s="166"/>
      <c r="W750" s="167">
        <f>IF(BetTable[Sport]="","",BetTable[Stake]+BetTable[S2]+BetTable[S3])</f>
        <v>47</v>
      </c>
      <c r="X750" s="164">
        <f>IF(BetTable[Odds]="","",(BetTable[WBA1-Commission])-BetTable[TS])</f>
        <v>39.480000000000004</v>
      </c>
      <c r="Y750" s="168">
        <f>IF(BetTable[Outcome]="","",BetTable[WBA1]+BetTable[WBA2]+BetTable[WBA3]-BetTable[TS])</f>
        <v>39.480000000000004</v>
      </c>
      <c r="Z750" s="164">
        <f>(((BetTable[Odds]-1)*BetTable[Stake])*(1-(BetTable[Comm %]))+BetTable[Stake])</f>
        <v>86.48</v>
      </c>
      <c r="AA750" s="164">
        <f>(((BetTable[O2]-1)*BetTable[S2])*(1-(BetTable[C% 2]))+BetTable[S2])</f>
        <v>0</v>
      </c>
      <c r="AB750" s="164">
        <f>(((BetTable[O3]-1)*BetTable[S3])*(1-(BetTable[C% 3]))+BetTable[S3])</f>
        <v>0</v>
      </c>
      <c r="AC750" s="165">
        <f>IFERROR(IF(BetTable[Sport]="","",BetTable[R1]/BetTable[TS]),"")</f>
        <v>0.84000000000000008</v>
      </c>
      <c r="AD750" s="165" t="str">
        <f>IF(BetTable[O2]="","",#REF!/BetTable[TS])</f>
        <v/>
      </c>
      <c r="AE750" s="165" t="str">
        <f>IFERROR(IF(BetTable[Sport]="","",#REF!/BetTable[TS]),"")</f>
        <v/>
      </c>
      <c r="AF750" s="164">
        <f>IF(BetTable[Outcome]="Win",BetTable[WBA1-Commission],IF(BetTable[Outcome]="Win Half Stake",(BetTable[Stake]/2)+BetTable[WBA1-Commission]/2,IF(BetTable[Outcome]="Lose Half Stake",BetTable[Stake]/2,IF(BetTable[Outcome]="Lose",0,IF(BetTable[Outcome]="Void",BetTable[Stake],)))))</f>
        <v>86.48</v>
      </c>
      <c r="AG750" s="164">
        <f>IF(BetTable[Outcome2]="Win",BetTable[WBA2-Commission],IF(BetTable[Outcome2]="Win Half Stake",(BetTable[S2]/2)+BetTable[WBA2-Commission]/2,IF(BetTable[Outcome2]="Lose Half Stake",BetTable[S2]/2,IF(BetTable[Outcome2]="Lose",0,IF(BetTable[Outcome2]="Void",BetTable[S2],)))))</f>
        <v>0</v>
      </c>
      <c r="AH750" s="164">
        <f>IF(BetTable[Outcome3]="Win",BetTable[WBA3-Commission],IF(BetTable[Outcome3]="Win Half Stake",(BetTable[S3]/2)+BetTable[WBA3-Commission]/2,IF(BetTable[Outcome3]="Lose Half Stake",BetTable[S3]/2,IF(BetTable[Outcome3]="Lose",0,IF(BetTable[Outcome3]="Void",BetTable[S3],)))))</f>
        <v>0</v>
      </c>
      <c r="AI750" s="168">
        <f>IF(BetTable[Outcome]="",AI749,BetTable[Result]+AI749)</f>
        <v>1429.9922500000007</v>
      </c>
      <c r="AJ750" s="160"/>
    </row>
    <row r="751" spans="1:36" x14ac:dyDescent="0.2">
      <c r="A751" s="159" t="s">
        <v>1790</v>
      </c>
      <c r="B751" s="160" t="s">
        <v>7</v>
      </c>
      <c r="C751" s="161" t="s">
        <v>1714</v>
      </c>
      <c r="D751" s="161"/>
      <c r="E751" s="161"/>
      <c r="F751" s="162"/>
      <c r="G751" s="162"/>
      <c r="H751" s="162"/>
      <c r="I751" s="160" t="s">
        <v>2010</v>
      </c>
      <c r="J751" s="163">
        <v>1.86</v>
      </c>
      <c r="K751" s="163"/>
      <c r="L751" s="163"/>
      <c r="M751" s="164">
        <v>32</v>
      </c>
      <c r="N751" s="164"/>
      <c r="O751" s="164"/>
      <c r="P751" s="159" t="s">
        <v>1545</v>
      </c>
      <c r="Q751" s="159" t="s">
        <v>503</v>
      </c>
      <c r="R751" s="159" t="s">
        <v>2011</v>
      </c>
      <c r="S751" s="165">
        <v>2.26515279836382E-2</v>
      </c>
      <c r="T751" s="166" t="s">
        <v>372</v>
      </c>
      <c r="U751" s="166"/>
      <c r="V751" s="166"/>
      <c r="W751" s="167">
        <f>IF(BetTable[Sport]="","",BetTable[Stake]+BetTable[S2]+BetTable[S3])</f>
        <v>32</v>
      </c>
      <c r="X751" s="164">
        <f>IF(BetTable[Odds]="","",(BetTable[WBA1-Commission])-BetTable[TS])</f>
        <v>27.520000000000003</v>
      </c>
      <c r="Y751" s="168">
        <f>IF(BetTable[Outcome]="","",BetTable[WBA1]+BetTable[WBA2]+BetTable[WBA3]-BetTable[TS])</f>
        <v>27.520000000000003</v>
      </c>
      <c r="Z751" s="164">
        <f>(((BetTable[Odds]-1)*BetTable[Stake])*(1-(BetTable[Comm %]))+BetTable[Stake])</f>
        <v>59.52</v>
      </c>
      <c r="AA751" s="164">
        <f>(((BetTable[O2]-1)*BetTable[S2])*(1-(BetTable[C% 2]))+BetTable[S2])</f>
        <v>0</v>
      </c>
      <c r="AB751" s="164">
        <f>(((BetTable[O3]-1)*BetTable[S3])*(1-(BetTable[C% 3]))+BetTable[S3])</f>
        <v>0</v>
      </c>
      <c r="AC751" s="165">
        <f>IFERROR(IF(BetTable[Sport]="","",BetTable[R1]/BetTable[TS]),"")</f>
        <v>0.8600000000000001</v>
      </c>
      <c r="AD751" s="165" t="str">
        <f>IF(BetTable[O2]="","",#REF!/BetTable[TS])</f>
        <v/>
      </c>
      <c r="AE751" s="165" t="str">
        <f>IFERROR(IF(BetTable[Sport]="","",#REF!/BetTable[TS]),"")</f>
        <v/>
      </c>
      <c r="AF751" s="164">
        <f>IF(BetTable[Outcome]="Win",BetTable[WBA1-Commission],IF(BetTable[Outcome]="Win Half Stake",(BetTable[Stake]/2)+BetTable[WBA1-Commission]/2,IF(BetTable[Outcome]="Lose Half Stake",BetTable[Stake]/2,IF(BetTable[Outcome]="Lose",0,IF(BetTable[Outcome]="Void",BetTable[Stake],)))))</f>
        <v>59.52</v>
      </c>
      <c r="AG751" s="164">
        <f>IF(BetTable[Outcome2]="Win",BetTable[WBA2-Commission],IF(BetTable[Outcome2]="Win Half Stake",(BetTable[S2]/2)+BetTable[WBA2-Commission]/2,IF(BetTable[Outcome2]="Lose Half Stake",BetTable[S2]/2,IF(BetTable[Outcome2]="Lose",0,IF(BetTable[Outcome2]="Void",BetTable[S2],)))))</f>
        <v>0</v>
      </c>
      <c r="AH751" s="164">
        <f>IF(BetTable[Outcome3]="Win",BetTable[WBA3-Commission],IF(BetTable[Outcome3]="Win Half Stake",(BetTable[S3]/2)+BetTable[WBA3-Commission]/2,IF(BetTable[Outcome3]="Lose Half Stake",BetTable[S3]/2,IF(BetTable[Outcome3]="Lose",0,IF(BetTable[Outcome3]="Void",BetTable[S3],)))))</f>
        <v>0</v>
      </c>
      <c r="AI751" s="168">
        <f>IF(BetTable[Outcome]="",AI750,BetTable[Result]+AI750)</f>
        <v>1457.5122500000007</v>
      </c>
      <c r="AJ751" s="160"/>
    </row>
    <row r="752" spans="1:36" x14ac:dyDescent="0.2">
      <c r="A752" s="159" t="s">
        <v>1790</v>
      </c>
      <c r="B752" s="160" t="s">
        <v>200</v>
      </c>
      <c r="C752" s="161" t="s">
        <v>1714</v>
      </c>
      <c r="D752" s="161"/>
      <c r="E752" s="161"/>
      <c r="F752" s="162"/>
      <c r="G752" s="162"/>
      <c r="H752" s="162"/>
      <c r="I752" s="160" t="s">
        <v>2012</v>
      </c>
      <c r="J752" s="163">
        <v>2.4500000000000002</v>
      </c>
      <c r="K752" s="163"/>
      <c r="L752" s="163"/>
      <c r="M752" s="164">
        <v>35</v>
      </c>
      <c r="N752" s="164"/>
      <c r="O752" s="164"/>
      <c r="P752" s="159" t="s">
        <v>428</v>
      </c>
      <c r="Q752" s="159" t="s">
        <v>1985</v>
      </c>
      <c r="R752" s="159" t="s">
        <v>2013</v>
      </c>
      <c r="S752" s="165">
        <v>3.40070657370053E-2</v>
      </c>
      <c r="T752" s="166" t="s">
        <v>382</v>
      </c>
      <c r="U752" s="166"/>
      <c r="V752" s="166"/>
      <c r="W752" s="167">
        <f>IF(BetTable[Sport]="","",BetTable[Stake]+BetTable[S2]+BetTable[S3])</f>
        <v>35</v>
      </c>
      <c r="X752" s="164">
        <f>IF(BetTable[Odds]="","",(BetTable[WBA1-Commission])-BetTable[TS])</f>
        <v>50.75</v>
      </c>
      <c r="Y752" s="168">
        <f>IF(BetTable[Outcome]="","",BetTable[WBA1]+BetTable[WBA2]+BetTable[WBA3]-BetTable[TS])</f>
        <v>-35</v>
      </c>
      <c r="Z752" s="164">
        <f>(((BetTable[Odds]-1)*BetTable[Stake])*(1-(BetTable[Comm %]))+BetTable[Stake])</f>
        <v>85.75</v>
      </c>
      <c r="AA752" s="164">
        <f>(((BetTable[O2]-1)*BetTable[S2])*(1-(BetTable[C% 2]))+BetTable[S2])</f>
        <v>0</v>
      </c>
      <c r="AB752" s="164">
        <f>(((BetTable[O3]-1)*BetTable[S3])*(1-(BetTable[C% 3]))+BetTable[S3])</f>
        <v>0</v>
      </c>
      <c r="AC752" s="165">
        <f>IFERROR(IF(BetTable[Sport]="","",BetTable[R1]/BetTable[TS]),"")</f>
        <v>1.45</v>
      </c>
      <c r="AD752" s="165" t="str">
        <f>IF(BetTable[O2]="","",#REF!/BetTable[TS])</f>
        <v/>
      </c>
      <c r="AE752" s="165" t="str">
        <f>IFERROR(IF(BetTable[Sport]="","",#REF!/BetTable[TS]),"")</f>
        <v/>
      </c>
      <c r="AF752" s="164">
        <f>IF(BetTable[Outcome]="Win",BetTable[WBA1-Commission],IF(BetTable[Outcome]="Win Half Stake",(BetTable[Stake]/2)+BetTable[WBA1-Commission]/2,IF(BetTable[Outcome]="Lose Half Stake",BetTable[Stake]/2,IF(BetTable[Outcome]="Lose",0,IF(BetTable[Outcome]="Void",BetTable[Stake],)))))</f>
        <v>0</v>
      </c>
      <c r="AG752" s="164">
        <f>IF(BetTable[Outcome2]="Win",BetTable[WBA2-Commission],IF(BetTable[Outcome2]="Win Half Stake",(BetTable[S2]/2)+BetTable[WBA2-Commission]/2,IF(BetTable[Outcome2]="Lose Half Stake",BetTable[S2]/2,IF(BetTable[Outcome2]="Lose",0,IF(BetTable[Outcome2]="Void",BetTable[S2],)))))</f>
        <v>0</v>
      </c>
      <c r="AH752" s="164">
        <f>IF(BetTable[Outcome3]="Win",BetTable[WBA3-Commission],IF(BetTable[Outcome3]="Win Half Stake",(BetTable[S3]/2)+BetTable[WBA3-Commission]/2,IF(BetTable[Outcome3]="Lose Half Stake",BetTable[S3]/2,IF(BetTable[Outcome3]="Lose",0,IF(BetTable[Outcome3]="Void",BetTable[S3],)))))</f>
        <v>0</v>
      </c>
      <c r="AI752" s="168">
        <f>IF(BetTable[Outcome]="",AI751,BetTable[Result]+AI751)</f>
        <v>1422.5122500000007</v>
      </c>
      <c r="AJ752" s="160"/>
    </row>
    <row r="753" spans="1:36" x14ac:dyDescent="0.2">
      <c r="A753" s="159" t="s">
        <v>1790</v>
      </c>
      <c r="B753" s="160" t="s">
        <v>7</v>
      </c>
      <c r="C753" s="161" t="s">
        <v>1714</v>
      </c>
      <c r="D753" s="161"/>
      <c r="E753" s="161"/>
      <c r="F753" s="162"/>
      <c r="G753" s="162"/>
      <c r="H753" s="162"/>
      <c r="I753" s="160" t="s">
        <v>2014</v>
      </c>
      <c r="J753" s="163">
        <v>1.86</v>
      </c>
      <c r="K753" s="163"/>
      <c r="L753" s="163"/>
      <c r="M753" s="164">
        <v>58</v>
      </c>
      <c r="N753" s="164"/>
      <c r="O753" s="164"/>
      <c r="P753" s="159" t="s">
        <v>1188</v>
      </c>
      <c r="Q753" s="159" t="s">
        <v>485</v>
      </c>
      <c r="R753" s="159" t="s">
        <v>2015</v>
      </c>
      <c r="S753" s="165">
        <v>2.2516935498217799E-2</v>
      </c>
      <c r="T753" s="166" t="s">
        <v>372</v>
      </c>
      <c r="U753" s="166"/>
      <c r="V753" s="166"/>
      <c r="W753" s="167">
        <f>IF(BetTable[Sport]="","",BetTable[Stake]+BetTable[S2]+BetTable[S3])</f>
        <v>58</v>
      </c>
      <c r="X753" s="164">
        <f>IF(BetTable[Odds]="","",(BetTable[WBA1-Commission])-BetTable[TS])</f>
        <v>49.879999999999995</v>
      </c>
      <c r="Y753" s="168">
        <f>IF(BetTable[Outcome]="","",BetTable[WBA1]+BetTable[WBA2]+BetTable[WBA3]-BetTable[TS])</f>
        <v>49.879999999999995</v>
      </c>
      <c r="Z753" s="164">
        <f>(((BetTable[Odds]-1)*BetTable[Stake])*(1-(BetTable[Comm %]))+BetTable[Stake])</f>
        <v>107.88</v>
      </c>
      <c r="AA753" s="164">
        <f>(((BetTable[O2]-1)*BetTable[S2])*(1-(BetTable[C% 2]))+BetTable[S2])</f>
        <v>0</v>
      </c>
      <c r="AB753" s="164">
        <f>(((BetTable[O3]-1)*BetTable[S3])*(1-(BetTable[C% 3]))+BetTable[S3])</f>
        <v>0</v>
      </c>
      <c r="AC753" s="165">
        <f>IFERROR(IF(BetTable[Sport]="","",BetTable[R1]/BetTable[TS]),"")</f>
        <v>0.85999999999999988</v>
      </c>
      <c r="AD753" s="165" t="str">
        <f>IF(BetTable[O2]="","",#REF!/BetTable[TS])</f>
        <v/>
      </c>
      <c r="AE753" s="165" t="str">
        <f>IFERROR(IF(BetTable[Sport]="","",#REF!/BetTable[TS]),"")</f>
        <v/>
      </c>
      <c r="AF753" s="164">
        <f>IF(BetTable[Outcome]="Win",BetTable[WBA1-Commission],IF(BetTable[Outcome]="Win Half Stake",(BetTable[Stake]/2)+BetTable[WBA1-Commission]/2,IF(BetTable[Outcome]="Lose Half Stake",BetTable[Stake]/2,IF(BetTable[Outcome]="Lose",0,IF(BetTable[Outcome]="Void",BetTable[Stake],)))))</f>
        <v>107.88</v>
      </c>
      <c r="AG753" s="164">
        <f>IF(BetTable[Outcome2]="Win",BetTable[WBA2-Commission],IF(BetTable[Outcome2]="Win Half Stake",(BetTable[S2]/2)+BetTable[WBA2-Commission]/2,IF(BetTable[Outcome2]="Lose Half Stake",BetTable[S2]/2,IF(BetTable[Outcome2]="Lose",0,IF(BetTable[Outcome2]="Void",BetTable[S2],)))))</f>
        <v>0</v>
      </c>
      <c r="AH753" s="164">
        <f>IF(BetTable[Outcome3]="Win",BetTable[WBA3-Commission],IF(BetTable[Outcome3]="Win Half Stake",(BetTable[S3]/2)+BetTable[WBA3-Commission]/2,IF(BetTable[Outcome3]="Lose Half Stake",BetTable[S3]/2,IF(BetTable[Outcome3]="Lose",0,IF(BetTable[Outcome3]="Void",BetTable[S3],)))))</f>
        <v>0</v>
      </c>
      <c r="AI753" s="168">
        <f>IF(BetTable[Outcome]="",AI752,BetTable[Result]+AI752)</f>
        <v>1472.3922500000008</v>
      </c>
      <c r="AJ753" s="160"/>
    </row>
    <row r="754" spans="1:36" x14ac:dyDescent="0.2">
      <c r="A754" s="159" t="s">
        <v>1790</v>
      </c>
      <c r="B754" s="160" t="s">
        <v>7</v>
      </c>
      <c r="C754" s="161" t="s">
        <v>1714</v>
      </c>
      <c r="D754" s="161"/>
      <c r="E754" s="161"/>
      <c r="F754" s="162"/>
      <c r="G754" s="162"/>
      <c r="H754" s="162"/>
      <c r="I754" s="160" t="s">
        <v>2014</v>
      </c>
      <c r="J754" s="163">
        <v>1.84</v>
      </c>
      <c r="K754" s="163"/>
      <c r="L754" s="163"/>
      <c r="M754" s="164">
        <v>42</v>
      </c>
      <c r="N754" s="164"/>
      <c r="O754" s="164"/>
      <c r="P754" s="159" t="s">
        <v>2016</v>
      </c>
      <c r="Q754" s="159" t="s">
        <v>485</v>
      </c>
      <c r="R754" s="159" t="s">
        <v>2017</v>
      </c>
      <c r="S754" s="165">
        <v>2.2584937270186001E-2</v>
      </c>
      <c r="T754" s="166" t="s">
        <v>382</v>
      </c>
      <c r="U754" s="166"/>
      <c r="V754" s="166"/>
      <c r="W754" s="167">
        <f>IF(BetTable[Sport]="","",BetTable[Stake]+BetTable[S2]+BetTable[S3])</f>
        <v>42</v>
      </c>
      <c r="X754" s="164">
        <f>IF(BetTable[Odds]="","",(BetTable[WBA1-Commission])-BetTable[TS])</f>
        <v>35.28</v>
      </c>
      <c r="Y754" s="168">
        <f>IF(BetTable[Outcome]="","",BetTable[WBA1]+BetTable[WBA2]+BetTable[WBA3]-BetTable[TS])</f>
        <v>-42</v>
      </c>
      <c r="Z754" s="164">
        <f>(((BetTable[Odds]-1)*BetTable[Stake])*(1-(BetTable[Comm %]))+BetTable[Stake])</f>
        <v>77.28</v>
      </c>
      <c r="AA754" s="164">
        <f>(((BetTable[O2]-1)*BetTable[S2])*(1-(BetTable[C% 2]))+BetTable[S2])</f>
        <v>0</v>
      </c>
      <c r="AB754" s="164">
        <f>(((BetTable[O3]-1)*BetTable[S3])*(1-(BetTable[C% 3]))+BetTable[S3])</f>
        <v>0</v>
      </c>
      <c r="AC754" s="165">
        <f>IFERROR(IF(BetTable[Sport]="","",BetTable[R1]/BetTable[TS]),"")</f>
        <v>0.84000000000000008</v>
      </c>
      <c r="AD754" s="165" t="str">
        <f>IF(BetTable[O2]="","",#REF!/BetTable[TS])</f>
        <v/>
      </c>
      <c r="AE754" s="165" t="str">
        <f>IFERROR(IF(BetTable[Sport]="","",#REF!/BetTable[TS]),"")</f>
        <v/>
      </c>
      <c r="AF754" s="164">
        <f>IF(BetTable[Outcome]="Win",BetTable[WBA1-Commission],IF(BetTable[Outcome]="Win Half Stake",(BetTable[Stake]/2)+BetTable[WBA1-Commission]/2,IF(BetTable[Outcome]="Lose Half Stake",BetTable[Stake]/2,IF(BetTable[Outcome]="Lose",0,IF(BetTable[Outcome]="Void",BetTable[Stake],)))))</f>
        <v>0</v>
      </c>
      <c r="AG754" s="164">
        <f>IF(BetTable[Outcome2]="Win",BetTable[WBA2-Commission],IF(BetTable[Outcome2]="Win Half Stake",(BetTable[S2]/2)+BetTable[WBA2-Commission]/2,IF(BetTable[Outcome2]="Lose Half Stake",BetTable[S2]/2,IF(BetTable[Outcome2]="Lose",0,IF(BetTable[Outcome2]="Void",BetTable[S2],)))))</f>
        <v>0</v>
      </c>
      <c r="AH754" s="164">
        <f>IF(BetTable[Outcome3]="Win",BetTable[WBA3-Commission],IF(BetTable[Outcome3]="Win Half Stake",(BetTable[S3]/2)+BetTable[WBA3-Commission]/2,IF(BetTable[Outcome3]="Lose Half Stake",BetTable[S3]/2,IF(BetTable[Outcome3]="Lose",0,IF(BetTable[Outcome3]="Void",BetTable[S3],)))))</f>
        <v>0</v>
      </c>
      <c r="AI754" s="168">
        <f>IF(BetTable[Outcome]="",AI753,BetTable[Result]+AI753)</f>
        <v>1430.3922500000008</v>
      </c>
      <c r="AJ754" s="160"/>
    </row>
    <row r="755" spans="1:36" x14ac:dyDescent="0.2">
      <c r="A755" s="159" t="s">
        <v>1790</v>
      </c>
      <c r="B755" s="160" t="s">
        <v>200</v>
      </c>
      <c r="C755" s="161" t="s">
        <v>1714</v>
      </c>
      <c r="D755" s="161"/>
      <c r="E755" s="161"/>
      <c r="F755" s="162"/>
      <c r="G755" s="162"/>
      <c r="H755" s="162"/>
      <c r="I755" s="160" t="s">
        <v>2018</v>
      </c>
      <c r="J755" s="163">
        <v>1.95</v>
      </c>
      <c r="K755" s="163"/>
      <c r="L755" s="163"/>
      <c r="M755" s="164">
        <v>33</v>
      </c>
      <c r="N755" s="164"/>
      <c r="O755" s="164"/>
      <c r="P755" s="159" t="s">
        <v>351</v>
      </c>
      <c r="Q755" s="159" t="s">
        <v>503</v>
      </c>
      <c r="R755" s="159" t="s">
        <v>2019</v>
      </c>
      <c r="S755" s="165">
        <v>2.0395919991309502E-2</v>
      </c>
      <c r="T755" s="166" t="s">
        <v>372</v>
      </c>
      <c r="U755" s="166"/>
      <c r="V755" s="166"/>
      <c r="W755" s="167">
        <f>IF(BetTable[Sport]="","",BetTable[Stake]+BetTable[S2]+BetTable[S3])</f>
        <v>33</v>
      </c>
      <c r="X755" s="164">
        <f>IF(BetTable[Odds]="","",(BetTable[WBA1-Commission])-BetTable[TS])</f>
        <v>31.349999999999994</v>
      </c>
      <c r="Y755" s="168">
        <f>IF(BetTable[Outcome]="","",BetTable[WBA1]+BetTable[WBA2]+BetTable[WBA3]-BetTable[TS])</f>
        <v>31.349999999999994</v>
      </c>
      <c r="Z755" s="164">
        <f>(((BetTable[Odds]-1)*BetTable[Stake])*(1-(BetTable[Comm %]))+BetTable[Stake])</f>
        <v>64.349999999999994</v>
      </c>
      <c r="AA755" s="164">
        <f>(((BetTable[O2]-1)*BetTable[S2])*(1-(BetTable[C% 2]))+BetTable[S2])</f>
        <v>0</v>
      </c>
      <c r="AB755" s="164">
        <f>(((BetTable[O3]-1)*BetTable[S3])*(1-(BetTable[C% 3]))+BetTable[S3])</f>
        <v>0</v>
      </c>
      <c r="AC755" s="165">
        <f>IFERROR(IF(BetTable[Sport]="","",BetTable[R1]/BetTable[TS]),"")</f>
        <v>0.94999999999999984</v>
      </c>
      <c r="AD755" s="165" t="str">
        <f>IF(BetTable[O2]="","",#REF!/BetTable[TS])</f>
        <v/>
      </c>
      <c r="AE755" s="165" t="str">
        <f>IFERROR(IF(BetTable[Sport]="","",#REF!/BetTable[TS]),"")</f>
        <v/>
      </c>
      <c r="AF755" s="164">
        <f>IF(BetTable[Outcome]="Win",BetTable[WBA1-Commission],IF(BetTable[Outcome]="Win Half Stake",(BetTable[Stake]/2)+BetTable[WBA1-Commission]/2,IF(BetTable[Outcome]="Lose Half Stake",BetTable[Stake]/2,IF(BetTable[Outcome]="Lose",0,IF(BetTable[Outcome]="Void",BetTable[Stake],)))))</f>
        <v>64.349999999999994</v>
      </c>
      <c r="AG755" s="164">
        <f>IF(BetTable[Outcome2]="Win",BetTable[WBA2-Commission],IF(BetTable[Outcome2]="Win Half Stake",(BetTable[S2]/2)+BetTable[WBA2-Commission]/2,IF(BetTable[Outcome2]="Lose Half Stake",BetTable[S2]/2,IF(BetTable[Outcome2]="Lose",0,IF(BetTable[Outcome2]="Void",BetTable[S2],)))))</f>
        <v>0</v>
      </c>
      <c r="AH755" s="164">
        <f>IF(BetTable[Outcome3]="Win",BetTable[WBA3-Commission],IF(BetTable[Outcome3]="Win Half Stake",(BetTable[S3]/2)+BetTable[WBA3-Commission]/2,IF(BetTable[Outcome3]="Lose Half Stake",BetTable[S3]/2,IF(BetTable[Outcome3]="Lose",0,IF(BetTable[Outcome3]="Void",BetTable[S3],)))))</f>
        <v>0</v>
      </c>
      <c r="AI755" s="168">
        <f>IF(BetTable[Outcome]="",AI754,BetTable[Result]+AI754)</f>
        <v>1461.7422500000007</v>
      </c>
      <c r="AJ755" s="160"/>
    </row>
    <row r="756" spans="1:36" x14ac:dyDescent="0.2">
      <c r="A756" s="159" t="s">
        <v>1790</v>
      </c>
      <c r="B756" s="160" t="s">
        <v>200</v>
      </c>
      <c r="C756" s="161" t="s">
        <v>1714</v>
      </c>
      <c r="D756" s="161"/>
      <c r="E756" s="161"/>
      <c r="F756" s="162"/>
      <c r="G756" s="162"/>
      <c r="H756" s="162"/>
      <c r="I756" s="160" t="s">
        <v>2020</v>
      </c>
      <c r="J756" s="163">
        <v>1.98</v>
      </c>
      <c r="K756" s="163"/>
      <c r="L756" s="163"/>
      <c r="M756" s="164">
        <v>31</v>
      </c>
      <c r="N756" s="164"/>
      <c r="O756" s="164"/>
      <c r="P756" s="159" t="s">
        <v>508</v>
      </c>
      <c r="Q756" s="159" t="s">
        <v>506</v>
      </c>
      <c r="R756" s="159" t="s">
        <v>2021</v>
      </c>
      <c r="S756" s="165">
        <v>1.99215763965177E-2</v>
      </c>
      <c r="T756" s="166" t="s">
        <v>382</v>
      </c>
      <c r="U756" s="166"/>
      <c r="V756" s="166"/>
      <c r="W756" s="167">
        <f>IF(BetTable[Sport]="","",BetTable[Stake]+BetTable[S2]+BetTable[S3])</f>
        <v>31</v>
      </c>
      <c r="X756" s="164">
        <f>IF(BetTable[Odds]="","",(BetTable[WBA1-Commission])-BetTable[TS])</f>
        <v>30.379999999999995</v>
      </c>
      <c r="Y756" s="168">
        <f>IF(BetTable[Outcome]="","",BetTable[WBA1]+BetTable[WBA2]+BetTable[WBA3]-BetTable[TS])</f>
        <v>-31</v>
      </c>
      <c r="Z756" s="164">
        <f>(((BetTable[Odds]-1)*BetTable[Stake])*(1-(BetTable[Comm %]))+BetTable[Stake])</f>
        <v>61.379999999999995</v>
      </c>
      <c r="AA756" s="164">
        <f>(((BetTable[O2]-1)*BetTable[S2])*(1-(BetTable[C% 2]))+BetTable[S2])</f>
        <v>0</v>
      </c>
      <c r="AB756" s="164">
        <f>(((BetTable[O3]-1)*BetTable[S3])*(1-(BetTable[C% 3]))+BetTable[S3])</f>
        <v>0</v>
      </c>
      <c r="AC756" s="165">
        <f>IFERROR(IF(BetTable[Sport]="","",BetTable[R1]/BetTable[TS]),"")</f>
        <v>0.97999999999999987</v>
      </c>
      <c r="AD756" s="165" t="str">
        <f>IF(BetTable[O2]="","",#REF!/BetTable[TS])</f>
        <v/>
      </c>
      <c r="AE756" s="165" t="str">
        <f>IFERROR(IF(BetTable[Sport]="","",#REF!/BetTable[TS]),"")</f>
        <v/>
      </c>
      <c r="AF756" s="164">
        <f>IF(BetTable[Outcome]="Win",BetTable[WBA1-Commission],IF(BetTable[Outcome]="Win Half Stake",(BetTable[Stake]/2)+BetTable[WBA1-Commission]/2,IF(BetTable[Outcome]="Lose Half Stake",BetTable[Stake]/2,IF(BetTable[Outcome]="Lose",0,IF(BetTable[Outcome]="Void",BetTable[Stake],)))))</f>
        <v>0</v>
      </c>
      <c r="AG756" s="164">
        <f>IF(BetTable[Outcome2]="Win",BetTable[WBA2-Commission],IF(BetTable[Outcome2]="Win Half Stake",(BetTable[S2]/2)+BetTable[WBA2-Commission]/2,IF(BetTable[Outcome2]="Lose Half Stake",BetTable[S2]/2,IF(BetTable[Outcome2]="Lose",0,IF(BetTable[Outcome2]="Void",BetTable[S2],)))))</f>
        <v>0</v>
      </c>
      <c r="AH756" s="164">
        <f>IF(BetTable[Outcome3]="Win",BetTable[WBA3-Commission],IF(BetTable[Outcome3]="Win Half Stake",(BetTable[S3]/2)+BetTable[WBA3-Commission]/2,IF(BetTable[Outcome3]="Lose Half Stake",BetTable[S3]/2,IF(BetTable[Outcome3]="Lose",0,IF(BetTable[Outcome3]="Void",BetTable[S3],)))))</f>
        <v>0</v>
      </c>
      <c r="AI756" s="168">
        <f>IF(BetTable[Outcome]="",AI755,BetTable[Result]+AI755)</f>
        <v>1430.7422500000007</v>
      </c>
      <c r="AJ756" s="160"/>
    </row>
    <row r="757" spans="1:36" x14ac:dyDescent="0.2">
      <c r="A757" s="159" t="s">
        <v>1790</v>
      </c>
      <c r="B757" s="160" t="s">
        <v>200</v>
      </c>
      <c r="C757" s="161" t="s">
        <v>1714</v>
      </c>
      <c r="D757" s="161"/>
      <c r="E757" s="161"/>
      <c r="F757" s="162"/>
      <c r="G757" s="162"/>
      <c r="H757" s="162"/>
      <c r="I757" s="160" t="s">
        <v>2022</v>
      </c>
      <c r="J757" s="163">
        <v>3.2</v>
      </c>
      <c r="K757" s="163"/>
      <c r="L757" s="163"/>
      <c r="M757" s="164">
        <v>14</v>
      </c>
      <c r="N757" s="164"/>
      <c r="O757" s="164"/>
      <c r="P757" s="159" t="s">
        <v>494</v>
      </c>
      <c r="Q757" s="159" t="s">
        <v>506</v>
      </c>
      <c r="R757" s="159" t="s">
        <v>2023</v>
      </c>
      <c r="S757" s="165">
        <v>2.02529688596177E-2</v>
      </c>
      <c r="T757" s="166" t="s">
        <v>382</v>
      </c>
      <c r="U757" s="166"/>
      <c r="V757" s="166"/>
      <c r="W757" s="167">
        <f>IF(BetTable[Sport]="","",BetTable[Stake]+BetTable[S2]+BetTable[S3])</f>
        <v>14</v>
      </c>
      <c r="X757" s="164">
        <f>IF(BetTable[Odds]="","",(BetTable[WBA1-Commission])-BetTable[TS])</f>
        <v>30.800000000000004</v>
      </c>
      <c r="Y757" s="168">
        <f>IF(BetTable[Outcome]="","",BetTable[WBA1]+BetTable[WBA2]+BetTable[WBA3]-BetTable[TS])</f>
        <v>-14</v>
      </c>
      <c r="Z757" s="164">
        <f>(((BetTable[Odds]-1)*BetTable[Stake])*(1-(BetTable[Comm %]))+BetTable[Stake])</f>
        <v>44.800000000000004</v>
      </c>
      <c r="AA757" s="164">
        <f>(((BetTable[O2]-1)*BetTable[S2])*(1-(BetTable[C% 2]))+BetTable[S2])</f>
        <v>0</v>
      </c>
      <c r="AB757" s="164">
        <f>(((BetTable[O3]-1)*BetTable[S3])*(1-(BetTable[C% 3]))+BetTable[S3])</f>
        <v>0</v>
      </c>
      <c r="AC757" s="165">
        <f>IFERROR(IF(BetTable[Sport]="","",BetTable[R1]/BetTable[TS]),"")</f>
        <v>2.2000000000000002</v>
      </c>
      <c r="AD757" s="165" t="str">
        <f>IF(BetTable[O2]="","",#REF!/BetTable[TS])</f>
        <v/>
      </c>
      <c r="AE757" s="165" t="str">
        <f>IFERROR(IF(BetTable[Sport]="","",#REF!/BetTable[TS]),"")</f>
        <v/>
      </c>
      <c r="AF757" s="164">
        <f>IF(BetTable[Outcome]="Win",BetTable[WBA1-Commission],IF(BetTable[Outcome]="Win Half Stake",(BetTable[Stake]/2)+BetTable[WBA1-Commission]/2,IF(BetTable[Outcome]="Lose Half Stake",BetTable[Stake]/2,IF(BetTable[Outcome]="Lose",0,IF(BetTable[Outcome]="Void",BetTable[Stake],)))))</f>
        <v>0</v>
      </c>
      <c r="AG757" s="164">
        <f>IF(BetTable[Outcome2]="Win",BetTable[WBA2-Commission],IF(BetTable[Outcome2]="Win Half Stake",(BetTable[S2]/2)+BetTable[WBA2-Commission]/2,IF(BetTable[Outcome2]="Lose Half Stake",BetTable[S2]/2,IF(BetTable[Outcome2]="Lose",0,IF(BetTable[Outcome2]="Void",BetTable[S2],)))))</f>
        <v>0</v>
      </c>
      <c r="AH757" s="164">
        <f>IF(BetTable[Outcome3]="Win",BetTable[WBA3-Commission],IF(BetTable[Outcome3]="Win Half Stake",(BetTable[S3]/2)+BetTable[WBA3-Commission]/2,IF(BetTable[Outcome3]="Lose Half Stake",BetTable[S3]/2,IF(BetTable[Outcome3]="Lose",0,IF(BetTable[Outcome3]="Void",BetTable[S3],)))))</f>
        <v>0</v>
      </c>
      <c r="AI757" s="168">
        <f>IF(BetTable[Outcome]="",AI756,BetTable[Result]+AI756)</f>
        <v>1416.7422500000007</v>
      </c>
      <c r="AJ757" s="160"/>
    </row>
    <row r="758" spans="1:36" x14ac:dyDescent="0.2">
      <c r="A758" s="159" t="s">
        <v>1790</v>
      </c>
      <c r="B758" s="160" t="s">
        <v>7</v>
      </c>
      <c r="C758" s="161" t="s">
        <v>1714</v>
      </c>
      <c r="D758" s="161"/>
      <c r="E758" s="161"/>
      <c r="F758" s="162"/>
      <c r="G758" s="162"/>
      <c r="H758" s="162"/>
      <c r="I758" s="160" t="s">
        <v>2024</v>
      </c>
      <c r="J758" s="163">
        <v>1.91</v>
      </c>
      <c r="K758" s="163"/>
      <c r="L758" s="163"/>
      <c r="M758" s="164">
        <v>39</v>
      </c>
      <c r="N758" s="164"/>
      <c r="O758" s="164"/>
      <c r="P758" s="159" t="s">
        <v>2025</v>
      </c>
      <c r="Q758" s="159" t="s">
        <v>530</v>
      </c>
      <c r="R758" s="159" t="s">
        <v>2026</v>
      </c>
      <c r="S758" s="165">
        <v>2.7548117867484199E-2</v>
      </c>
      <c r="T758" s="166" t="s">
        <v>372</v>
      </c>
      <c r="U758" s="166"/>
      <c r="V758" s="166"/>
      <c r="W758" s="167">
        <f>IF(BetTable[Sport]="","",BetTable[Stake]+BetTable[S2]+BetTable[S3])</f>
        <v>39</v>
      </c>
      <c r="X758" s="164">
        <f>IF(BetTable[Odds]="","",(BetTable[WBA1-Commission])-BetTable[TS])</f>
        <v>35.489999999999995</v>
      </c>
      <c r="Y758" s="168">
        <f>IF(BetTable[Outcome]="","",BetTable[WBA1]+BetTable[WBA2]+BetTable[WBA3]-BetTable[TS])</f>
        <v>35.489999999999995</v>
      </c>
      <c r="Z758" s="164">
        <f>(((BetTable[Odds]-1)*BetTable[Stake])*(1-(BetTable[Comm %]))+BetTable[Stake])</f>
        <v>74.489999999999995</v>
      </c>
      <c r="AA758" s="164">
        <f>(((BetTable[O2]-1)*BetTable[S2])*(1-(BetTable[C% 2]))+BetTable[S2])</f>
        <v>0</v>
      </c>
      <c r="AB758" s="164">
        <f>(((BetTable[O3]-1)*BetTable[S3])*(1-(BetTable[C% 3]))+BetTable[S3])</f>
        <v>0</v>
      </c>
      <c r="AC758" s="165">
        <f>IFERROR(IF(BetTable[Sport]="","",BetTable[R1]/BetTable[TS]),"")</f>
        <v>0.90999999999999992</v>
      </c>
      <c r="AD758" s="165" t="str">
        <f>IF(BetTable[O2]="","",#REF!/BetTable[TS])</f>
        <v/>
      </c>
      <c r="AE758" s="165" t="str">
        <f>IFERROR(IF(BetTable[Sport]="","",#REF!/BetTable[TS]),"")</f>
        <v/>
      </c>
      <c r="AF758" s="164">
        <f>IF(BetTable[Outcome]="Win",BetTable[WBA1-Commission],IF(BetTable[Outcome]="Win Half Stake",(BetTable[Stake]/2)+BetTable[WBA1-Commission]/2,IF(BetTable[Outcome]="Lose Half Stake",BetTable[Stake]/2,IF(BetTable[Outcome]="Lose",0,IF(BetTable[Outcome]="Void",BetTable[Stake],)))))</f>
        <v>74.489999999999995</v>
      </c>
      <c r="AG758" s="164">
        <f>IF(BetTable[Outcome2]="Win",BetTable[WBA2-Commission],IF(BetTable[Outcome2]="Win Half Stake",(BetTable[S2]/2)+BetTable[WBA2-Commission]/2,IF(BetTable[Outcome2]="Lose Half Stake",BetTable[S2]/2,IF(BetTable[Outcome2]="Lose",0,IF(BetTable[Outcome2]="Void",BetTable[S2],)))))</f>
        <v>0</v>
      </c>
      <c r="AH758" s="164">
        <f>IF(BetTable[Outcome3]="Win",BetTable[WBA3-Commission],IF(BetTable[Outcome3]="Win Half Stake",(BetTable[S3]/2)+BetTable[WBA3-Commission]/2,IF(BetTable[Outcome3]="Lose Half Stake",BetTable[S3]/2,IF(BetTable[Outcome3]="Lose",0,IF(BetTable[Outcome3]="Void",BetTable[S3],)))))</f>
        <v>0</v>
      </c>
      <c r="AI758" s="168">
        <f>IF(BetTable[Outcome]="",AI757,BetTable[Result]+AI757)</f>
        <v>1452.2322500000007</v>
      </c>
      <c r="AJ758" s="160"/>
    </row>
    <row r="759" spans="1:36" x14ac:dyDescent="0.2">
      <c r="A759" s="159" t="s">
        <v>1790</v>
      </c>
      <c r="B759" s="160" t="s">
        <v>7</v>
      </c>
      <c r="C759" s="161" t="s">
        <v>1714</v>
      </c>
      <c r="D759" s="161"/>
      <c r="E759" s="161"/>
      <c r="F759" s="162"/>
      <c r="G759" s="162"/>
      <c r="H759" s="162"/>
      <c r="I759" s="160" t="s">
        <v>2024</v>
      </c>
      <c r="J759" s="163">
        <v>1.85</v>
      </c>
      <c r="K759" s="163"/>
      <c r="L759" s="163"/>
      <c r="M759" s="164">
        <v>39</v>
      </c>
      <c r="N759" s="164"/>
      <c r="O759" s="164"/>
      <c r="P759" s="159" t="s">
        <v>1799</v>
      </c>
      <c r="Q759" s="159" t="s">
        <v>530</v>
      </c>
      <c r="R759" s="159" t="s">
        <v>2027</v>
      </c>
      <c r="S759" s="165">
        <v>2.54314158658594E-2</v>
      </c>
      <c r="T759" s="166" t="s">
        <v>382</v>
      </c>
      <c r="U759" s="166"/>
      <c r="V759" s="166"/>
      <c r="W759" s="167">
        <f>IF(BetTable[Sport]="","",BetTable[Stake]+BetTable[S2]+BetTable[S3])</f>
        <v>39</v>
      </c>
      <c r="X759" s="164">
        <f>IF(BetTable[Odds]="","",(BetTable[WBA1-Commission])-BetTable[TS])</f>
        <v>33.150000000000006</v>
      </c>
      <c r="Y759" s="168">
        <f>IF(BetTable[Outcome]="","",BetTable[WBA1]+BetTable[WBA2]+BetTable[WBA3]-BetTable[TS])</f>
        <v>-39</v>
      </c>
      <c r="Z759" s="164">
        <f>(((BetTable[Odds]-1)*BetTable[Stake])*(1-(BetTable[Comm %]))+BetTable[Stake])</f>
        <v>72.150000000000006</v>
      </c>
      <c r="AA759" s="164">
        <f>(((BetTable[O2]-1)*BetTable[S2])*(1-(BetTable[C% 2]))+BetTable[S2])</f>
        <v>0</v>
      </c>
      <c r="AB759" s="164">
        <f>(((BetTable[O3]-1)*BetTable[S3])*(1-(BetTable[C% 3]))+BetTable[S3])</f>
        <v>0</v>
      </c>
      <c r="AC759" s="165">
        <f>IFERROR(IF(BetTable[Sport]="","",BetTable[R1]/BetTable[TS]),"")</f>
        <v>0.8500000000000002</v>
      </c>
      <c r="AD759" s="165" t="str">
        <f>IF(BetTable[O2]="","",#REF!/BetTable[TS])</f>
        <v/>
      </c>
      <c r="AE759" s="165" t="str">
        <f>IFERROR(IF(BetTable[Sport]="","",#REF!/BetTable[TS]),"")</f>
        <v/>
      </c>
      <c r="AF759" s="164">
        <f>IF(BetTable[Outcome]="Win",BetTable[WBA1-Commission],IF(BetTable[Outcome]="Win Half Stake",(BetTable[Stake]/2)+BetTable[WBA1-Commission]/2,IF(BetTable[Outcome]="Lose Half Stake",BetTable[Stake]/2,IF(BetTable[Outcome]="Lose",0,IF(BetTable[Outcome]="Void",BetTable[Stake],)))))</f>
        <v>0</v>
      </c>
      <c r="AG759" s="164">
        <f>IF(BetTable[Outcome2]="Win",BetTable[WBA2-Commission],IF(BetTable[Outcome2]="Win Half Stake",(BetTable[S2]/2)+BetTable[WBA2-Commission]/2,IF(BetTable[Outcome2]="Lose Half Stake",BetTable[S2]/2,IF(BetTable[Outcome2]="Lose",0,IF(BetTable[Outcome2]="Void",BetTable[S2],)))))</f>
        <v>0</v>
      </c>
      <c r="AH759" s="164">
        <f>IF(BetTable[Outcome3]="Win",BetTable[WBA3-Commission],IF(BetTable[Outcome3]="Win Half Stake",(BetTable[S3]/2)+BetTable[WBA3-Commission]/2,IF(BetTable[Outcome3]="Lose Half Stake",BetTable[S3]/2,IF(BetTable[Outcome3]="Lose",0,IF(BetTable[Outcome3]="Void",BetTable[S3],)))))</f>
        <v>0</v>
      </c>
      <c r="AI759" s="168">
        <f>IF(BetTable[Outcome]="",AI758,BetTable[Result]+AI758)</f>
        <v>1413.2322500000007</v>
      </c>
      <c r="AJ759" s="160"/>
    </row>
    <row r="760" spans="1:36" x14ac:dyDescent="0.2">
      <c r="A760" s="159" t="s">
        <v>1790</v>
      </c>
      <c r="B760" s="160" t="s">
        <v>200</v>
      </c>
      <c r="C760" s="161" t="s">
        <v>1714</v>
      </c>
      <c r="D760" s="161"/>
      <c r="E760" s="161"/>
      <c r="F760" s="162"/>
      <c r="G760" s="162"/>
      <c r="H760" s="162"/>
      <c r="I760" s="160" t="s">
        <v>2028</v>
      </c>
      <c r="J760" s="163">
        <v>1.91</v>
      </c>
      <c r="K760" s="163"/>
      <c r="L760" s="163"/>
      <c r="M760" s="164">
        <v>37</v>
      </c>
      <c r="N760" s="164"/>
      <c r="O760" s="164"/>
      <c r="P760" s="159" t="s">
        <v>864</v>
      </c>
      <c r="Q760" s="159" t="s">
        <v>703</v>
      </c>
      <c r="R760" s="159" t="s">
        <v>2029</v>
      </c>
      <c r="S760" s="165">
        <v>2.1963322545846799E-2</v>
      </c>
      <c r="T760" s="166" t="s">
        <v>372</v>
      </c>
      <c r="U760" s="166"/>
      <c r="V760" s="166"/>
      <c r="W760" s="167">
        <f>IF(BetTable[Sport]="","",BetTable[Stake]+BetTable[S2]+BetTable[S3])</f>
        <v>37</v>
      </c>
      <c r="X760" s="164">
        <f>IF(BetTable[Odds]="","",(BetTable[WBA1-Commission])-BetTable[TS])</f>
        <v>33.669999999999987</v>
      </c>
      <c r="Y760" s="168">
        <f>IF(BetTable[Outcome]="","",BetTable[WBA1]+BetTable[WBA2]+BetTable[WBA3]-BetTable[TS])</f>
        <v>33.669999999999987</v>
      </c>
      <c r="Z760" s="164">
        <f>(((BetTable[Odds]-1)*BetTable[Stake])*(1-(BetTable[Comm %]))+BetTable[Stake])</f>
        <v>70.669999999999987</v>
      </c>
      <c r="AA760" s="164">
        <f>(((BetTable[O2]-1)*BetTable[S2])*(1-(BetTable[C% 2]))+BetTable[S2])</f>
        <v>0</v>
      </c>
      <c r="AB760" s="164">
        <f>(((BetTable[O3]-1)*BetTable[S3])*(1-(BetTable[C% 3]))+BetTable[S3])</f>
        <v>0</v>
      </c>
      <c r="AC760" s="165">
        <f>IFERROR(IF(BetTable[Sport]="","",BetTable[R1]/BetTable[TS]),"")</f>
        <v>0.9099999999999997</v>
      </c>
      <c r="AD760" s="165" t="str">
        <f>IF(BetTable[O2]="","",#REF!/BetTable[TS])</f>
        <v/>
      </c>
      <c r="AE760" s="165" t="str">
        <f>IFERROR(IF(BetTable[Sport]="","",#REF!/BetTable[TS]),"")</f>
        <v/>
      </c>
      <c r="AF760" s="164">
        <f>IF(BetTable[Outcome]="Win",BetTable[WBA1-Commission],IF(BetTable[Outcome]="Win Half Stake",(BetTable[Stake]/2)+BetTable[WBA1-Commission]/2,IF(BetTable[Outcome]="Lose Half Stake",BetTable[Stake]/2,IF(BetTable[Outcome]="Lose",0,IF(BetTable[Outcome]="Void",BetTable[Stake],)))))</f>
        <v>70.669999999999987</v>
      </c>
      <c r="AG760" s="164">
        <f>IF(BetTable[Outcome2]="Win",BetTable[WBA2-Commission],IF(BetTable[Outcome2]="Win Half Stake",(BetTable[S2]/2)+BetTable[WBA2-Commission]/2,IF(BetTable[Outcome2]="Lose Half Stake",BetTable[S2]/2,IF(BetTable[Outcome2]="Lose",0,IF(BetTable[Outcome2]="Void",BetTable[S2],)))))</f>
        <v>0</v>
      </c>
      <c r="AH760" s="164">
        <f>IF(BetTable[Outcome3]="Win",BetTable[WBA3-Commission],IF(BetTable[Outcome3]="Win Half Stake",(BetTable[S3]/2)+BetTable[WBA3-Commission]/2,IF(BetTable[Outcome3]="Lose Half Stake",BetTable[S3]/2,IF(BetTable[Outcome3]="Lose",0,IF(BetTable[Outcome3]="Void",BetTable[S3],)))))</f>
        <v>0</v>
      </c>
      <c r="AI760" s="168">
        <f>IF(BetTable[Outcome]="",AI759,BetTable[Result]+AI759)</f>
        <v>1446.9022500000008</v>
      </c>
      <c r="AJ760" s="160"/>
    </row>
    <row r="761" spans="1:36" x14ac:dyDescent="0.2">
      <c r="A761" s="159" t="s">
        <v>1790</v>
      </c>
      <c r="B761" s="160" t="s">
        <v>200</v>
      </c>
      <c r="C761" s="161" t="s">
        <v>1714</v>
      </c>
      <c r="D761" s="161"/>
      <c r="E761" s="161"/>
      <c r="F761" s="162"/>
      <c r="G761" s="162"/>
      <c r="H761" s="162"/>
      <c r="I761" s="160" t="s">
        <v>2030</v>
      </c>
      <c r="J761" s="163">
        <v>3.45</v>
      </c>
      <c r="K761" s="163"/>
      <c r="L761" s="163"/>
      <c r="M761" s="164">
        <v>16</v>
      </c>
      <c r="N761" s="164"/>
      <c r="O761" s="164"/>
      <c r="P761" s="159" t="s">
        <v>494</v>
      </c>
      <c r="Q761" s="159" t="s">
        <v>632</v>
      </c>
      <c r="R761" s="159" t="s">
        <v>2031</v>
      </c>
      <c r="S761" s="165">
        <v>2.53590350099052E-2</v>
      </c>
      <c r="T761" s="166" t="s">
        <v>382</v>
      </c>
      <c r="U761" s="166"/>
      <c r="V761" s="166"/>
      <c r="W761" s="167">
        <f>IF(BetTable[Sport]="","",BetTable[Stake]+BetTable[S2]+BetTable[S3])</f>
        <v>16</v>
      </c>
      <c r="X761" s="164">
        <f>IF(BetTable[Odds]="","",(BetTable[WBA1-Commission])-BetTable[TS])</f>
        <v>39.200000000000003</v>
      </c>
      <c r="Y761" s="168">
        <f>IF(BetTable[Outcome]="","",BetTable[WBA1]+BetTable[WBA2]+BetTable[WBA3]-BetTable[TS])</f>
        <v>-16</v>
      </c>
      <c r="Z761" s="164">
        <f>(((BetTable[Odds]-1)*BetTable[Stake])*(1-(BetTable[Comm %]))+BetTable[Stake])</f>
        <v>55.2</v>
      </c>
      <c r="AA761" s="164">
        <f>(((BetTable[O2]-1)*BetTable[S2])*(1-(BetTable[C% 2]))+BetTable[S2])</f>
        <v>0</v>
      </c>
      <c r="AB761" s="164">
        <f>(((BetTable[O3]-1)*BetTable[S3])*(1-(BetTable[C% 3]))+BetTable[S3])</f>
        <v>0</v>
      </c>
      <c r="AC761" s="165">
        <f>IFERROR(IF(BetTable[Sport]="","",BetTable[R1]/BetTable[TS]),"")</f>
        <v>2.4500000000000002</v>
      </c>
      <c r="AD761" s="165" t="str">
        <f>IF(BetTable[O2]="","",#REF!/BetTable[TS])</f>
        <v/>
      </c>
      <c r="AE761" s="165" t="str">
        <f>IFERROR(IF(BetTable[Sport]="","",#REF!/BetTable[TS]),"")</f>
        <v/>
      </c>
      <c r="AF761" s="164">
        <f>IF(BetTable[Outcome]="Win",BetTable[WBA1-Commission],IF(BetTable[Outcome]="Win Half Stake",(BetTable[Stake]/2)+BetTable[WBA1-Commission]/2,IF(BetTable[Outcome]="Lose Half Stake",BetTable[Stake]/2,IF(BetTable[Outcome]="Lose",0,IF(BetTable[Outcome]="Void",BetTable[Stake],)))))</f>
        <v>0</v>
      </c>
      <c r="AG761" s="164">
        <f>IF(BetTable[Outcome2]="Win",BetTable[WBA2-Commission],IF(BetTable[Outcome2]="Win Half Stake",(BetTable[S2]/2)+BetTable[WBA2-Commission]/2,IF(BetTable[Outcome2]="Lose Half Stake",BetTable[S2]/2,IF(BetTable[Outcome2]="Lose",0,IF(BetTable[Outcome2]="Void",BetTable[S2],)))))</f>
        <v>0</v>
      </c>
      <c r="AH761" s="164">
        <f>IF(BetTable[Outcome3]="Win",BetTable[WBA3-Commission],IF(BetTable[Outcome3]="Win Half Stake",(BetTable[S3]/2)+BetTable[WBA3-Commission]/2,IF(BetTable[Outcome3]="Lose Half Stake",BetTable[S3]/2,IF(BetTable[Outcome3]="Lose",0,IF(BetTable[Outcome3]="Void",BetTable[S3],)))))</f>
        <v>0</v>
      </c>
      <c r="AI761" s="168">
        <f>IF(BetTable[Outcome]="",AI760,BetTable[Result]+AI760)</f>
        <v>1430.9022500000008</v>
      </c>
      <c r="AJ761" s="160"/>
    </row>
    <row r="762" spans="1:36" x14ac:dyDescent="0.2">
      <c r="A762" s="159" t="s">
        <v>1790</v>
      </c>
      <c r="B762" s="160" t="s">
        <v>200</v>
      </c>
      <c r="C762" s="161" t="s">
        <v>1714</v>
      </c>
      <c r="D762" s="161"/>
      <c r="E762" s="161"/>
      <c r="F762" s="162"/>
      <c r="G762" s="162"/>
      <c r="H762" s="162"/>
      <c r="I762" s="160" t="s">
        <v>2032</v>
      </c>
      <c r="J762" s="163">
        <v>2</v>
      </c>
      <c r="K762" s="163"/>
      <c r="L762" s="163"/>
      <c r="M762" s="164">
        <v>25</v>
      </c>
      <c r="N762" s="164"/>
      <c r="O762" s="164"/>
      <c r="P762" s="159" t="s">
        <v>368</v>
      </c>
      <c r="Q762" s="159" t="s">
        <v>503</v>
      </c>
      <c r="R762" s="159" t="s">
        <v>2033</v>
      </c>
      <c r="S762" s="165">
        <v>1.6419635892238899E-2</v>
      </c>
      <c r="T762" s="166" t="s">
        <v>382</v>
      </c>
      <c r="U762" s="166"/>
      <c r="V762" s="166"/>
      <c r="W762" s="167">
        <f>IF(BetTable[Sport]="","",BetTable[Stake]+BetTable[S2]+BetTable[S3])</f>
        <v>25</v>
      </c>
      <c r="X762" s="164">
        <f>IF(BetTable[Odds]="","",(BetTable[WBA1-Commission])-BetTable[TS])</f>
        <v>25</v>
      </c>
      <c r="Y762" s="168">
        <f>IF(BetTable[Outcome]="","",BetTable[WBA1]+BetTable[WBA2]+BetTable[WBA3]-BetTable[TS])</f>
        <v>-25</v>
      </c>
      <c r="Z762" s="164">
        <f>(((BetTable[Odds]-1)*BetTable[Stake])*(1-(BetTable[Comm %]))+BetTable[Stake])</f>
        <v>50</v>
      </c>
      <c r="AA762" s="164">
        <f>(((BetTable[O2]-1)*BetTable[S2])*(1-(BetTable[C% 2]))+BetTable[S2])</f>
        <v>0</v>
      </c>
      <c r="AB762" s="164">
        <f>(((BetTable[O3]-1)*BetTable[S3])*(1-(BetTable[C% 3]))+BetTable[S3])</f>
        <v>0</v>
      </c>
      <c r="AC762" s="165">
        <f>IFERROR(IF(BetTable[Sport]="","",BetTable[R1]/BetTable[TS]),"")</f>
        <v>1</v>
      </c>
      <c r="AD762" s="165" t="str">
        <f>IF(BetTable[O2]="","",#REF!/BetTable[TS])</f>
        <v/>
      </c>
      <c r="AE762" s="165" t="str">
        <f>IFERROR(IF(BetTable[Sport]="","",#REF!/BetTable[TS]),"")</f>
        <v/>
      </c>
      <c r="AF762" s="164">
        <f>IF(BetTable[Outcome]="Win",BetTable[WBA1-Commission],IF(BetTable[Outcome]="Win Half Stake",(BetTable[Stake]/2)+BetTable[WBA1-Commission]/2,IF(BetTable[Outcome]="Lose Half Stake",BetTable[Stake]/2,IF(BetTable[Outcome]="Lose",0,IF(BetTable[Outcome]="Void",BetTable[Stake],)))))</f>
        <v>0</v>
      </c>
      <c r="AG762" s="164">
        <f>IF(BetTable[Outcome2]="Win",BetTable[WBA2-Commission],IF(BetTable[Outcome2]="Win Half Stake",(BetTable[S2]/2)+BetTable[WBA2-Commission]/2,IF(BetTable[Outcome2]="Lose Half Stake",BetTable[S2]/2,IF(BetTable[Outcome2]="Lose",0,IF(BetTable[Outcome2]="Void",BetTable[S2],)))))</f>
        <v>0</v>
      </c>
      <c r="AH762" s="164">
        <f>IF(BetTable[Outcome3]="Win",BetTable[WBA3-Commission],IF(BetTable[Outcome3]="Win Half Stake",(BetTable[S3]/2)+BetTable[WBA3-Commission]/2,IF(BetTable[Outcome3]="Lose Half Stake",BetTable[S3]/2,IF(BetTable[Outcome3]="Lose",0,IF(BetTable[Outcome3]="Void",BetTable[S3],)))))</f>
        <v>0</v>
      </c>
      <c r="AI762" s="168">
        <f>IF(BetTable[Outcome]="",AI761,BetTable[Result]+AI761)</f>
        <v>1405.9022500000008</v>
      </c>
      <c r="AJ762" s="160"/>
    </row>
    <row r="763" spans="1:36" x14ac:dyDescent="0.2">
      <c r="A763" s="159" t="s">
        <v>1790</v>
      </c>
      <c r="B763" s="160" t="s">
        <v>7</v>
      </c>
      <c r="C763" s="161" t="s">
        <v>1714</v>
      </c>
      <c r="D763" s="161"/>
      <c r="E763" s="161"/>
      <c r="F763" s="162"/>
      <c r="G763" s="162"/>
      <c r="H763" s="162"/>
      <c r="I763" s="160" t="s">
        <v>2034</v>
      </c>
      <c r="J763" s="163">
        <v>1.72</v>
      </c>
      <c r="K763" s="163"/>
      <c r="L763" s="163"/>
      <c r="M763" s="164">
        <v>37</v>
      </c>
      <c r="N763" s="164"/>
      <c r="O763" s="164"/>
      <c r="P763" s="159" t="s">
        <v>2035</v>
      </c>
      <c r="Q763" s="159" t="s">
        <v>581</v>
      </c>
      <c r="R763" s="159" t="s">
        <v>2036</v>
      </c>
      <c r="S763" s="165">
        <v>1.7010748456120099E-2</v>
      </c>
      <c r="T763" s="166" t="s">
        <v>372</v>
      </c>
      <c r="U763" s="166"/>
      <c r="V763" s="166"/>
      <c r="W763" s="167">
        <f>IF(BetTable[Sport]="","",BetTable[Stake]+BetTable[S2]+BetTable[S3])</f>
        <v>37</v>
      </c>
      <c r="X763" s="164">
        <f>IF(BetTable[Odds]="","",(BetTable[WBA1-Commission])-BetTable[TS])</f>
        <v>26.64</v>
      </c>
      <c r="Y763" s="168">
        <f>IF(BetTable[Outcome]="","",BetTable[WBA1]+BetTable[WBA2]+BetTable[WBA3]-BetTable[TS])</f>
        <v>26.64</v>
      </c>
      <c r="Z763" s="164">
        <f>(((BetTable[Odds]-1)*BetTable[Stake])*(1-(BetTable[Comm %]))+BetTable[Stake])</f>
        <v>63.64</v>
      </c>
      <c r="AA763" s="164">
        <f>(((BetTable[O2]-1)*BetTable[S2])*(1-(BetTable[C% 2]))+BetTable[S2])</f>
        <v>0</v>
      </c>
      <c r="AB763" s="164">
        <f>(((BetTable[O3]-1)*BetTable[S3])*(1-(BetTable[C% 3]))+BetTable[S3])</f>
        <v>0</v>
      </c>
      <c r="AC763" s="165">
        <f>IFERROR(IF(BetTable[Sport]="","",BetTable[R1]/BetTable[TS]),"")</f>
        <v>0.72</v>
      </c>
      <c r="AD763" s="165" t="str">
        <f>IF(BetTable[O2]="","",#REF!/BetTable[TS])</f>
        <v/>
      </c>
      <c r="AE763" s="165" t="str">
        <f>IFERROR(IF(BetTable[Sport]="","",#REF!/BetTable[TS]),"")</f>
        <v/>
      </c>
      <c r="AF763" s="164">
        <f>IF(BetTable[Outcome]="Win",BetTable[WBA1-Commission],IF(BetTable[Outcome]="Win Half Stake",(BetTable[Stake]/2)+BetTable[WBA1-Commission]/2,IF(BetTable[Outcome]="Lose Half Stake",BetTable[Stake]/2,IF(BetTable[Outcome]="Lose",0,IF(BetTable[Outcome]="Void",BetTable[Stake],)))))</f>
        <v>63.64</v>
      </c>
      <c r="AG763" s="164">
        <f>IF(BetTable[Outcome2]="Win",BetTable[WBA2-Commission],IF(BetTable[Outcome2]="Win Half Stake",(BetTable[S2]/2)+BetTable[WBA2-Commission]/2,IF(BetTable[Outcome2]="Lose Half Stake",BetTable[S2]/2,IF(BetTable[Outcome2]="Lose",0,IF(BetTable[Outcome2]="Void",BetTable[S2],)))))</f>
        <v>0</v>
      </c>
      <c r="AH763" s="164">
        <f>IF(BetTable[Outcome3]="Win",BetTable[WBA3-Commission],IF(BetTable[Outcome3]="Win Half Stake",(BetTable[S3]/2)+BetTable[WBA3-Commission]/2,IF(BetTable[Outcome3]="Lose Half Stake",BetTable[S3]/2,IF(BetTable[Outcome3]="Lose",0,IF(BetTable[Outcome3]="Void",BetTable[S3],)))))</f>
        <v>0</v>
      </c>
      <c r="AI763" s="168">
        <f>IF(BetTable[Outcome]="",AI762,BetTable[Result]+AI762)</f>
        <v>1432.5422500000009</v>
      </c>
      <c r="AJ763" s="160"/>
    </row>
    <row r="764" spans="1:36" x14ac:dyDescent="0.2">
      <c r="A764" s="159" t="s">
        <v>1790</v>
      </c>
      <c r="B764" s="160" t="s">
        <v>200</v>
      </c>
      <c r="C764" s="161" t="s">
        <v>1714</v>
      </c>
      <c r="D764" s="161"/>
      <c r="E764" s="161"/>
      <c r="F764" s="162"/>
      <c r="G764" s="162"/>
      <c r="H764" s="162"/>
      <c r="I764" s="160" t="s">
        <v>2037</v>
      </c>
      <c r="J764" s="163">
        <v>1.83</v>
      </c>
      <c r="K764" s="163"/>
      <c r="L764" s="163"/>
      <c r="M764" s="164">
        <v>32</v>
      </c>
      <c r="N764" s="164"/>
      <c r="O764" s="164"/>
      <c r="P764" s="159" t="s">
        <v>1501</v>
      </c>
      <c r="Q764" s="159" t="s">
        <v>474</v>
      </c>
      <c r="R764" s="159" t="s">
        <v>2038</v>
      </c>
      <c r="S764" s="165">
        <v>1.7144892043430199E-2</v>
      </c>
      <c r="T764" s="166" t="s">
        <v>372</v>
      </c>
      <c r="U764" s="166"/>
      <c r="V764" s="166"/>
      <c r="W764" s="167">
        <f>IF(BetTable[Sport]="","",BetTable[Stake]+BetTable[S2]+BetTable[S3])</f>
        <v>32</v>
      </c>
      <c r="X764" s="164">
        <f>IF(BetTable[Odds]="","",(BetTable[WBA1-Commission])-BetTable[TS])</f>
        <v>26.560000000000002</v>
      </c>
      <c r="Y764" s="168">
        <f>IF(BetTable[Outcome]="","",BetTable[WBA1]+BetTable[WBA2]+BetTable[WBA3]-BetTable[TS])</f>
        <v>26.560000000000002</v>
      </c>
      <c r="Z764" s="164">
        <f>(((BetTable[Odds]-1)*BetTable[Stake])*(1-(BetTable[Comm %]))+BetTable[Stake])</f>
        <v>58.56</v>
      </c>
      <c r="AA764" s="164">
        <f>(((BetTable[O2]-1)*BetTable[S2])*(1-(BetTable[C% 2]))+BetTable[S2])</f>
        <v>0</v>
      </c>
      <c r="AB764" s="164">
        <f>(((BetTable[O3]-1)*BetTable[S3])*(1-(BetTable[C% 3]))+BetTable[S3])</f>
        <v>0</v>
      </c>
      <c r="AC764" s="165">
        <f>IFERROR(IF(BetTable[Sport]="","",BetTable[R1]/BetTable[TS]),"")</f>
        <v>0.83000000000000007</v>
      </c>
      <c r="AD764" s="165" t="str">
        <f>IF(BetTable[O2]="","",#REF!/BetTable[TS])</f>
        <v/>
      </c>
      <c r="AE764" s="165" t="str">
        <f>IFERROR(IF(BetTable[Sport]="","",#REF!/BetTable[TS]),"")</f>
        <v/>
      </c>
      <c r="AF764" s="164">
        <f>IF(BetTable[Outcome]="Win",BetTable[WBA1-Commission],IF(BetTable[Outcome]="Win Half Stake",(BetTable[Stake]/2)+BetTable[WBA1-Commission]/2,IF(BetTable[Outcome]="Lose Half Stake",BetTable[Stake]/2,IF(BetTable[Outcome]="Lose",0,IF(BetTable[Outcome]="Void",BetTable[Stake],)))))</f>
        <v>58.56</v>
      </c>
      <c r="AG764" s="164">
        <f>IF(BetTable[Outcome2]="Win",BetTable[WBA2-Commission],IF(BetTable[Outcome2]="Win Half Stake",(BetTable[S2]/2)+BetTable[WBA2-Commission]/2,IF(BetTable[Outcome2]="Lose Half Stake",BetTable[S2]/2,IF(BetTable[Outcome2]="Lose",0,IF(BetTable[Outcome2]="Void",BetTable[S2],)))))</f>
        <v>0</v>
      </c>
      <c r="AH764" s="164">
        <f>IF(BetTable[Outcome3]="Win",BetTable[WBA3-Commission],IF(BetTable[Outcome3]="Win Half Stake",(BetTable[S3]/2)+BetTable[WBA3-Commission]/2,IF(BetTable[Outcome3]="Lose Half Stake",BetTable[S3]/2,IF(BetTable[Outcome3]="Lose",0,IF(BetTable[Outcome3]="Void",BetTable[S3],)))))</f>
        <v>0</v>
      </c>
      <c r="AI764" s="168">
        <f>IF(BetTable[Outcome]="",AI763,BetTable[Result]+AI763)</f>
        <v>1459.1022500000008</v>
      </c>
      <c r="AJ764" s="160"/>
    </row>
    <row r="765" spans="1:36" x14ac:dyDescent="0.2">
      <c r="A765" s="159" t="s">
        <v>1790</v>
      </c>
      <c r="B765" s="160" t="s">
        <v>200</v>
      </c>
      <c r="C765" s="161" t="s">
        <v>1714</v>
      </c>
      <c r="D765" s="161"/>
      <c r="E765" s="161"/>
      <c r="F765" s="162"/>
      <c r="G765" s="162"/>
      <c r="H765" s="162"/>
      <c r="I765" s="160" t="s">
        <v>2039</v>
      </c>
      <c r="J765" s="163">
        <v>4.05</v>
      </c>
      <c r="K765" s="163"/>
      <c r="L765" s="163"/>
      <c r="M765" s="164">
        <v>10</v>
      </c>
      <c r="N765" s="164"/>
      <c r="O765" s="164"/>
      <c r="P765" s="159" t="s">
        <v>494</v>
      </c>
      <c r="Q765" s="159" t="s">
        <v>547</v>
      </c>
      <c r="R765" s="159" t="s">
        <v>2040</v>
      </c>
      <c r="S765" s="165">
        <v>1.98731739775714E-2</v>
      </c>
      <c r="T765" s="166" t="s">
        <v>382</v>
      </c>
      <c r="U765" s="166"/>
      <c r="V765" s="166"/>
      <c r="W765" s="167">
        <f>IF(BetTable[Sport]="","",BetTable[Stake]+BetTable[S2]+BetTable[S3])</f>
        <v>10</v>
      </c>
      <c r="X765" s="164">
        <f>IF(BetTable[Odds]="","",(BetTable[WBA1-Commission])-BetTable[TS])</f>
        <v>30.5</v>
      </c>
      <c r="Y765" s="168">
        <f>IF(BetTable[Outcome]="","",BetTable[WBA1]+BetTable[WBA2]+BetTable[WBA3]-BetTable[TS])</f>
        <v>-10</v>
      </c>
      <c r="Z765" s="164">
        <f>(((BetTable[Odds]-1)*BetTable[Stake])*(1-(BetTable[Comm %]))+BetTable[Stake])</f>
        <v>40.5</v>
      </c>
      <c r="AA765" s="164">
        <f>(((BetTable[O2]-1)*BetTable[S2])*(1-(BetTable[C% 2]))+BetTable[S2])</f>
        <v>0</v>
      </c>
      <c r="AB765" s="164">
        <f>(((BetTable[O3]-1)*BetTable[S3])*(1-(BetTable[C% 3]))+BetTable[S3])</f>
        <v>0</v>
      </c>
      <c r="AC765" s="165">
        <f>IFERROR(IF(BetTable[Sport]="","",BetTable[R1]/BetTable[TS]),"")</f>
        <v>3.05</v>
      </c>
      <c r="AD765" s="165" t="str">
        <f>IF(BetTable[O2]="","",#REF!/BetTable[TS])</f>
        <v/>
      </c>
      <c r="AE765" s="165" t="str">
        <f>IFERROR(IF(BetTable[Sport]="","",#REF!/BetTable[TS]),"")</f>
        <v/>
      </c>
      <c r="AF765" s="164">
        <f>IF(BetTable[Outcome]="Win",BetTable[WBA1-Commission],IF(BetTable[Outcome]="Win Half Stake",(BetTable[Stake]/2)+BetTable[WBA1-Commission]/2,IF(BetTable[Outcome]="Lose Half Stake",BetTable[Stake]/2,IF(BetTable[Outcome]="Lose",0,IF(BetTable[Outcome]="Void",BetTable[Stake],)))))</f>
        <v>0</v>
      </c>
      <c r="AG765" s="164">
        <f>IF(BetTable[Outcome2]="Win",BetTable[WBA2-Commission],IF(BetTable[Outcome2]="Win Half Stake",(BetTable[S2]/2)+BetTable[WBA2-Commission]/2,IF(BetTable[Outcome2]="Lose Half Stake",BetTable[S2]/2,IF(BetTable[Outcome2]="Lose",0,IF(BetTable[Outcome2]="Void",BetTable[S2],)))))</f>
        <v>0</v>
      </c>
      <c r="AH765" s="164">
        <f>IF(BetTable[Outcome3]="Win",BetTable[WBA3-Commission],IF(BetTable[Outcome3]="Win Half Stake",(BetTable[S3]/2)+BetTable[WBA3-Commission]/2,IF(BetTable[Outcome3]="Lose Half Stake",BetTable[S3]/2,IF(BetTable[Outcome3]="Lose",0,IF(BetTable[Outcome3]="Void",BetTable[S3],)))))</f>
        <v>0</v>
      </c>
      <c r="AI765" s="168">
        <f>IF(BetTable[Outcome]="",AI764,BetTable[Result]+AI764)</f>
        <v>1449.1022500000008</v>
      </c>
      <c r="AJ765" s="160"/>
    </row>
    <row r="766" spans="1:36" x14ac:dyDescent="0.2">
      <c r="A766" s="159" t="s">
        <v>1790</v>
      </c>
      <c r="B766" s="160" t="s">
        <v>7</v>
      </c>
      <c r="C766" s="161" t="s">
        <v>1714</v>
      </c>
      <c r="D766" s="161"/>
      <c r="E766" s="161"/>
      <c r="F766" s="162"/>
      <c r="G766" s="162"/>
      <c r="H766" s="162"/>
      <c r="I766" s="160" t="s">
        <v>2041</v>
      </c>
      <c r="J766" s="163">
        <v>1.96</v>
      </c>
      <c r="K766" s="163"/>
      <c r="L766" s="163"/>
      <c r="M766" s="164">
        <v>28</v>
      </c>
      <c r="N766" s="164"/>
      <c r="O766" s="164"/>
      <c r="P766" s="159" t="s">
        <v>1725</v>
      </c>
      <c r="Q766" s="159" t="s">
        <v>474</v>
      </c>
      <c r="R766" s="159" t="s">
        <v>2042</v>
      </c>
      <c r="S766" s="165">
        <v>1.7658272914071099E-2</v>
      </c>
      <c r="T766" s="166" t="s">
        <v>382</v>
      </c>
      <c r="U766" s="166"/>
      <c r="V766" s="166"/>
      <c r="W766" s="167">
        <f>IF(BetTable[Sport]="","",BetTable[Stake]+BetTable[S2]+BetTable[S3])</f>
        <v>28</v>
      </c>
      <c r="X766" s="164">
        <f>IF(BetTable[Odds]="","",(BetTable[WBA1-Commission])-BetTable[TS])</f>
        <v>26.879999999999995</v>
      </c>
      <c r="Y766" s="168">
        <f>IF(BetTable[Outcome]="","",BetTable[WBA1]+BetTable[WBA2]+BetTable[WBA3]-BetTable[TS])</f>
        <v>-28</v>
      </c>
      <c r="Z766" s="164">
        <f>(((BetTable[Odds]-1)*BetTable[Stake])*(1-(BetTable[Comm %]))+BetTable[Stake])</f>
        <v>54.879999999999995</v>
      </c>
      <c r="AA766" s="164">
        <f>(((BetTable[O2]-1)*BetTable[S2])*(1-(BetTable[C% 2]))+BetTable[S2])</f>
        <v>0</v>
      </c>
      <c r="AB766" s="164">
        <f>(((BetTable[O3]-1)*BetTable[S3])*(1-(BetTable[C% 3]))+BetTable[S3])</f>
        <v>0</v>
      </c>
      <c r="AC766" s="165">
        <f>IFERROR(IF(BetTable[Sport]="","",BetTable[R1]/BetTable[TS]),"")</f>
        <v>0.95999999999999985</v>
      </c>
      <c r="AD766" s="165" t="str">
        <f>IF(BetTable[O2]="","",#REF!/BetTable[TS])</f>
        <v/>
      </c>
      <c r="AE766" s="165" t="str">
        <f>IFERROR(IF(BetTable[Sport]="","",#REF!/BetTable[TS]),"")</f>
        <v/>
      </c>
      <c r="AF766" s="164">
        <f>IF(BetTable[Outcome]="Win",BetTable[WBA1-Commission],IF(BetTable[Outcome]="Win Half Stake",(BetTable[Stake]/2)+BetTable[WBA1-Commission]/2,IF(BetTable[Outcome]="Lose Half Stake",BetTable[Stake]/2,IF(BetTable[Outcome]="Lose",0,IF(BetTable[Outcome]="Void",BetTable[Stake],)))))</f>
        <v>0</v>
      </c>
      <c r="AG766" s="164">
        <f>IF(BetTable[Outcome2]="Win",BetTable[WBA2-Commission],IF(BetTable[Outcome2]="Win Half Stake",(BetTable[S2]/2)+BetTable[WBA2-Commission]/2,IF(BetTable[Outcome2]="Lose Half Stake",BetTable[S2]/2,IF(BetTable[Outcome2]="Lose",0,IF(BetTable[Outcome2]="Void",BetTable[S2],)))))</f>
        <v>0</v>
      </c>
      <c r="AH766" s="164">
        <f>IF(BetTable[Outcome3]="Win",BetTable[WBA3-Commission],IF(BetTable[Outcome3]="Win Half Stake",(BetTable[S3]/2)+BetTable[WBA3-Commission]/2,IF(BetTable[Outcome3]="Lose Half Stake",BetTable[S3]/2,IF(BetTable[Outcome3]="Lose",0,IF(BetTable[Outcome3]="Void",BetTable[S3],)))))</f>
        <v>0</v>
      </c>
      <c r="AI766" s="168">
        <f>IF(BetTable[Outcome]="",AI765,BetTable[Result]+AI765)</f>
        <v>1421.1022500000008</v>
      </c>
      <c r="AJ766" s="160"/>
    </row>
    <row r="767" spans="1:36" x14ac:dyDescent="0.2">
      <c r="A767" s="212" t="s">
        <v>1790</v>
      </c>
      <c r="B767" s="213" t="s">
        <v>201</v>
      </c>
      <c r="C767" s="214" t="s">
        <v>91</v>
      </c>
      <c r="D767" s="214"/>
      <c r="E767" s="214"/>
      <c r="F767" s="215"/>
      <c r="G767" s="215"/>
      <c r="H767" s="215"/>
      <c r="I767" s="213" t="s">
        <v>2043</v>
      </c>
      <c r="J767" s="216">
        <v>1.9</v>
      </c>
      <c r="K767" s="216"/>
      <c r="L767" s="216"/>
      <c r="M767" s="217">
        <v>33</v>
      </c>
      <c r="N767" s="217"/>
      <c r="O767" s="217"/>
      <c r="P767" s="212" t="s">
        <v>2044</v>
      </c>
      <c r="Q767" s="212" t="s">
        <v>506</v>
      </c>
      <c r="R767" s="212" t="s">
        <v>2045</v>
      </c>
      <c r="S767" s="218">
        <v>1.9162557459701E-2</v>
      </c>
      <c r="T767" s="219" t="s">
        <v>372</v>
      </c>
      <c r="U767" s="219"/>
      <c r="V767" s="219"/>
      <c r="W767" s="220">
        <f>IF(BetTable[Sport]="","",BetTable[Stake]+BetTable[S2]+BetTable[S3])</f>
        <v>33</v>
      </c>
      <c r="X767" s="217">
        <f>IF(BetTable[Odds]="","",(BetTable[WBA1-Commission])-BetTable[TS])</f>
        <v>29.699999999999996</v>
      </c>
      <c r="Y767" s="221">
        <f>IF(BetTable[Outcome]="","",BetTable[WBA1]+BetTable[WBA2]+BetTable[WBA3]-BetTable[TS])</f>
        <v>29.699999999999996</v>
      </c>
      <c r="Z767" s="217">
        <f>(((BetTable[Odds]-1)*BetTable[Stake])*(1-(BetTable[Comm %]))+BetTable[Stake])</f>
        <v>62.699999999999996</v>
      </c>
      <c r="AA767" s="217">
        <f>(((BetTable[O2]-1)*BetTable[S2])*(1-(BetTable[C% 2]))+BetTable[S2])</f>
        <v>0</v>
      </c>
      <c r="AB767" s="217">
        <f>(((BetTable[O3]-1)*BetTable[S3])*(1-(BetTable[C% 3]))+BetTable[S3])</f>
        <v>0</v>
      </c>
      <c r="AC767" s="218">
        <f>IFERROR(IF(BetTable[Sport]="","",BetTable[R1]/BetTable[TS]),"")</f>
        <v>0.89999999999999991</v>
      </c>
      <c r="AD767" s="218" t="str">
        <f>IF(BetTable[O2]="","",#REF!/BetTable[TS])</f>
        <v/>
      </c>
      <c r="AE767" s="218" t="str">
        <f>IFERROR(IF(BetTable[Sport]="","",#REF!/BetTable[TS]),"")</f>
        <v/>
      </c>
      <c r="AF767" s="217">
        <f>IF(BetTable[Outcome]="Win",BetTable[WBA1-Commission],IF(BetTable[Outcome]="Win Half Stake",(BetTable[Stake]/2)+BetTable[WBA1-Commission]/2,IF(BetTable[Outcome]="Lose Half Stake",BetTable[Stake]/2,IF(BetTable[Outcome]="Lose",0,IF(BetTable[Outcome]="Void",BetTable[Stake],)))))</f>
        <v>62.699999999999996</v>
      </c>
      <c r="AG767" s="217">
        <f>IF(BetTable[Outcome2]="Win",BetTable[WBA2-Commission],IF(BetTable[Outcome2]="Win Half Stake",(BetTable[S2]/2)+BetTable[WBA2-Commission]/2,IF(BetTable[Outcome2]="Lose Half Stake",BetTable[S2]/2,IF(BetTable[Outcome2]="Lose",0,IF(BetTable[Outcome2]="Void",BetTable[S2],)))))</f>
        <v>0</v>
      </c>
      <c r="AH767" s="217">
        <f>IF(BetTable[Outcome3]="Win",BetTable[WBA3-Commission],IF(BetTable[Outcome3]="Win Half Stake",(BetTable[S3]/2)+BetTable[WBA3-Commission]/2,IF(BetTable[Outcome3]="Lose Half Stake",BetTable[S3]/2,IF(BetTable[Outcome3]="Lose",0,IF(BetTable[Outcome3]="Void",BetTable[S3],)))))</f>
        <v>0</v>
      </c>
      <c r="AI767" s="221">
        <f>IF(BetTable[Outcome]="",AI766,BetTable[Result]+AI766)</f>
        <v>1450.8022500000009</v>
      </c>
      <c r="AJ767" s="213"/>
    </row>
    <row r="768" spans="1:36" x14ac:dyDescent="0.2">
      <c r="A768" s="212" t="s">
        <v>1790</v>
      </c>
      <c r="B768" s="213" t="s">
        <v>7</v>
      </c>
      <c r="C768" s="214" t="s">
        <v>1714</v>
      </c>
      <c r="D768" s="214"/>
      <c r="E768" s="214"/>
      <c r="F768" s="215"/>
      <c r="G768" s="215"/>
      <c r="H768" s="215"/>
      <c r="I768" s="213" t="s">
        <v>2046</v>
      </c>
      <c r="J768" s="216">
        <v>2.12</v>
      </c>
      <c r="K768" s="216"/>
      <c r="L768" s="216"/>
      <c r="M768" s="217">
        <v>27</v>
      </c>
      <c r="N768" s="217"/>
      <c r="O768" s="217"/>
      <c r="P768" s="212" t="s">
        <v>1135</v>
      </c>
      <c r="Q768" s="212" t="s">
        <v>530</v>
      </c>
      <c r="R768" s="212" t="s">
        <v>2047</v>
      </c>
      <c r="S768" s="218">
        <v>1.9267582358249501E-2</v>
      </c>
      <c r="T768" s="219" t="s">
        <v>372</v>
      </c>
      <c r="U768" s="219"/>
      <c r="V768" s="219"/>
      <c r="W768" s="220">
        <f>IF(BetTable[Sport]="","",BetTable[Stake]+BetTable[S2]+BetTable[S3])</f>
        <v>27</v>
      </c>
      <c r="X768" s="217">
        <f>IF(BetTable[Odds]="","",(BetTable[WBA1-Commission])-BetTable[TS])</f>
        <v>30.240000000000002</v>
      </c>
      <c r="Y768" s="221">
        <f>IF(BetTable[Outcome]="","",BetTable[WBA1]+BetTable[WBA2]+BetTable[WBA3]-BetTable[TS])</f>
        <v>30.240000000000002</v>
      </c>
      <c r="Z768" s="217">
        <f>(((BetTable[Odds]-1)*BetTable[Stake])*(1-(BetTable[Comm %]))+BetTable[Stake])</f>
        <v>57.24</v>
      </c>
      <c r="AA768" s="217">
        <f>(((BetTable[O2]-1)*BetTable[S2])*(1-(BetTable[C% 2]))+BetTable[S2])</f>
        <v>0</v>
      </c>
      <c r="AB768" s="217">
        <f>(((BetTable[O3]-1)*BetTable[S3])*(1-(BetTable[C% 3]))+BetTable[S3])</f>
        <v>0</v>
      </c>
      <c r="AC768" s="218">
        <f>IFERROR(IF(BetTable[Sport]="","",BetTable[R1]/BetTable[TS]),"")</f>
        <v>1.1200000000000001</v>
      </c>
      <c r="AD768" s="218" t="str">
        <f>IF(BetTable[O2]="","",#REF!/BetTable[TS])</f>
        <v/>
      </c>
      <c r="AE768" s="218" t="str">
        <f>IFERROR(IF(BetTable[Sport]="","",#REF!/BetTable[TS]),"")</f>
        <v/>
      </c>
      <c r="AF768" s="217">
        <f>IF(BetTable[Outcome]="Win",BetTable[WBA1-Commission],IF(BetTable[Outcome]="Win Half Stake",(BetTable[Stake]/2)+BetTable[WBA1-Commission]/2,IF(BetTable[Outcome]="Lose Half Stake",BetTable[Stake]/2,IF(BetTable[Outcome]="Lose",0,IF(BetTable[Outcome]="Void",BetTable[Stake],)))))</f>
        <v>57.24</v>
      </c>
      <c r="AG768" s="217">
        <f>IF(BetTable[Outcome2]="Win",BetTable[WBA2-Commission],IF(BetTable[Outcome2]="Win Half Stake",(BetTable[S2]/2)+BetTable[WBA2-Commission]/2,IF(BetTable[Outcome2]="Lose Half Stake",BetTable[S2]/2,IF(BetTable[Outcome2]="Lose",0,IF(BetTable[Outcome2]="Void",BetTable[S2],)))))</f>
        <v>0</v>
      </c>
      <c r="AH768" s="217">
        <f>IF(BetTable[Outcome3]="Win",BetTable[WBA3-Commission],IF(BetTable[Outcome3]="Win Half Stake",(BetTable[S3]/2)+BetTable[WBA3-Commission]/2,IF(BetTable[Outcome3]="Lose Half Stake",BetTable[S3]/2,IF(BetTable[Outcome3]="Lose",0,IF(BetTable[Outcome3]="Void",BetTable[S3],)))))</f>
        <v>0</v>
      </c>
      <c r="AI768" s="221">
        <f>IF(BetTable[Outcome]="",AI767,BetTable[Result]+AI767)</f>
        <v>1481.0422500000009</v>
      </c>
      <c r="AJ768" s="213"/>
    </row>
    <row r="769" spans="1:36" x14ac:dyDescent="0.2">
      <c r="A769" s="212" t="s">
        <v>1790</v>
      </c>
      <c r="B769" s="213" t="s">
        <v>7</v>
      </c>
      <c r="C769" s="214" t="s">
        <v>91</v>
      </c>
      <c r="D769" s="214"/>
      <c r="E769" s="214"/>
      <c r="F769" s="215"/>
      <c r="G769" s="215"/>
      <c r="H769" s="215"/>
      <c r="I769" s="213" t="s">
        <v>2048</v>
      </c>
      <c r="J769" s="216">
        <v>1.94</v>
      </c>
      <c r="K769" s="216"/>
      <c r="L769" s="216"/>
      <c r="M769" s="217">
        <v>49</v>
      </c>
      <c r="N769" s="217"/>
      <c r="O769" s="217"/>
      <c r="P769" s="212" t="s">
        <v>2049</v>
      </c>
      <c r="Q769" s="212" t="s">
        <v>503</v>
      </c>
      <c r="R769" s="212" t="s">
        <v>2050</v>
      </c>
      <c r="S769" s="218">
        <v>2.9892955664568999E-2</v>
      </c>
      <c r="T769" s="219" t="s">
        <v>372</v>
      </c>
      <c r="U769" s="219"/>
      <c r="V769" s="219"/>
      <c r="W769" s="220">
        <f>IF(BetTable[Sport]="","",BetTable[Stake]+BetTable[S2]+BetTable[S3])</f>
        <v>49</v>
      </c>
      <c r="X769" s="217">
        <f>IF(BetTable[Odds]="","",(BetTable[WBA1-Commission])-BetTable[TS])</f>
        <v>46.06</v>
      </c>
      <c r="Y769" s="221">
        <f>IF(BetTable[Outcome]="","",BetTable[WBA1]+BetTable[WBA2]+BetTable[WBA3]-BetTable[TS])</f>
        <v>46.06</v>
      </c>
      <c r="Z769" s="217">
        <f>(((BetTable[Odds]-1)*BetTable[Stake])*(1-(BetTable[Comm %]))+BetTable[Stake])</f>
        <v>95.06</v>
      </c>
      <c r="AA769" s="217">
        <f>(((BetTable[O2]-1)*BetTable[S2])*(1-(BetTable[C% 2]))+BetTable[S2])</f>
        <v>0</v>
      </c>
      <c r="AB769" s="217">
        <f>(((BetTable[O3]-1)*BetTable[S3])*(1-(BetTable[C% 3]))+BetTable[S3])</f>
        <v>0</v>
      </c>
      <c r="AC769" s="218">
        <f>IFERROR(IF(BetTable[Sport]="","",BetTable[R1]/BetTable[TS]),"")</f>
        <v>0.94000000000000006</v>
      </c>
      <c r="AD769" s="218" t="str">
        <f>IF(BetTable[O2]="","",#REF!/BetTable[TS])</f>
        <v/>
      </c>
      <c r="AE769" s="218" t="str">
        <f>IFERROR(IF(BetTable[Sport]="","",#REF!/BetTable[TS]),"")</f>
        <v/>
      </c>
      <c r="AF769" s="217">
        <f>IF(BetTable[Outcome]="Win",BetTable[WBA1-Commission],IF(BetTable[Outcome]="Win Half Stake",(BetTable[Stake]/2)+BetTable[WBA1-Commission]/2,IF(BetTable[Outcome]="Lose Half Stake",BetTable[Stake]/2,IF(BetTable[Outcome]="Lose",0,IF(BetTable[Outcome]="Void",BetTable[Stake],)))))</f>
        <v>95.06</v>
      </c>
      <c r="AG769" s="217">
        <f>IF(BetTable[Outcome2]="Win",BetTable[WBA2-Commission],IF(BetTable[Outcome2]="Win Half Stake",(BetTable[S2]/2)+BetTable[WBA2-Commission]/2,IF(BetTable[Outcome2]="Lose Half Stake",BetTable[S2]/2,IF(BetTable[Outcome2]="Lose",0,IF(BetTable[Outcome2]="Void",BetTable[S2],)))))</f>
        <v>0</v>
      </c>
      <c r="AH769" s="217">
        <f>IF(BetTable[Outcome3]="Win",BetTable[WBA3-Commission],IF(BetTable[Outcome3]="Win Half Stake",(BetTable[S3]/2)+BetTable[WBA3-Commission]/2,IF(BetTable[Outcome3]="Lose Half Stake",BetTable[S3]/2,IF(BetTable[Outcome3]="Lose",0,IF(BetTable[Outcome3]="Void",BetTable[S3],)))))</f>
        <v>0</v>
      </c>
      <c r="AI769" s="221">
        <f>IF(BetTable[Outcome]="",AI768,BetTable[Result]+AI768)</f>
        <v>1527.1022500000008</v>
      </c>
      <c r="AJ769" s="213"/>
    </row>
    <row r="770" spans="1:36" x14ac:dyDescent="0.2">
      <c r="A770" s="212" t="s">
        <v>1790</v>
      </c>
      <c r="B770" s="213" t="s">
        <v>7</v>
      </c>
      <c r="C770" s="214" t="s">
        <v>91</v>
      </c>
      <c r="D770" s="214"/>
      <c r="E770" s="214"/>
      <c r="F770" s="215"/>
      <c r="G770" s="215"/>
      <c r="H770" s="215"/>
      <c r="I770" s="213" t="s">
        <v>2051</v>
      </c>
      <c r="J770" s="216">
        <v>1.9</v>
      </c>
      <c r="K770" s="216"/>
      <c r="L770" s="216"/>
      <c r="M770" s="217">
        <v>32</v>
      </c>
      <c r="N770" s="217"/>
      <c r="O770" s="217"/>
      <c r="P770" s="212" t="s">
        <v>2052</v>
      </c>
      <c r="Q770" s="212" t="s">
        <v>703</v>
      </c>
      <c r="R770" s="212" t="s">
        <v>2053</v>
      </c>
      <c r="S770" s="218">
        <v>2.2915482825094501E-2</v>
      </c>
      <c r="T770" s="219" t="s">
        <v>372</v>
      </c>
      <c r="U770" s="219"/>
      <c r="V770" s="219"/>
      <c r="W770" s="220">
        <f>IF(BetTable[Sport]="","",BetTable[Stake]+BetTable[S2]+BetTable[S3])</f>
        <v>32</v>
      </c>
      <c r="X770" s="217">
        <f>IF(BetTable[Odds]="","",(BetTable[WBA1-Commission])-BetTable[TS])</f>
        <v>28.799999999999997</v>
      </c>
      <c r="Y770" s="221">
        <f>IF(BetTable[Outcome]="","",BetTable[WBA1]+BetTable[WBA2]+BetTable[WBA3]-BetTable[TS])</f>
        <v>28.799999999999997</v>
      </c>
      <c r="Z770" s="217">
        <f>(((BetTable[Odds]-1)*BetTable[Stake])*(1-(BetTable[Comm %]))+BetTable[Stake])</f>
        <v>60.8</v>
      </c>
      <c r="AA770" s="217">
        <f>(((BetTable[O2]-1)*BetTable[S2])*(1-(BetTable[C% 2]))+BetTable[S2])</f>
        <v>0</v>
      </c>
      <c r="AB770" s="217">
        <f>(((BetTable[O3]-1)*BetTable[S3])*(1-(BetTable[C% 3]))+BetTable[S3])</f>
        <v>0</v>
      </c>
      <c r="AC770" s="218">
        <f>IFERROR(IF(BetTable[Sport]="","",BetTable[R1]/BetTable[TS]),"")</f>
        <v>0.89999999999999991</v>
      </c>
      <c r="AD770" s="218" t="str">
        <f>IF(BetTable[O2]="","",#REF!/BetTable[TS])</f>
        <v/>
      </c>
      <c r="AE770" s="218" t="str">
        <f>IFERROR(IF(BetTable[Sport]="","",#REF!/BetTable[TS]),"")</f>
        <v/>
      </c>
      <c r="AF770" s="217">
        <f>IF(BetTable[Outcome]="Win",BetTable[WBA1-Commission],IF(BetTable[Outcome]="Win Half Stake",(BetTable[Stake]/2)+BetTable[WBA1-Commission]/2,IF(BetTable[Outcome]="Lose Half Stake",BetTable[Stake]/2,IF(BetTable[Outcome]="Lose",0,IF(BetTable[Outcome]="Void",BetTable[Stake],)))))</f>
        <v>60.8</v>
      </c>
      <c r="AG770" s="217">
        <f>IF(BetTable[Outcome2]="Win",BetTable[WBA2-Commission],IF(BetTable[Outcome2]="Win Half Stake",(BetTable[S2]/2)+BetTable[WBA2-Commission]/2,IF(BetTable[Outcome2]="Lose Half Stake",BetTable[S2]/2,IF(BetTable[Outcome2]="Lose",0,IF(BetTable[Outcome2]="Void",BetTable[S2],)))))</f>
        <v>0</v>
      </c>
      <c r="AH770" s="217">
        <f>IF(BetTable[Outcome3]="Win",BetTable[WBA3-Commission],IF(BetTable[Outcome3]="Win Half Stake",(BetTable[S3]/2)+BetTable[WBA3-Commission]/2,IF(BetTable[Outcome3]="Lose Half Stake",BetTable[S3]/2,IF(BetTable[Outcome3]="Lose",0,IF(BetTable[Outcome3]="Void",BetTable[S3],)))))</f>
        <v>0</v>
      </c>
      <c r="AI770" s="221">
        <f>IF(BetTable[Outcome]="",AI769,BetTable[Result]+AI769)</f>
        <v>1555.9022500000008</v>
      </c>
      <c r="AJ770" s="213"/>
    </row>
    <row r="771" spans="1:36" x14ac:dyDescent="0.2">
      <c r="A771" s="212" t="s">
        <v>1790</v>
      </c>
      <c r="B771" s="213" t="s">
        <v>200</v>
      </c>
      <c r="C771" s="214" t="s">
        <v>91</v>
      </c>
      <c r="D771" s="214"/>
      <c r="E771" s="214"/>
      <c r="F771" s="215"/>
      <c r="G771" s="215"/>
      <c r="H771" s="215"/>
      <c r="I771" s="213" t="s">
        <v>2054</v>
      </c>
      <c r="J771" s="216">
        <v>2.12</v>
      </c>
      <c r="K771" s="216"/>
      <c r="L771" s="216"/>
      <c r="M771" s="217">
        <v>21</v>
      </c>
      <c r="N771" s="217"/>
      <c r="O771" s="217"/>
      <c r="P771" s="212" t="s">
        <v>351</v>
      </c>
      <c r="Q771" s="212" t="s">
        <v>474</v>
      </c>
      <c r="R771" s="212" t="s">
        <v>2055</v>
      </c>
      <c r="S771" s="218">
        <v>1.54935322432338E-2</v>
      </c>
      <c r="T771" s="219" t="s">
        <v>372</v>
      </c>
      <c r="U771" s="219"/>
      <c r="V771" s="219"/>
      <c r="W771" s="220">
        <f>IF(BetTable[Sport]="","",BetTable[Stake]+BetTable[S2]+BetTable[S3])</f>
        <v>21</v>
      </c>
      <c r="X771" s="217">
        <f>IF(BetTable[Odds]="","",(BetTable[WBA1-Commission])-BetTable[TS])</f>
        <v>23.520000000000003</v>
      </c>
      <c r="Y771" s="221">
        <f>IF(BetTable[Outcome]="","",BetTable[WBA1]+BetTable[WBA2]+BetTable[WBA3]-BetTable[TS])</f>
        <v>23.520000000000003</v>
      </c>
      <c r="Z771" s="217">
        <f>(((BetTable[Odds]-1)*BetTable[Stake])*(1-(BetTable[Comm %]))+BetTable[Stake])</f>
        <v>44.52</v>
      </c>
      <c r="AA771" s="217">
        <f>(((BetTable[O2]-1)*BetTable[S2])*(1-(BetTable[C% 2]))+BetTable[S2])</f>
        <v>0</v>
      </c>
      <c r="AB771" s="217">
        <f>(((BetTable[O3]-1)*BetTable[S3])*(1-(BetTable[C% 3]))+BetTable[S3])</f>
        <v>0</v>
      </c>
      <c r="AC771" s="218">
        <f>IFERROR(IF(BetTable[Sport]="","",BetTable[R1]/BetTable[TS]),"")</f>
        <v>1.1200000000000001</v>
      </c>
      <c r="AD771" s="218" t="str">
        <f>IF(BetTable[O2]="","",#REF!/BetTable[TS])</f>
        <v/>
      </c>
      <c r="AE771" s="218" t="str">
        <f>IFERROR(IF(BetTable[Sport]="","",#REF!/BetTable[TS]),"")</f>
        <v/>
      </c>
      <c r="AF771" s="217">
        <f>IF(BetTable[Outcome]="Win",BetTable[WBA1-Commission],IF(BetTable[Outcome]="Win Half Stake",(BetTable[Stake]/2)+BetTable[WBA1-Commission]/2,IF(BetTable[Outcome]="Lose Half Stake",BetTable[Stake]/2,IF(BetTable[Outcome]="Lose",0,IF(BetTable[Outcome]="Void",BetTable[Stake],)))))</f>
        <v>44.52</v>
      </c>
      <c r="AG771" s="217">
        <f>IF(BetTable[Outcome2]="Win",BetTable[WBA2-Commission],IF(BetTable[Outcome2]="Win Half Stake",(BetTable[S2]/2)+BetTable[WBA2-Commission]/2,IF(BetTable[Outcome2]="Lose Half Stake",BetTable[S2]/2,IF(BetTable[Outcome2]="Lose",0,IF(BetTable[Outcome2]="Void",BetTable[S2],)))))</f>
        <v>0</v>
      </c>
      <c r="AH771" s="217">
        <f>IF(BetTable[Outcome3]="Win",BetTable[WBA3-Commission],IF(BetTable[Outcome3]="Win Half Stake",(BetTable[S3]/2)+BetTable[WBA3-Commission]/2,IF(BetTable[Outcome3]="Lose Half Stake",BetTable[S3]/2,IF(BetTable[Outcome3]="Lose",0,IF(BetTable[Outcome3]="Void",BetTable[S3],)))))</f>
        <v>0</v>
      </c>
      <c r="AI771" s="221">
        <f>IF(BetTable[Outcome]="",AI770,BetTable[Result]+AI770)</f>
        <v>1579.4222500000008</v>
      </c>
      <c r="AJ771" s="213"/>
    </row>
    <row r="772" spans="1:36" x14ac:dyDescent="0.2">
      <c r="A772" s="212" t="s">
        <v>1790</v>
      </c>
      <c r="B772" s="213" t="s">
        <v>200</v>
      </c>
      <c r="C772" s="214" t="s">
        <v>1714</v>
      </c>
      <c r="D772" s="214"/>
      <c r="E772" s="214"/>
      <c r="F772" s="215"/>
      <c r="G772" s="215"/>
      <c r="H772" s="215"/>
      <c r="I772" s="213" t="s">
        <v>2056</v>
      </c>
      <c r="J772" s="216">
        <v>3.55</v>
      </c>
      <c r="K772" s="216"/>
      <c r="L772" s="216"/>
      <c r="M772" s="217">
        <v>13</v>
      </c>
      <c r="N772" s="217"/>
      <c r="O772" s="217"/>
      <c r="P772" s="212" t="s">
        <v>494</v>
      </c>
      <c r="Q772" s="212" t="s">
        <v>1083</v>
      </c>
      <c r="R772" s="212" t="s">
        <v>2057</v>
      </c>
      <c r="S772" s="218">
        <v>2.0879900016824E-2</v>
      </c>
      <c r="T772" s="219" t="s">
        <v>382</v>
      </c>
      <c r="U772" s="219"/>
      <c r="V772" s="219"/>
      <c r="W772" s="220">
        <f>IF(BetTable[Sport]="","",BetTable[Stake]+BetTable[S2]+BetTable[S3])</f>
        <v>13</v>
      </c>
      <c r="X772" s="217">
        <f>IF(BetTable[Odds]="","",(BetTable[WBA1-Commission])-BetTable[TS])</f>
        <v>33.15</v>
      </c>
      <c r="Y772" s="221">
        <f>IF(BetTable[Outcome]="","",BetTable[WBA1]+BetTable[WBA2]+BetTable[WBA3]-BetTable[TS])</f>
        <v>-13</v>
      </c>
      <c r="Z772" s="217">
        <f>(((BetTable[Odds]-1)*BetTable[Stake])*(1-(BetTable[Comm %]))+BetTable[Stake])</f>
        <v>46.15</v>
      </c>
      <c r="AA772" s="217">
        <f>(((BetTable[O2]-1)*BetTable[S2])*(1-(BetTable[C% 2]))+BetTable[S2])</f>
        <v>0</v>
      </c>
      <c r="AB772" s="217">
        <f>(((BetTable[O3]-1)*BetTable[S3])*(1-(BetTable[C% 3]))+BetTable[S3])</f>
        <v>0</v>
      </c>
      <c r="AC772" s="218">
        <f>IFERROR(IF(BetTable[Sport]="","",BetTable[R1]/BetTable[TS]),"")</f>
        <v>2.5499999999999998</v>
      </c>
      <c r="AD772" s="218" t="str">
        <f>IF(BetTable[O2]="","",#REF!/BetTable[TS])</f>
        <v/>
      </c>
      <c r="AE772" s="218" t="str">
        <f>IFERROR(IF(BetTable[Sport]="","",#REF!/BetTable[TS]),"")</f>
        <v/>
      </c>
      <c r="AF772" s="217">
        <f>IF(BetTable[Outcome]="Win",BetTable[WBA1-Commission],IF(BetTable[Outcome]="Win Half Stake",(BetTable[Stake]/2)+BetTable[WBA1-Commission]/2,IF(BetTable[Outcome]="Lose Half Stake",BetTable[Stake]/2,IF(BetTable[Outcome]="Lose",0,IF(BetTable[Outcome]="Void",BetTable[Stake],)))))</f>
        <v>0</v>
      </c>
      <c r="AG772" s="217">
        <f>IF(BetTable[Outcome2]="Win",BetTable[WBA2-Commission],IF(BetTable[Outcome2]="Win Half Stake",(BetTable[S2]/2)+BetTable[WBA2-Commission]/2,IF(BetTable[Outcome2]="Lose Half Stake",BetTable[S2]/2,IF(BetTable[Outcome2]="Lose",0,IF(BetTable[Outcome2]="Void",BetTable[S2],)))))</f>
        <v>0</v>
      </c>
      <c r="AH772" s="217">
        <f>IF(BetTable[Outcome3]="Win",BetTable[WBA3-Commission],IF(BetTable[Outcome3]="Win Half Stake",(BetTable[S3]/2)+BetTable[WBA3-Commission]/2,IF(BetTable[Outcome3]="Lose Half Stake",BetTable[S3]/2,IF(BetTable[Outcome3]="Lose",0,IF(BetTable[Outcome3]="Void",BetTable[S3],)))))</f>
        <v>0</v>
      </c>
      <c r="AI772" s="221">
        <f>IF(BetTable[Outcome]="",AI771,BetTable[Result]+AI771)</f>
        <v>1566.4222500000008</v>
      </c>
      <c r="AJ772" s="213"/>
    </row>
    <row r="773" spans="1:36" x14ac:dyDescent="0.2">
      <c r="A773" s="212" t="s">
        <v>1790</v>
      </c>
      <c r="B773" s="213" t="s">
        <v>200</v>
      </c>
      <c r="C773" s="214" t="s">
        <v>216</v>
      </c>
      <c r="D773" s="214"/>
      <c r="E773" s="214"/>
      <c r="F773" s="215"/>
      <c r="G773" s="215"/>
      <c r="H773" s="215"/>
      <c r="I773" s="213" t="s">
        <v>2058</v>
      </c>
      <c r="J773" s="216">
        <v>3.11</v>
      </c>
      <c r="K773" s="216"/>
      <c r="L773" s="216"/>
      <c r="M773" s="217">
        <v>24</v>
      </c>
      <c r="N773" s="217"/>
      <c r="O773" s="217"/>
      <c r="P773" s="212" t="s">
        <v>494</v>
      </c>
      <c r="Q773" s="212" t="s">
        <v>1101</v>
      </c>
      <c r="R773" s="212" t="s">
        <v>2059</v>
      </c>
      <c r="S773" s="218">
        <v>3.24876138153622E-2</v>
      </c>
      <c r="T773" s="219" t="s">
        <v>372</v>
      </c>
      <c r="U773" s="219"/>
      <c r="V773" s="219"/>
      <c r="W773" s="220">
        <f>IF(BetTable[Sport]="","",BetTable[Stake]+BetTable[S2]+BetTable[S3])</f>
        <v>24</v>
      </c>
      <c r="X773" s="217">
        <f>IF(BetTable[Odds]="","",(BetTable[WBA1-Commission])-BetTable[TS])</f>
        <v>50.64</v>
      </c>
      <c r="Y773" s="221">
        <f>IF(BetTable[Outcome]="","",BetTable[WBA1]+BetTable[WBA2]+BetTable[WBA3]-BetTable[TS])</f>
        <v>50.64</v>
      </c>
      <c r="Z773" s="217">
        <f>(((BetTable[Odds]-1)*BetTable[Stake])*(1-(BetTable[Comm %]))+BetTable[Stake])</f>
        <v>74.64</v>
      </c>
      <c r="AA773" s="217">
        <f>(((BetTable[O2]-1)*BetTable[S2])*(1-(BetTable[C% 2]))+BetTable[S2])</f>
        <v>0</v>
      </c>
      <c r="AB773" s="217">
        <f>(((BetTable[O3]-1)*BetTable[S3])*(1-(BetTable[C% 3]))+BetTable[S3])</f>
        <v>0</v>
      </c>
      <c r="AC773" s="218">
        <f>IFERROR(IF(BetTable[Sport]="","",BetTable[R1]/BetTable[TS]),"")</f>
        <v>2.11</v>
      </c>
      <c r="AD773" s="218" t="str">
        <f>IF(BetTable[O2]="","",#REF!/BetTable[TS])</f>
        <v/>
      </c>
      <c r="AE773" s="218" t="str">
        <f>IFERROR(IF(BetTable[Sport]="","",#REF!/BetTable[TS]),"")</f>
        <v/>
      </c>
      <c r="AF773" s="217">
        <f>IF(BetTable[Outcome]="Win",BetTable[WBA1-Commission],IF(BetTable[Outcome]="Win Half Stake",(BetTable[Stake]/2)+BetTable[WBA1-Commission]/2,IF(BetTable[Outcome]="Lose Half Stake",BetTable[Stake]/2,IF(BetTable[Outcome]="Lose",0,IF(BetTable[Outcome]="Void",BetTable[Stake],)))))</f>
        <v>74.64</v>
      </c>
      <c r="AG773" s="217">
        <f>IF(BetTable[Outcome2]="Win",BetTable[WBA2-Commission],IF(BetTable[Outcome2]="Win Half Stake",(BetTable[S2]/2)+BetTable[WBA2-Commission]/2,IF(BetTable[Outcome2]="Lose Half Stake",BetTable[S2]/2,IF(BetTable[Outcome2]="Lose",0,IF(BetTable[Outcome2]="Void",BetTable[S2],)))))</f>
        <v>0</v>
      </c>
      <c r="AH773" s="217">
        <f>IF(BetTable[Outcome3]="Win",BetTable[WBA3-Commission],IF(BetTable[Outcome3]="Win Half Stake",(BetTable[S3]/2)+BetTable[WBA3-Commission]/2,IF(BetTable[Outcome3]="Lose Half Stake",BetTable[S3]/2,IF(BetTable[Outcome3]="Lose",0,IF(BetTable[Outcome3]="Void",BetTable[S3],)))))</f>
        <v>0</v>
      </c>
      <c r="AI773" s="221">
        <f>IF(BetTable[Outcome]="",AI772,BetTable[Result]+AI772)</f>
        <v>1617.0622500000009</v>
      </c>
      <c r="AJ773" s="213"/>
    </row>
    <row r="774" spans="1:36" x14ac:dyDescent="0.2">
      <c r="A774" s="212" t="s">
        <v>1790</v>
      </c>
      <c r="B774" s="213" t="s">
        <v>201</v>
      </c>
      <c r="C774" s="214" t="s">
        <v>216</v>
      </c>
      <c r="D774" s="214"/>
      <c r="E774" s="214"/>
      <c r="F774" s="215"/>
      <c r="G774" s="215"/>
      <c r="H774" s="215"/>
      <c r="I774" s="213" t="s">
        <v>2060</v>
      </c>
      <c r="J774" s="216">
        <v>2.2799999999999998</v>
      </c>
      <c r="K774" s="216"/>
      <c r="L774" s="216"/>
      <c r="M774" s="217">
        <v>21</v>
      </c>
      <c r="N774" s="217"/>
      <c r="O774" s="217"/>
      <c r="P774" s="212" t="s">
        <v>2061</v>
      </c>
      <c r="Q774" s="212" t="s">
        <v>530</v>
      </c>
      <c r="R774" s="212" t="s">
        <v>2062</v>
      </c>
      <c r="S774" s="218">
        <v>1.7412547488261002E-2</v>
      </c>
      <c r="T774" s="219" t="s">
        <v>372</v>
      </c>
      <c r="U774" s="219"/>
      <c r="V774" s="219"/>
      <c r="W774" s="220">
        <f>IF(BetTable[Sport]="","",BetTable[Stake]+BetTable[S2]+BetTable[S3])</f>
        <v>21</v>
      </c>
      <c r="X774" s="217">
        <f>IF(BetTable[Odds]="","",(BetTable[WBA1-Commission])-BetTable[TS])</f>
        <v>26.879999999999995</v>
      </c>
      <c r="Y774" s="221">
        <f>IF(BetTable[Outcome]="","",BetTable[WBA1]+BetTable[WBA2]+BetTable[WBA3]-BetTable[TS])</f>
        <v>26.879999999999995</v>
      </c>
      <c r="Z774" s="217">
        <f>(((BetTable[Odds]-1)*BetTable[Stake])*(1-(BetTable[Comm %]))+BetTable[Stake])</f>
        <v>47.879999999999995</v>
      </c>
      <c r="AA774" s="217">
        <f>(((BetTable[O2]-1)*BetTable[S2])*(1-(BetTable[C% 2]))+BetTable[S2])</f>
        <v>0</v>
      </c>
      <c r="AB774" s="217">
        <f>(((BetTable[O3]-1)*BetTable[S3])*(1-(BetTable[C% 3]))+BetTable[S3])</f>
        <v>0</v>
      </c>
      <c r="AC774" s="218">
        <f>IFERROR(IF(BetTable[Sport]="","",BetTable[R1]/BetTable[TS]),"")</f>
        <v>1.2799999999999998</v>
      </c>
      <c r="AD774" s="218" t="str">
        <f>IF(BetTable[O2]="","",#REF!/BetTable[TS])</f>
        <v/>
      </c>
      <c r="AE774" s="218" t="str">
        <f>IFERROR(IF(BetTable[Sport]="","",#REF!/BetTable[TS]),"")</f>
        <v/>
      </c>
      <c r="AF774" s="217">
        <f>IF(BetTable[Outcome]="Win",BetTable[WBA1-Commission],IF(BetTable[Outcome]="Win Half Stake",(BetTable[Stake]/2)+BetTable[WBA1-Commission]/2,IF(BetTable[Outcome]="Lose Half Stake",BetTable[Stake]/2,IF(BetTable[Outcome]="Lose",0,IF(BetTable[Outcome]="Void",BetTable[Stake],)))))</f>
        <v>47.879999999999995</v>
      </c>
      <c r="AG774" s="217">
        <f>IF(BetTable[Outcome2]="Win",BetTable[WBA2-Commission],IF(BetTable[Outcome2]="Win Half Stake",(BetTable[S2]/2)+BetTable[WBA2-Commission]/2,IF(BetTable[Outcome2]="Lose Half Stake",BetTable[S2]/2,IF(BetTable[Outcome2]="Lose",0,IF(BetTable[Outcome2]="Void",BetTable[S2],)))))</f>
        <v>0</v>
      </c>
      <c r="AH774" s="217">
        <f>IF(BetTable[Outcome3]="Win",BetTable[WBA3-Commission],IF(BetTable[Outcome3]="Win Half Stake",(BetTable[S3]/2)+BetTable[WBA3-Commission]/2,IF(BetTable[Outcome3]="Lose Half Stake",BetTable[S3]/2,IF(BetTable[Outcome3]="Lose",0,IF(BetTable[Outcome3]="Void",BetTable[S3],)))))</f>
        <v>0</v>
      </c>
      <c r="AI774" s="221">
        <f>IF(BetTable[Outcome]="",AI773,BetTable[Result]+AI773)</f>
        <v>1643.942250000001</v>
      </c>
      <c r="AJ774" s="213"/>
    </row>
    <row r="775" spans="1:36" x14ac:dyDescent="0.2">
      <c r="A775" s="212" t="s">
        <v>1790</v>
      </c>
      <c r="B775" s="213" t="s">
        <v>201</v>
      </c>
      <c r="C775" s="214" t="s">
        <v>216</v>
      </c>
      <c r="D775" s="214"/>
      <c r="E775" s="214"/>
      <c r="F775" s="215"/>
      <c r="G775" s="215"/>
      <c r="H775" s="215"/>
      <c r="I775" s="213" t="s">
        <v>2063</v>
      </c>
      <c r="J775" s="216">
        <v>1.952</v>
      </c>
      <c r="K775" s="216"/>
      <c r="L775" s="216"/>
      <c r="M775" s="217">
        <v>52</v>
      </c>
      <c r="N775" s="217"/>
      <c r="O775" s="217"/>
      <c r="P775" s="212" t="s">
        <v>2064</v>
      </c>
      <c r="Q775" s="212" t="s">
        <v>632</v>
      </c>
      <c r="R775" s="212" t="s">
        <v>2065</v>
      </c>
      <c r="S775" s="218">
        <v>4.2499788917113798E-2</v>
      </c>
      <c r="T775" s="219" t="s">
        <v>372</v>
      </c>
      <c r="U775" s="219"/>
      <c r="V775" s="219"/>
      <c r="W775" s="220">
        <f>IF(BetTable[Sport]="","",BetTable[Stake]+BetTable[S2]+BetTable[S3])</f>
        <v>52</v>
      </c>
      <c r="X775" s="217">
        <f>IF(BetTable[Odds]="","",(BetTable[WBA1-Commission])-BetTable[TS])</f>
        <v>49.503999999999991</v>
      </c>
      <c r="Y775" s="221">
        <f>IF(BetTable[Outcome]="","",BetTable[WBA1]+BetTable[WBA2]+BetTable[WBA3]-BetTable[TS])</f>
        <v>49.503999999999991</v>
      </c>
      <c r="Z775" s="217">
        <f>(((BetTable[Odds]-1)*BetTable[Stake])*(1-(BetTable[Comm %]))+BetTable[Stake])</f>
        <v>101.50399999999999</v>
      </c>
      <c r="AA775" s="217">
        <f>(((BetTable[O2]-1)*BetTable[S2])*(1-(BetTable[C% 2]))+BetTable[S2])</f>
        <v>0</v>
      </c>
      <c r="AB775" s="217">
        <f>(((BetTable[O3]-1)*BetTable[S3])*(1-(BetTable[C% 3]))+BetTable[S3])</f>
        <v>0</v>
      </c>
      <c r="AC775" s="218">
        <f>IFERROR(IF(BetTable[Sport]="","",BetTable[R1]/BetTable[TS]),"")</f>
        <v>0.95199999999999985</v>
      </c>
      <c r="AD775" s="218" t="str">
        <f>IF(BetTable[O2]="","",#REF!/BetTable[TS])</f>
        <v/>
      </c>
      <c r="AE775" s="218" t="str">
        <f>IFERROR(IF(BetTable[Sport]="","",#REF!/BetTable[TS]),"")</f>
        <v/>
      </c>
      <c r="AF775" s="217">
        <f>IF(BetTable[Outcome]="Win",BetTable[WBA1-Commission],IF(BetTable[Outcome]="Win Half Stake",(BetTable[Stake]/2)+BetTable[WBA1-Commission]/2,IF(BetTable[Outcome]="Lose Half Stake",BetTable[Stake]/2,IF(BetTable[Outcome]="Lose",0,IF(BetTable[Outcome]="Void",BetTable[Stake],)))))</f>
        <v>101.50399999999999</v>
      </c>
      <c r="AG775" s="217">
        <f>IF(BetTable[Outcome2]="Win",BetTable[WBA2-Commission],IF(BetTable[Outcome2]="Win Half Stake",(BetTable[S2]/2)+BetTable[WBA2-Commission]/2,IF(BetTable[Outcome2]="Lose Half Stake",BetTable[S2]/2,IF(BetTable[Outcome2]="Lose",0,IF(BetTable[Outcome2]="Void",BetTable[S2],)))))</f>
        <v>0</v>
      </c>
      <c r="AH775" s="217">
        <f>IF(BetTable[Outcome3]="Win",BetTable[WBA3-Commission],IF(BetTable[Outcome3]="Win Half Stake",(BetTable[S3]/2)+BetTable[WBA3-Commission]/2,IF(BetTable[Outcome3]="Lose Half Stake",BetTable[S3]/2,IF(BetTable[Outcome3]="Lose",0,IF(BetTable[Outcome3]="Void",BetTable[S3],)))))</f>
        <v>0</v>
      </c>
      <c r="AI775" s="221">
        <f>IF(BetTable[Outcome]="",AI774,BetTable[Result]+AI774)</f>
        <v>1693.4462500000009</v>
      </c>
      <c r="AJ775" s="213"/>
    </row>
    <row r="776" spans="1:36" x14ac:dyDescent="0.2">
      <c r="A776" s="212" t="s">
        <v>1790</v>
      </c>
      <c r="B776" s="213" t="s">
        <v>9</v>
      </c>
      <c r="C776" s="214" t="s">
        <v>216</v>
      </c>
      <c r="D776" s="214"/>
      <c r="E776" s="214"/>
      <c r="F776" s="215"/>
      <c r="G776" s="215"/>
      <c r="H776" s="215"/>
      <c r="I776" s="213" t="s">
        <v>2066</v>
      </c>
      <c r="J776" s="216">
        <v>1.667</v>
      </c>
      <c r="K776" s="216"/>
      <c r="L776" s="216"/>
      <c r="M776" s="217">
        <v>67</v>
      </c>
      <c r="N776" s="217"/>
      <c r="O776" s="217"/>
      <c r="P776" s="212" t="s">
        <v>385</v>
      </c>
      <c r="Q776" s="212" t="s">
        <v>703</v>
      </c>
      <c r="R776" s="212" t="s">
        <v>2067</v>
      </c>
      <c r="S776" s="218">
        <v>2.9169652896153399E-2</v>
      </c>
      <c r="T776" s="219" t="s">
        <v>372</v>
      </c>
      <c r="U776" s="219"/>
      <c r="V776" s="219"/>
      <c r="W776" s="220">
        <f>IF(BetTable[Sport]="","",BetTable[Stake]+BetTable[S2]+BetTable[S3])</f>
        <v>67</v>
      </c>
      <c r="X776" s="217">
        <f>IF(BetTable[Odds]="","",(BetTable[WBA1-Commission])-BetTable[TS])</f>
        <v>44.688999999999993</v>
      </c>
      <c r="Y776" s="221">
        <f>IF(BetTable[Outcome]="","",BetTable[WBA1]+BetTable[WBA2]+BetTable[WBA3]-BetTable[TS])</f>
        <v>44.688999999999993</v>
      </c>
      <c r="Z776" s="217">
        <f>(((BetTable[Odds]-1)*BetTable[Stake])*(1-(BetTable[Comm %]))+BetTable[Stake])</f>
        <v>111.68899999999999</v>
      </c>
      <c r="AA776" s="217">
        <f>(((BetTable[O2]-1)*BetTable[S2])*(1-(BetTable[C% 2]))+BetTable[S2])</f>
        <v>0</v>
      </c>
      <c r="AB776" s="217">
        <f>(((BetTable[O3]-1)*BetTable[S3])*(1-(BetTable[C% 3]))+BetTable[S3])</f>
        <v>0</v>
      </c>
      <c r="AC776" s="218">
        <f>IFERROR(IF(BetTable[Sport]="","",BetTable[R1]/BetTable[TS]),"")</f>
        <v>0.66699999999999993</v>
      </c>
      <c r="AD776" s="218" t="str">
        <f>IF(BetTable[O2]="","",#REF!/BetTable[TS])</f>
        <v/>
      </c>
      <c r="AE776" s="218" t="str">
        <f>IFERROR(IF(BetTable[Sport]="","",#REF!/BetTable[TS]),"")</f>
        <v/>
      </c>
      <c r="AF776" s="217">
        <f>IF(BetTable[Outcome]="Win",BetTable[WBA1-Commission],IF(BetTable[Outcome]="Win Half Stake",(BetTable[Stake]/2)+BetTable[WBA1-Commission]/2,IF(BetTable[Outcome]="Lose Half Stake",BetTable[Stake]/2,IF(BetTable[Outcome]="Lose",0,IF(BetTable[Outcome]="Void",BetTable[Stake],)))))</f>
        <v>111.68899999999999</v>
      </c>
      <c r="AG776" s="217">
        <f>IF(BetTable[Outcome2]="Win",BetTable[WBA2-Commission],IF(BetTable[Outcome2]="Win Half Stake",(BetTable[S2]/2)+BetTable[WBA2-Commission]/2,IF(BetTable[Outcome2]="Lose Half Stake",BetTable[S2]/2,IF(BetTable[Outcome2]="Lose",0,IF(BetTable[Outcome2]="Void",BetTable[S2],)))))</f>
        <v>0</v>
      </c>
      <c r="AH776" s="217">
        <f>IF(BetTable[Outcome3]="Win",BetTable[WBA3-Commission],IF(BetTable[Outcome3]="Win Half Stake",(BetTable[S3]/2)+BetTable[WBA3-Commission]/2,IF(BetTable[Outcome3]="Lose Half Stake",BetTable[S3]/2,IF(BetTable[Outcome3]="Lose",0,IF(BetTable[Outcome3]="Void",BetTable[S3],)))))</f>
        <v>0</v>
      </c>
      <c r="AI776" s="221">
        <f>IF(BetTable[Outcome]="",AI775,BetTable[Result]+AI775)</f>
        <v>1738.135250000001</v>
      </c>
      <c r="AJ776" s="213"/>
    </row>
    <row r="777" spans="1:36" x14ac:dyDescent="0.2">
      <c r="A777" s="212" t="s">
        <v>1790</v>
      </c>
      <c r="B777" s="213" t="s">
        <v>200</v>
      </c>
      <c r="C777" s="214" t="s">
        <v>216</v>
      </c>
      <c r="D777" s="214"/>
      <c r="E777" s="214"/>
      <c r="F777" s="215"/>
      <c r="G777" s="215"/>
      <c r="H777" s="215"/>
      <c r="I777" s="213" t="s">
        <v>2068</v>
      </c>
      <c r="J777" s="216">
        <v>1.7190000000000001</v>
      </c>
      <c r="K777" s="216"/>
      <c r="L777" s="216"/>
      <c r="M777" s="217">
        <v>34</v>
      </c>
      <c r="N777" s="217"/>
      <c r="O777" s="217"/>
      <c r="P777" s="212" t="s">
        <v>646</v>
      </c>
      <c r="Q777" s="212" t="s">
        <v>482</v>
      </c>
      <c r="R777" s="212" t="s">
        <v>2069</v>
      </c>
      <c r="S777" s="218">
        <v>2.99872740274989E-2</v>
      </c>
      <c r="T777" s="219" t="s">
        <v>372</v>
      </c>
      <c r="U777" s="219"/>
      <c r="V777" s="219"/>
      <c r="W777" s="220">
        <f>IF(BetTable[Sport]="","",BetTable[Stake]+BetTable[S2]+BetTable[S3])</f>
        <v>34</v>
      </c>
      <c r="X777" s="217">
        <f>IF(BetTable[Odds]="","",(BetTable[WBA1-Commission])-BetTable[TS])</f>
        <v>24.445999999999998</v>
      </c>
      <c r="Y777" s="221">
        <f>IF(BetTable[Outcome]="","",BetTable[WBA1]+BetTable[WBA2]+BetTable[WBA3]-BetTable[TS])</f>
        <v>24.445999999999998</v>
      </c>
      <c r="Z777" s="217">
        <f>(((BetTable[Odds]-1)*BetTable[Stake])*(1-(BetTable[Comm %]))+BetTable[Stake])</f>
        <v>58.445999999999998</v>
      </c>
      <c r="AA777" s="217">
        <f>(((BetTable[O2]-1)*BetTable[S2])*(1-(BetTable[C% 2]))+BetTable[S2])</f>
        <v>0</v>
      </c>
      <c r="AB777" s="217">
        <f>(((BetTable[O3]-1)*BetTable[S3])*(1-(BetTable[C% 3]))+BetTable[S3])</f>
        <v>0</v>
      </c>
      <c r="AC777" s="218">
        <f>IFERROR(IF(BetTable[Sport]="","",BetTable[R1]/BetTable[TS]),"")</f>
        <v>0.71899999999999997</v>
      </c>
      <c r="AD777" s="218" t="str">
        <f>IF(BetTable[O2]="","",#REF!/BetTable[TS])</f>
        <v/>
      </c>
      <c r="AE777" s="218" t="str">
        <f>IFERROR(IF(BetTable[Sport]="","",#REF!/BetTable[TS]),"")</f>
        <v/>
      </c>
      <c r="AF777" s="217">
        <f>IF(BetTable[Outcome]="Win",BetTable[WBA1-Commission],IF(BetTable[Outcome]="Win Half Stake",(BetTable[Stake]/2)+BetTable[WBA1-Commission]/2,IF(BetTable[Outcome]="Lose Half Stake",BetTable[Stake]/2,IF(BetTable[Outcome]="Lose",0,IF(BetTable[Outcome]="Void",BetTable[Stake],)))))</f>
        <v>58.445999999999998</v>
      </c>
      <c r="AG777" s="217">
        <f>IF(BetTable[Outcome2]="Win",BetTable[WBA2-Commission],IF(BetTable[Outcome2]="Win Half Stake",(BetTable[S2]/2)+BetTable[WBA2-Commission]/2,IF(BetTable[Outcome2]="Lose Half Stake",BetTable[S2]/2,IF(BetTable[Outcome2]="Lose",0,IF(BetTable[Outcome2]="Void",BetTable[S2],)))))</f>
        <v>0</v>
      </c>
      <c r="AH777" s="217">
        <f>IF(BetTable[Outcome3]="Win",BetTable[WBA3-Commission],IF(BetTable[Outcome3]="Win Half Stake",(BetTable[S3]/2)+BetTable[WBA3-Commission]/2,IF(BetTable[Outcome3]="Lose Half Stake",BetTable[S3]/2,IF(BetTable[Outcome3]="Lose",0,IF(BetTable[Outcome3]="Void",BetTable[S3],)))))</f>
        <v>0</v>
      </c>
      <c r="AI777" s="221">
        <f>IF(BetTable[Outcome]="",AI776,BetTable[Result]+AI776)</f>
        <v>1762.5812500000009</v>
      </c>
      <c r="AJ777" s="213"/>
    </row>
    <row r="778" spans="1:36" x14ac:dyDescent="0.2">
      <c r="A778" s="212" t="s">
        <v>1790</v>
      </c>
      <c r="B778" s="213" t="s">
        <v>175</v>
      </c>
      <c r="C778" s="214" t="s">
        <v>91</v>
      </c>
      <c r="D778" s="214"/>
      <c r="E778" s="214"/>
      <c r="F778" s="215"/>
      <c r="G778" s="215"/>
      <c r="H778" s="215"/>
      <c r="I778" s="213" t="s">
        <v>2070</v>
      </c>
      <c r="J778" s="216">
        <v>2.19</v>
      </c>
      <c r="K778" s="216"/>
      <c r="L778" s="216"/>
      <c r="M778" s="217">
        <v>54</v>
      </c>
      <c r="N778" s="217"/>
      <c r="O778" s="217"/>
      <c r="P778" s="212" t="s">
        <v>428</v>
      </c>
      <c r="Q778" s="212" t="s">
        <v>1291</v>
      </c>
      <c r="R778" s="212" t="s">
        <v>2071</v>
      </c>
      <c r="S778" s="218">
        <v>4.5366936333163202E-2</v>
      </c>
      <c r="T778" s="219" t="s">
        <v>382</v>
      </c>
      <c r="U778" s="219"/>
      <c r="V778" s="219"/>
      <c r="W778" s="220">
        <f>IF(BetTable[Sport]="","",BetTable[Stake]+BetTable[S2]+BetTable[S3])</f>
        <v>54</v>
      </c>
      <c r="X778" s="217">
        <f>IF(BetTable[Odds]="","",(BetTable[WBA1-Commission])-BetTable[TS])</f>
        <v>64.259999999999991</v>
      </c>
      <c r="Y778" s="221">
        <f>IF(BetTable[Outcome]="","",BetTable[WBA1]+BetTable[WBA2]+BetTable[WBA3]-BetTable[TS])</f>
        <v>-54</v>
      </c>
      <c r="Z778" s="217">
        <f>(((BetTable[Odds]-1)*BetTable[Stake])*(1-(BetTable[Comm %]))+BetTable[Stake])</f>
        <v>118.25999999999999</v>
      </c>
      <c r="AA778" s="217">
        <f>(((BetTable[O2]-1)*BetTable[S2])*(1-(BetTable[C% 2]))+BetTable[S2])</f>
        <v>0</v>
      </c>
      <c r="AB778" s="217">
        <f>(((BetTable[O3]-1)*BetTable[S3])*(1-(BetTable[C% 3]))+BetTable[S3])</f>
        <v>0</v>
      </c>
      <c r="AC778" s="218">
        <f>IFERROR(IF(BetTable[Sport]="","",BetTable[R1]/BetTable[TS]),"")</f>
        <v>1.1899999999999997</v>
      </c>
      <c r="AD778" s="218" t="str">
        <f>IF(BetTable[O2]="","",#REF!/BetTable[TS])</f>
        <v/>
      </c>
      <c r="AE778" s="218" t="str">
        <f>IFERROR(IF(BetTable[Sport]="","",#REF!/BetTable[TS]),"")</f>
        <v/>
      </c>
      <c r="AF778" s="217">
        <f>IF(BetTable[Outcome]="Win",BetTable[WBA1-Commission],IF(BetTable[Outcome]="Win Half Stake",(BetTable[Stake]/2)+BetTable[WBA1-Commission]/2,IF(BetTable[Outcome]="Lose Half Stake",BetTable[Stake]/2,IF(BetTable[Outcome]="Lose",0,IF(BetTable[Outcome]="Void",BetTable[Stake],)))))</f>
        <v>0</v>
      </c>
      <c r="AG778" s="217">
        <f>IF(BetTable[Outcome2]="Win",BetTable[WBA2-Commission],IF(BetTable[Outcome2]="Win Half Stake",(BetTable[S2]/2)+BetTable[WBA2-Commission]/2,IF(BetTable[Outcome2]="Lose Half Stake",BetTable[S2]/2,IF(BetTable[Outcome2]="Lose",0,IF(BetTable[Outcome2]="Void",BetTable[S2],)))))</f>
        <v>0</v>
      </c>
      <c r="AH778" s="217">
        <f>IF(BetTable[Outcome3]="Win",BetTable[WBA3-Commission],IF(BetTable[Outcome3]="Win Half Stake",(BetTable[S3]/2)+BetTable[WBA3-Commission]/2,IF(BetTable[Outcome3]="Lose Half Stake",BetTable[S3]/2,IF(BetTable[Outcome3]="Lose",0,IF(BetTable[Outcome3]="Void",BetTable[S3],)))))</f>
        <v>0</v>
      </c>
      <c r="AI778" s="221">
        <f>IF(BetTable[Outcome]="",AI777,BetTable[Result]+AI777)</f>
        <v>1708.5812500000009</v>
      </c>
      <c r="AJ778" s="213"/>
    </row>
    <row r="779" spans="1:36" x14ac:dyDescent="0.2">
      <c r="A779" s="212" t="s">
        <v>1790</v>
      </c>
      <c r="B779" s="213" t="s">
        <v>7</v>
      </c>
      <c r="C779" s="214" t="s">
        <v>216</v>
      </c>
      <c r="D779" s="214"/>
      <c r="E779" s="214"/>
      <c r="F779" s="215"/>
      <c r="G779" s="215"/>
      <c r="H779" s="215"/>
      <c r="I779" s="213" t="s">
        <v>2072</v>
      </c>
      <c r="J779" s="216">
        <v>1.909</v>
      </c>
      <c r="K779" s="216"/>
      <c r="L779" s="216"/>
      <c r="M779" s="217">
        <v>38</v>
      </c>
      <c r="N779" s="217"/>
      <c r="O779" s="217"/>
      <c r="P779" s="212" t="s">
        <v>2073</v>
      </c>
      <c r="Q779" s="212" t="s">
        <v>506</v>
      </c>
      <c r="R779" s="212" t="s">
        <v>2074</v>
      </c>
      <c r="S779" s="218">
        <v>2.20783204025774E-2</v>
      </c>
      <c r="T779" s="219" t="s">
        <v>382</v>
      </c>
      <c r="U779" s="219"/>
      <c r="V779" s="219"/>
      <c r="W779" s="220">
        <f>IF(BetTable[Sport]="","",BetTable[Stake]+BetTable[S2]+BetTable[S3])</f>
        <v>38</v>
      </c>
      <c r="X779" s="217">
        <f>IF(BetTable[Odds]="","",(BetTable[WBA1-Commission])-BetTable[TS])</f>
        <v>34.542000000000002</v>
      </c>
      <c r="Y779" s="221">
        <f>IF(BetTable[Outcome]="","",BetTable[WBA1]+BetTable[WBA2]+BetTable[WBA3]-BetTable[TS])</f>
        <v>-38</v>
      </c>
      <c r="Z779" s="217">
        <f>(((BetTable[Odds]-1)*BetTable[Stake])*(1-(BetTable[Comm %]))+BetTable[Stake])</f>
        <v>72.542000000000002</v>
      </c>
      <c r="AA779" s="217">
        <f>(((BetTable[O2]-1)*BetTable[S2])*(1-(BetTable[C% 2]))+BetTable[S2])</f>
        <v>0</v>
      </c>
      <c r="AB779" s="217">
        <f>(((BetTable[O3]-1)*BetTable[S3])*(1-(BetTable[C% 3]))+BetTable[S3])</f>
        <v>0</v>
      </c>
      <c r="AC779" s="218">
        <f>IFERROR(IF(BetTable[Sport]="","",BetTable[R1]/BetTable[TS]),"")</f>
        <v>0.90900000000000003</v>
      </c>
      <c r="AD779" s="218" t="str">
        <f>IF(BetTable[O2]="","",#REF!/BetTable[TS])</f>
        <v/>
      </c>
      <c r="AE779" s="218" t="str">
        <f>IFERROR(IF(BetTable[Sport]="","",#REF!/BetTable[TS]),"")</f>
        <v/>
      </c>
      <c r="AF779" s="217">
        <f>IF(BetTable[Outcome]="Win",BetTable[WBA1-Commission],IF(BetTable[Outcome]="Win Half Stake",(BetTable[Stake]/2)+BetTable[WBA1-Commission]/2,IF(BetTable[Outcome]="Lose Half Stake",BetTable[Stake]/2,IF(BetTable[Outcome]="Lose",0,IF(BetTable[Outcome]="Void",BetTable[Stake],)))))</f>
        <v>0</v>
      </c>
      <c r="AG779" s="217">
        <f>IF(BetTable[Outcome2]="Win",BetTable[WBA2-Commission],IF(BetTable[Outcome2]="Win Half Stake",(BetTable[S2]/2)+BetTable[WBA2-Commission]/2,IF(BetTable[Outcome2]="Lose Half Stake",BetTable[S2]/2,IF(BetTable[Outcome2]="Lose",0,IF(BetTable[Outcome2]="Void",BetTable[S2],)))))</f>
        <v>0</v>
      </c>
      <c r="AH779" s="217">
        <f>IF(BetTable[Outcome3]="Win",BetTable[WBA3-Commission],IF(BetTable[Outcome3]="Win Half Stake",(BetTable[S3]/2)+BetTable[WBA3-Commission]/2,IF(BetTable[Outcome3]="Lose Half Stake",BetTable[S3]/2,IF(BetTable[Outcome3]="Lose",0,IF(BetTable[Outcome3]="Void",BetTable[S3],)))))</f>
        <v>0</v>
      </c>
      <c r="AI779" s="221">
        <f>IF(BetTable[Outcome]="",AI778,BetTable[Result]+AI778)</f>
        <v>1670.5812500000009</v>
      </c>
      <c r="AJ779" s="213"/>
    </row>
    <row r="780" spans="1:36" x14ac:dyDescent="0.2">
      <c r="A780" s="212" t="s">
        <v>1790</v>
      </c>
      <c r="B780" s="213" t="s">
        <v>8</v>
      </c>
      <c r="C780" s="214" t="s">
        <v>216</v>
      </c>
      <c r="D780" s="214"/>
      <c r="E780" s="214"/>
      <c r="F780" s="215"/>
      <c r="G780" s="215"/>
      <c r="H780" s="215"/>
      <c r="I780" s="213" t="s">
        <v>2075</v>
      </c>
      <c r="J780" s="216">
        <v>2.7</v>
      </c>
      <c r="K780" s="216"/>
      <c r="L780" s="216"/>
      <c r="M780" s="217">
        <v>37</v>
      </c>
      <c r="N780" s="217"/>
      <c r="O780" s="217"/>
      <c r="P780" s="212" t="s">
        <v>435</v>
      </c>
      <c r="Q780" s="212" t="s">
        <v>1580</v>
      </c>
      <c r="R780" s="212" t="s">
        <v>2076</v>
      </c>
      <c r="S780" s="218">
        <v>4.10616606710036E-2</v>
      </c>
      <c r="T780" s="219" t="s">
        <v>382</v>
      </c>
      <c r="U780" s="219"/>
      <c r="V780" s="219"/>
      <c r="W780" s="220">
        <f>IF(BetTable[Sport]="","",BetTable[Stake]+BetTable[S2]+BetTable[S3])</f>
        <v>37</v>
      </c>
      <c r="X780" s="217">
        <f>IF(BetTable[Odds]="","",(BetTable[WBA1-Commission])-BetTable[TS])</f>
        <v>62.900000000000006</v>
      </c>
      <c r="Y780" s="221">
        <f>IF(BetTable[Outcome]="","",BetTable[WBA1]+BetTable[WBA2]+BetTable[WBA3]-BetTable[TS])</f>
        <v>-37</v>
      </c>
      <c r="Z780" s="217">
        <f>(((BetTable[Odds]-1)*BetTable[Stake])*(1-(BetTable[Comm %]))+BetTable[Stake])</f>
        <v>99.9</v>
      </c>
      <c r="AA780" s="217">
        <f>(((BetTable[O2]-1)*BetTable[S2])*(1-(BetTable[C% 2]))+BetTable[S2])</f>
        <v>0</v>
      </c>
      <c r="AB780" s="217">
        <f>(((BetTable[O3]-1)*BetTable[S3])*(1-(BetTable[C% 3]))+BetTable[S3])</f>
        <v>0</v>
      </c>
      <c r="AC780" s="218">
        <f>IFERROR(IF(BetTable[Sport]="","",BetTable[R1]/BetTable[TS]),"")</f>
        <v>1.7000000000000002</v>
      </c>
      <c r="AD780" s="218" t="str">
        <f>IF(BetTable[O2]="","",#REF!/BetTable[TS])</f>
        <v/>
      </c>
      <c r="AE780" s="218" t="str">
        <f>IFERROR(IF(BetTable[Sport]="","",#REF!/BetTable[TS]),"")</f>
        <v/>
      </c>
      <c r="AF780" s="217">
        <f>IF(BetTable[Outcome]="Win",BetTable[WBA1-Commission],IF(BetTable[Outcome]="Win Half Stake",(BetTable[Stake]/2)+BetTable[WBA1-Commission]/2,IF(BetTable[Outcome]="Lose Half Stake",BetTable[Stake]/2,IF(BetTable[Outcome]="Lose",0,IF(BetTable[Outcome]="Void",BetTable[Stake],)))))</f>
        <v>0</v>
      </c>
      <c r="AG780" s="217">
        <f>IF(BetTable[Outcome2]="Win",BetTable[WBA2-Commission],IF(BetTable[Outcome2]="Win Half Stake",(BetTable[S2]/2)+BetTable[WBA2-Commission]/2,IF(BetTable[Outcome2]="Lose Half Stake",BetTable[S2]/2,IF(BetTable[Outcome2]="Lose",0,IF(BetTable[Outcome2]="Void",BetTable[S2],)))))</f>
        <v>0</v>
      </c>
      <c r="AH780" s="217">
        <f>IF(BetTable[Outcome3]="Win",BetTable[WBA3-Commission],IF(BetTable[Outcome3]="Win Half Stake",(BetTable[S3]/2)+BetTable[WBA3-Commission]/2,IF(BetTable[Outcome3]="Lose Half Stake",BetTable[S3]/2,IF(BetTable[Outcome3]="Lose",0,IF(BetTable[Outcome3]="Void",BetTable[S3],)))))</f>
        <v>0</v>
      </c>
      <c r="AI780" s="221">
        <f>IF(BetTable[Outcome]="",AI779,BetTable[Result]+AI779)</f>
        <v>1633.5812500000009</v>
      </c>
      <c r="AJ780" s="213"/>
    </row>
    <row r="781" spans="1:36" x14ac:dyDescent="0.2">
      <c r="A781" s="212" t="s">
        <v>1790</v>
      </c>
      <c r="B781" s="213" t="s">
        <v>7</v>
      </c>
      <c r="C781" s="214" t="s">
        <v>91</v>
      </c>
      <c r="D781" s="214"/>
      <c r="E781" s="214"/>
      <c r="F781" s="215"/>
      <c r="G781" s="215"/>
      <c r="H781" s="215"/>
      <c r="I781" s="213" t="s">
        <v>2077</v>
      </c>
      <c r="J781" s="216">
        <v>1.9</v>
      </c>
      <c r="K781" s="216"/>
      <c r="L781" s="216"/>
      <c r="M781" s="217">
        <v>44</v>
      </c>
      <c r="N781" s="217"/>
      <c r="O781" s="217"/>
      <c r="P781" s="212" t="s">
        <v>2078</v>
      </c>
      <c r="Q781" s="212" t="s">
        <v>488</v>
      </c>
      <c r="R781" s="212" t="s">
        <v>2079</v>
      </c>
      <c r="S781" s="218">
        <v>2.5447883379971399E-2</v>
      </c>
      <c r="T781" s="219" t="s">
        <v>382</v>
      </c>
      <c r="U781" s="219"/>
      <c r="V781" s="219"/>
      <c r="W781" s="220">
        <f>IF(BetTable[Sport]="","",BetTable[Stake]+BetTable[S2]+BetTable[S3])</f>
        <v>44</v>
      </c>
      <c r="X781" s="217">
        <f>IF(BetTable[Odds]="","",(BetTable[WBA1-Commission])-BetTable[TS])</f>
        <v>39.599999999999994</v>
      </c>
      <c r="Y781" s="221">
        <f>IF(BetTable[Outcome]="","",BetTable[WBA1]+BetTable[WBA2]+BetTable[WBA3]-BetTable[TS])</f>
        <v>-44</v>
      </c>
      <c r="Z781" s="217">
        <f>(((BetTable[Odds]-1)*BetTable[Stake])*(1-(BetTable[Comm %]))+BetTable[Stake])</f>
        <v>83.6</v>
      </c>
      <c r="AA781" s="217">
        <f>(((BetTable[O2]-1)*BetTable[S2])*(1-(BetTable[C% 2]))+BetTable[S2])</f>
        <v>0</v>
      </c>
      <c r="AB781" s="217">
        <f>(((BetTable[O3]-1)*BetTable[S3])*(1-(BetTable[C% 3]))+BetTable[S3])</f>
        <v>0</v>
      </c>
      <c r="AC781" s="218">
        <f>IFERROR(IF(BetTable[Sport]="","",BetTable[R1]/BetTable[TS]),"")</f>
        <v>0.89999999999999991</v>
      </c>
      <c r="AD781" s="218" t="str">
        <f>IF(BetTable[O2]="","",#REF!/BetTable[TS])</f>
        <v/>
      </c>
      <c r="AE781" s="218" t="str">
        <f>IFERROR(IF(BetTable[Sport]="","",#REF!/BetTable[TS]),"")</f>
        <v/>
      </c>
      <c r="AF781" s="217">
        <f>IF(BetTable[Outcome]="Win",BetTable[WBA1-Commission],IF(BetTable[Outcome]="Win Half Stake",(BetTable[Stake]/2)+BetTable[WBA1-Commission]/2,IF(BetTable[Outcome]="Lose Half Stake",BetTable[Stake]/2,IF(BetTable[Outcome]="Lose",0,IF(BetTable[Outcome]="Void",BetTable[Stake],)))))</f>
        <v>0</v>
      </c>
      <c r="AG781" s="217">
        <f>IF(BetTable[Outcome2]="Win",BetTable[WBA2-Commission],IF(BetTable[Outcome2]="Win Half Stake",(BetTable[S2]/2)+BetTable[WBA2-Commission]/2,IF(BetTable[Outcome2]="Lose Half Stake",BetTable[S2]/2,IF(BetTable[Outcome2]="Lose",0,IF(BetTable[Outcome2]="Void",BetTable[S2],)))))</f>
        <v>0</v>
      </c>
      <c r="AH781" s="217">
        <f>IF(BetTable[Outcome3]="Win",BetTable[WBA3-Commission],IF(BetTable[Outcome3]="Win Half Stake",(BetTable[S3]/2)+BetTable[WBA3-Commission]/2,IF(BetTable[Outcome3]="Lose Half Stake",BetTable[S3]/2,IF(BetTable[Outcome3]="Lose",0,IF(BetTable[Outcome3]="Void",BetTable[S3],)))))</f>
        <v>0</v>
      </c>
      <c r="AI781" s="221">
        <f>IF(BetTable[Outcome]="",AI780,BetTable[Result]+AI780)</f>
        <v>1589.5812500000009</v>
      </c>
      <c r="AJ781" s="213"/>
    </row>
    <row r="782" spans="1:36" x14ac:dyDescent="0.2">
      <c r="A782" s="212" t="s">
        <v>1790</v>
      </c>
      <c r="B782" s="213" t="s">
        <v>7</v>
      </c>
      <c r="C782" s="214" t="s">
        <v>1714</v>
      </c>
      <c r="D782" s="214"/>
      <c r="E782" s="214"/>
      <c r="F782" s="215"/>
      <c r="G782" s="215"/>
      <c r="H782" s="215"/>
      <c r="I782" s="213" t="s">
        <v>1798</v>
      </c>
      <c r="J782" s="216">
        <v>1.91</v>
      </c>
      <c r="K782" s="216"/>
      <c r="L782" s="216"/>
      <c r="M782" s="217">
        <v>33</v>
      </c>
      <c r="N782" s="217"/>
      <c r="O782" s="217"/>
      <c r="P782" s="212" t="s">
        <v>2080</v>
      </c>
      <c r="Q782" s="212" t="s">
        <v>1800</v>
      </c>
      <c r="R782" s="212" t="s">
        <v>2081</v>
      </c>
      <c r="S782" s="218">
        <v>1.9296609006828499E-2</v>
      </c>
      <c r="T782" s="219" t="s">
        <v>372</v>
      </c>
      <c r="U782" s="219"/>
      <c r="V782" s="219"/>
      <c r="W782" s="220">
        <f>IF(BetTable[Sport]="","",BetTable[Stake]+BetTable[S2]+BetTable[S3])</f>
        <v>33</v>
      </c>
      <c r="X782" s="217">
        <f>IF(BetTable[Odds]="","",(BetTable[WBA1-Commission])-BetTable[TS])</f>
        <v>30.03</v>
      </c>
      <c r="Y782" s="221">
        <f>IF(BetTable[Outcome]="","",BetTable[WBA1]+BetTable[WBA2]+BetTable[WBA3]-BetTable[TS])</f>
        <v>30.03</v>
      </c>
      <c r="Z782" s="217">
        <f>(((BetTable[Odds]-1)*BetTable[Stake])*(1-(BetTable[Comm %]))+BetTable[Stake])</f>
        <v>63.03</v>
      </c>
      <c r="AA782" s="217">
        <f>(((BetTable[O2]-1)*BetTable[S2])*(1-(BetTable[C% 2]))+BetTable[S2])</f>
        <v>0</v>
      </c>
      <c r="AB782" s="217">
        <f>(((BetTable[O3]-1)*BetTable[S3])*(1-(BetTable[C% 3]))+BetTable[S3])</f>
        <v>0</v>
      </c>
      <c r="AC782" s="218">
        <f>IFERROR(IF(BetTable[Sport]="","",BetTable[R1]/BetTable[TS]),"")</f>
        <v>0.91</v>
      </c>
      <c r="AD782" s="218" t="str">
        <f>IF(BetTable[O2]="","",#REF!/BetTable[TS])</f>
        <v/>
      </c>
      <c r="AE782" s="218" t="str">
        <f>IFERROR(IF(BetTable[Sport]="","",#REF!/BetTable[TS]),"")</f>
        <v/>
      </c>
      <c r="AF782" s="217">
        <f>IF(BetTable[Outcome]="Win",BetTable[WBA1-Commission],IF(BetTable[Outcome]="Win Half Stake",(BetTable[Stake]/2)+BetTable[WBA1-Commission]/2,IF(BetTable[Outcome]="Lose Half Stake",BetTable[Stake]/2,IF(BetTable[Outcome]="Lose",0,IF(BetTable[Outcome]="Void",BetTable[Stake],)))))</f>
        <v>63.03</v>
      </c>
      <c r="AG782" s="217">
        <f>IF(BetTable[Outcome2]="Win",BetTable[WBA2-Commission],IF(BetTable[Outcome2]="Win Half Stake",(BetTable[S2]/2)+BetTable[WBA2-Commission]/2,IF(BetTable[Outcome2]="Lose Half Stake",BetTable[S2]/2,IF(BetTable[Outcome2]="Lose",0,IF(BetTable[Outcome2]="Void",BetTable[S2],)))))</f>
        <v>0</v>
      </c>
      <c r="AH782" s="217">
        <f>IF(BetTable[Outcome3]="Win",BetTable[WBA3-Commission],IF(BetTable[Outcome3]="Win Half Stake",(BetTable[S3]/2)+BetTable[WBA3-Commission]/2,IF(BetTable[Outcome3]="Lose Half Stake",BetTable[S3]/2,IF(BetTable[Outcome3]="Lose",0,IF(BetTable[Outcome3]="Void",BetTable[S3],)))))</f>
        <v>0</v>
      </c>
      <c r="AI782" s="221">
        <f>IF(BetTable[Outcome]="",AI781,BetTable[Result]+AI781)</f>
        <v>1619.6112500000008</v>
      </c>
      <c r="AJ782" s="213"/>
    </row>
    <row r="783" spans="1:36" x14ac:dyDescent="0.2">
      <c r="A783" s="212" t="s">
        <v>1790</v>
      </c>
      <c r="B783" s="213" t="s">
        <v>7</v>
      </c>
      <c r="C783" s="214" t="s">
        <v>91</v>
      </c>
      <c r="D783" s="214"/>
      <c r="E783" s="214"/>
      <c r="F783" s="215"/>
      <c r="G783" s="215"/>
      <c r="H783" s="215"/>
      <c r="I783" s="213" t="s">
        <v>2082</v>
      </c>
      <c r="J783" s="216">
        <v>1.92</v>
      </c>
      <c r="K783" s="216"/>
      <c r="L783" s="216"/>
      <c r="M783" s="217">
        <v>29</v>
      </c>
      <c r="N783" s="217"/>
      <c r="O783" s="217"/>
      <c r="P783" s="212" t="s">
        <v>2083</v>
      </c>
      <c r="Q783" s="212" t="s">
        <v>2084</v>
      </c>
      <c r="R783" s="212" t="s">
        <v>2085</v>
      </c>
      <c r="S783" s="218">
        <v>1.6979950146099501E-2</v>
      </c>
      <c r="T783" s="219" t="s">
        <v>382</v>
      </c>
      <c r="U783" s="219"/>
      <c r="V783" s="219"/>
      <c r="W783" s="220">
        <f>IF(BetTable[Sport]="","",BetTable[Stake]+BetTable[S2]+BetTable[S3])</f>
        <v>29</v>
      </c>
      <c r="X783" s="217">
        <f>IF(BetTable[Odds]="","",(BetTable[WBA1-Commission])-BetTable[TS])</f>
        <v>26.68</v>
      </c>
      <c r="Y783" s="221">
        <f>IF(BetTable[Outcome]="","",BetTable[WBA1]+BetTable[WBA2]+BetTable[WBA3]-BetTable[TS])</f>
        <v>-29</v>
      </c>
      <c r="Z783" s="217">
        <f>(((BetTable[Odds]-1)*BetTable[Stake])*(1-(BetTable[Comm %]))+BetTable[Stake])</f>
        <v>55.68</v>
      </c>
      <c r="AA783" s="217">
        <f>(((BetTable[O2]-1)*BetTable[S2])*(1-(BetTable[C% 2]))+BetTable[S2])</f>
        <v>0</v>
      </c>
      <c r="AB783" s="217">
        <f>(((BetTable[O3]-1)*BetTable[S3])*(1-(BetTable[C% 3]))+BetTable[S3])</f>
        <v>0</v>
      </c>
      <c r="AC783" s="218">
        <f>IFERROR(IF(BetTable[Sport]="","",BetTable[R1]/BetTable[TS]),"")</f>
        <v>0.92</v>
      </c>
      <c r="AD783" s="218" t="str">
        <f>IF(BetTable[O2]="","",#REF!/BetTable[TS])</f>
        <v/>
      </c>
      <c r="AE783" s="218" t="str">
        <f>IFERROR(IF(BetTable[Sport]="","",#REF!/BetTable[TS]),"")</f>
        <v/>
      </c>
      <c r="AF783" s="217">
        <f>IF(BetTable[Outcome]="Win",BetTable[WBA1-Commission],IF(BetTable[Outcome]="Win Half Stake",(BetTable[Stake]/2)+BetTable[WBA1-Commission]/2,IF(BetTable[Outcome]="Lose Half Stake",BetTable[Stake]/2,IF(BetTable[Outcome]="Lose",0,IF(BetTable[Outcome]="Void",BetTable[Stake],)))))</f>
        <v>0</v>
      </c>
      <c r="AG783" s="217">
        <f>IF(BetTable[Outcome2]="Win",BetTable[WBA2-Commission],IF(BetTable[Outcome2]="Win Half Stake",(BetTable[S2]/2)+BetTable[WBA2-Commission]/2,IF(BetTable[Outcome2]="Lose Half Stake",BetTable[S2]/2,IF(BetTable[Outcome2]="Lose",0,IF(BetTable[Outcome2]="Void",BetTable[S2],)))))</f>
        <v>0</v>
      </c>
      <c r="AH783" s="217">
        <f>IF(BetTable[Outcome3]="Win",BetTable[WBA3-Commission],IF(BetTable[Outcome3]="Win Half Stake",(BetTable[S3]/2)+BetTable[WBA3-Commission]/2,IF(BetTable[Outcome3]="Lose Half Stake",BetTable[S3]/2,IF(BetTable[Outcome3]="Lose",0,IF(BetTable[Outcome3]="Void",BetTable[S3],)))))</f>
        <v>0</v>
      </c>
      <c r="AI783" s="221">
        <f>IF(BetTable[Outcome]="",AI782,BetTable[Result]+AI782)</f>
        <v>1590.6112500000008</v>
      </c>
      <c r="AJ783" s="213"/>
    </row>
    <row r="784" spans="1:36" x14ac:dyDescent="0.2">
      <c r="A784" s="212" t="s">
        <v>1790</v>
      </c>
      <c r="B784" s="213" t="s">
        <v>200</v>
      </c>
      <c r="C784" s="214" t="s">
        <v>1714</v>
      </c>
      <c r="D784" s="214"/>
      <c r="E784" s="214"/>
      <c r="F784" s="215"/>
      <c r="G784" s="215"/>
      <c r="H784" s="215"/>
      <c r="I784" s="213" t="s">
        <v>2086</v>
      </c>
      <c r="J784" s="216">
        <v>1.97</v>
      </c>
      <c r="K784" s="216"/>
      <c r="L784" s="216"/>
      <c r="M784" s="217">
        <v>29</v>
      </c>
      <c r="N784" s="217"/>
      <c r="O784" s="217"/>
      <c r="P784" s="212" t="s">
        <v>448</v>
      </c>
      <c r="Q784" s="212" t="s">
        <v>818</v>
      </c>
      <c r="R784" s="212" t="s">
        <v>2087</v>
      </c>
      <c r="S784" s="218">
        <v>1.8070717383908801E-2</v>
      </c>
      <c r="T784" s="219" t="s">
        <v>372</v>
      </c>
      <c r="U784" s="219"/>
      <c r="V784" s="219"/>
      <c r="W784" s="220">
        <f>IF(BetTable[Sport]="","",BetTable[Stake]+BetTable[S2]+BetTable[S3])</f>
        <v>29</v>
      </c>
      <c r="X784" s="217">
        <f>IF(BetTable[Odds]="","",(BetTable[WBA1-Commission])-BetTable[TS])</f>
        <v>28.129999999999995</v>
      </c>
      <c r="Y784" s="221">
        <f>IF(BetTable[Outcome]="","",BetTable[WBA1]+BetTable[WBA2]+BetTable[WBA3]-BetTable[TS])</f>
        <v>28.129999999999995</v>
      </c>
      <c r="Z784" s="217">
        <f>(((BetTable[Odds]-1)*BetTable[Stake])*(1-(BetTable[Comm %]))+BetTable[Stake])</f>
        <v>57.129999999999995</v>
      </c>
      <c r="AA784" s="217">
        <f>(((BetTable[O2]-1)*BetTable[S2])*(1-(BetTable[C% 2]))+BetTable[S2])</f>
        <v>0</v>
      </c>
      <c r="AB784" s="217">
        <f>(((BetTable[O3]-1)*BetTable[S3])*(1-(BetTable[C% 3]))+BetTable[S3])</f>
        <v>0</v>
      </c>
      <c r="AC784" s="218">
        <f>IFERROR(IF(BetTable[Sport]="","",BetTable[R1]/BetTable[TS]),"")</f>
        <v>0.96999999999999986</v>
      </c>
      <c r="AD784" s="218" t="str">
        <f>IF(BetTable[O2]="","",#REF!/BetTable[TS])</f>
        <v/>
      </c>
      <c r="AE784" s="218" t="str">
        <f>IFERROR(IF(BetTable[Sport]="","",#REF!/BetTable[TS]),"")</f>
        <v/>
      </c>
      <c r="AF784" s="217">
        <f>IF(BetTable[Outcome]="Win",BetTable[WBA1-Commission],IF(BetTable[Outcome]="Win Half Stake",(BetTable[Stake]/2)+BetTable[WBA1-Commission]/2,IF(BetTable[Outcome]="Lose Half Stake",BetTable[Stake]/2,IF(BetTable[Outcome]="Lose",0,IF(BetTable[Outcome]="Void",BetTable[Stake],)))))</f>
        <v>57.129999999999995</v>
      </c>
      <c r="AG784" s="217">
        <f>IF(BetTable[Outcome2]="Win",BetTable[WBA2-Commission],IF(BetTable[Outcome2]="Win Half Stake",(BetTable[S2]/2)+BetTable[WBA2-Commission]/2,IF(BetTable[Outcome2]="Lose Half Stake",BetTable[S2]/2,IF(BetTable[Outcome2]="Lose",0,IF(BetTable[Outcome2]="Void",BetTable[S2],)))))</f>
        <v>0</v>
      </c>
      <c r="AH784" s="217">
        <f>IF(BetTable[Outcome3]="Win",BetTable[WBA3-Commission],IF(BetTable[Outcome3]="Win Half Stake",(BetTable[S3]/2)+BetTable[WBA3-Commission]/2,IF(BetTable[Outcome3]="Lose Half Stake",BetTable[S3]/2,IF(BetTable[Outcome3]="Lose",0,IF(BetTable[Outcome3]="Void",BetTable[S3],)))))</f>
        <v>0</v>
      </c>
      <c r="AI784" s="221">
        <f>IF(BetTable[Outcome]="",AI783,BetTable[Result]+AI783)</f>
        <v>1618.7412500000009</v>
      </c>
      <c r="AJ784" s="213"/>
    </row>
    <row r="785" spans="1:36" x14ac:dyDescent="0.2">
      <c r="A785" s="212" t="s">
        <v>1790</v>
      </c>
      <c r="B785" s="213" t="s">
        <v>7</v>
      </c>
      <c r="C785" s="214" t="s">
        <v>91</v>
      </c>
      <c r="D785" s="214"/>
      <c r="E785" s="214"/>
      <c r="F785" s="215"/>
      <c r="G785" s="215"/>
      <c r="H785" s="215"/>
      <c r="I785" s="213" t="s">
        <v>2088</v>
      </c>
      <c r="J785" s="216">
        <v>1.89</v>
      </c>
      <c r="K785" s="216"/>
      <c r="L785" s="216"/>
      <c r="M785" s="217">
        <v>51</v>
      </c>
      <c r="N785" s="217"/>
      <c r="O785" s="217"/>
      <c r="P785" s="212" t="s">
        <v>2089</v>
      </c>
      <c r="Q785" s="212" t="s">
        <v>2090</v>
      </c>
      <c r="R785" s="212" t="s">
        <v>2091</v>
      </c>
      <c r="S785" s="218">
        <v>2.94700850258095E-2</v>
      </c>
      <c r="T785" s="219" t="s">
        <v>382</v>
      </c>
      <c r="U785" s="219"/>
      <c r="V785" s="219"/>
      <c r="W785" s="220">
        <f>IF(BetTable[Sport]="","",BetTable[Stake]+BetTable[S2]+BetTable[S3])</f>
        <v>51</v>
      </c>
      <c r="X785" s="217">
        <f>IF(BetTable[Odds]="","",(BetTable[WBA1-Commission])-BetTable[TS])</f>
        <v>45.389999999999986</v>
      </c>
      <c r="Y785" s="221">
        <f>IF(BetTable[Outcome]="","",BetTable[WBA1]+BetTable[WBA2]+BetTable[WBA3]-BetTable[TS])</f>
        <v>-51</v>
      </c>
      <c r="Z785" s="217">
        <f>(((BetTable[Odds]-1)*BetTable[Stake])*(1-(BetTable[Comm %]))+BetTable[Stake])</f>
        <v>96.389999999999986</v>
      </c>
      <c r="AA785" s="217">
        <f>(((BetTable[O2]-1)*BetTable[S2])*(1-(BetTable[C% 2]))+BetTable[S2])</f>
        <v>0</v>
      </c>
      <c r="AB785" s="217">
        <f>(((BetTable[O3]-1)*BetTable[S3])*(1-(BetTable[C% 3]))+BetTable[S3])</f>
        <v>0</v>
      </c>
      <c r="AC785" s="218">
        <f>IFERROR(IF(BetTable[Sport]="","",BetTable[R1]/BetTable[TS]),"")</f>
        <v>0.88999999999999968</v>
      </c>
      <c r="AD785" s="218" t="str">
        <f>IF(BetTable[O2]="","",#REF!/BetTable[TS])</f>
        <v/>
      </c>
      <c r="AE785" s="218" t="str">
        <f>IFERROR(IF(BetTable[Sport]="","",#REF!/BetTable[TS]),"")</f>
        <v/>
      </c>
      <c r="AF785" s="217">
        <f>IF(BetTable[Outcome]="Win",BetTable[WBA1-Commission],IF(BetTable[Outcome]="Win Half Stake",(BetTable[Stake]/2)+BetTable[WBA1-Commission]/2,IF(BetTable[Outcome]="Lose Half Stake",BetTable[Stake]/2,IF(BetTable[Outcome]="Lose",0,IF(BetTable[Outcome]="Void",BetTable[Stake],)))))</f>
        <v>0</v>
      </c>
      <c r="AG785" s="217">
        <f>IF(BetTable[Outcome2]="Win",BetTable[WBA2-Commission],IF(BetTable[Outcome2]="Win Half Stake",(BetTable[S2]/2)+BetTable[WBA2-Commission]/2,IF(BetTable[Outcome2]="Lose Half Stake",BetTable[S2]/2,IF(BetTable[Outcome2]="Lose",0,IF(BetTable[Outcome2]="Void",BetTable[S2],)))))</f>
        <v>0</v>
      </c>
      <c r="AH785" s="217">
        <f>IF(BetTable[Outcome3]="Win",BetTable[WBA3-Commission],IF(BetTable[Outcome3]="Win Half Stake",(BetTable[S3]/2)+BetTable[WBA3-Commission]/2,IF(BetTable[Outcome3]="Lose Half Stake",BetTable[S3]/2,IF(BetTable[Outcome3]="Lose",0,IF(BetTable[Outcome3]="Void",BetTable[S3],)))))</f>
        <v>0</v>
      </c>
      <c r="AI785" s="221">
        <f>IF(BetTable[Outcome]="",AI784,BetTable[Result]+AI784)</f>
        <v>1567.7412500000009</v>
      </c>
      <c r="AJ785" s="213"/>
    </row>
    <row r="786" spans="1:36" x14ac:dyDescent="0.2">
      <c r="A786" s="212" t="s">
        <v>1790</v>
      </c>
      <c r="B786" s="213" t="s">
        <v>200</v>
      </c>
      <c r="C786" s="214" t="s">
        <v>1714</v>
      </c>
      <c r="D786" s="214"/>
      <c r="E786" s="214"/>
      <c r="F786" s="215"/>
      <c r="G786" s="215"/>
      <c r="H786" s="215"/>
      <c r="I786" s="213" t="s">
        <v>2092</v>
      </c>
      <c r="J786" s="216">
        <v>2.4300000000000002</v>
      </c>
      <c r="K786" s="216"/>
      <c r="L786" s="216"/>
      <c r="M786" s="217">
        <v>28</v>
      </c>
      <c r="N786" s="217"/>
      <c r="O786" s="217"/>
      <c r="P786" s="212" t="s">
        <v>435</v>
      </c>
      <c r="Q786" s="212" t="s">
        <v>703</v>
      </c>
      <c r="R786" s="212" t="s">
        <v>2093</v>
      </c>
      <c r="S786" s="218">
        <v>2.5958205443091801E-2</v>
      </c>
      <c r="T786" s="219" t="s">
        <v>382</v>
      </c>
      <c r="U786" s="219"/>
      <c r="V786" s="219"/>
      <c r="W786" s="220">
        <f>IF(BetTable[Sport]="","",BetTable[Stake]+BetTable[S2]+BetTable[S3])</f>
        <v>28</v>
      </c>
      <c r="X786" s="217">
        <f>IF(BetTable[Odds]="","",(BetTable[WBA1-Commission])-BetTable[TS])</f>
        <v>40.040000000000006</v>
      </c>
      <c r="Y786" s="221">
        <f>IF(BetTable[Outcome]="","",BetTable[WBA1]+BetTable[WBA2]+BetTable[WBA3]-BetTable[TS])</f>
        <v>-28</v>
      </c>
      <c r="Z786" s="217">
        <f>(((BetTable[Odds]-1)*BetTable[Stake])*(1-(BetTable[Comm %]))+BetTable[Stake])</f>
        <v>68.040000000000006</v>
      </c>
      <c r="AA786" s="217">
        <f>(((BetTable[O2]-1)*BetTable[S2])*(1-(BetTable[C% 2]))+BetTable[S2])</f>
        <v>0</v>
      </c>
      <c r="AB786" s="217">
        <f>(((BetTable[O3]-1)*BetTable[S3])*(1-(BetTable[C% 3]))+BetTable[S3])</f>
        <v>0</v>
      </c>
      <c r="AC786" s="218">
        <f>IFERROR(IF(BetTable[Sport]="","",BetTable[R1]/BetTable[TS]),"")</f>
        <v>1.4300000000000002</v>
      </c>
      <c r="AD786" s="218" t="str">
        <f>IF(BetTable[O2]="","",#REF!/BetTable[TS])</f>
        <v/>
      </c>
      <c r="AE786" s="218" t="str">
        <f>IFERROR(IF(BetTable[Sport]="","",#REF!/BetTable[TS]),"")</f>
        <v/>
      </c>
      <c r="AF786" s="217">
        <f>IF(BetTable[Outcome]="Win",BetTable[WBA1-Commission],IF(BetTable[Outcome]="Win Half Stake",(BetTable[Stake]/2)+BetTable[WBA1-Commission]/2,IF(BetTable[Outcome]="Lose Half Stake",BetTable[Stake]/2,IF(BetTable[Outcome]="Lose",0,IF(BetTable[Outcome]="Void",BetTable[Stake],)))))</f>
        <v>0</v>
      </c>
      <c r="AG786" s="217">
        <f>IF(BetTable[Outcome2]="Win",BetTable[WBA2-Commission],IF(BetTable[Outcome2]="Win Half Stake",(BetTable[S2]/2)+BetTable[WBA2-Commission]/2,IF(BetTable[Outcome2]="Lose Half Stake",BetTable[S2]/2,IF(BetTable[Outcome2]="Lose",0,IF(BetTable[Outcome2]="Void",BetTable[S2],)))))</f>
        <v>0</v>
      </c>
      <c r="AH786" s="217">
        <f>IF(BetTable[Outcome3]="Win",BetTable[WBA3-Commission],IF(BetTable[Outcome3]="Win Half Stake",(BetTable[S3]/2)+BetTable[WBA3-Commission]/2,IF(BetTable[Outcome3]="Lose Half Stake",BetTable[S3]/2,IF(BetTable[Outcome3]="Lose",0,IF(BetTable[Outcome3]="Void",BetTable[S3],)))))</f>
        <v>0</v>
      </c>
      <c r="AI786" s="221">
        <f>IF(BetTable[Outcome]="",AI785,BetTable[Result]+AI785)</f>
        <v>1539.7412500000009</v>
      </c>
      <c r="AJ786" s="213"/>
    </row>
    <row r="787" spans="1:36" x14ac:dyDescent="0.2">
      <c r="A787" s="212" t="s">
        <v>2094</v>
      </c>
      <c r="B787" s="213" t="s">
        <v>200</v>
      </c>
      <c r="C787" s="214" t="s">
        <v>1714</v>
      </c>
      <c r="D787" s="214"/>
      <c r="E787" s="214"/>
      <c r="F787" s="215"/>
      <c r="G787" s="215"/>
      <c r="H787" s="215"/>
      <c r="I787" s="213" t="s">
        <v>2095</v>
      </c>
      <c r="J787" s="216">
        <v>1.79</v>
      </c>
      <c r="K787" s="216"/>
      <c r="L787" s="216"/>
      <c r="M787" s="217">
        <v>55</v>
      </c>
      <c r="N787" s="217"/>
      <c r="O787" s="217"/>
      <c r="P787" s="212" t="s">
        <v>543</v>
      </c>
      <c r="Q787" s="212" t="s">
        <v>530</v>
      </c>
      <c r="R787" s="212" t="s">
        <v>2096</v>
      </c>
      <c r="S787" s="218">
        <v>2.8024630431123E-2</v>
      </c>
      <c r="T787" s="219" t="s">
        <v>382</v>
      </c>
      <c r="U787" s="219"/>
      <c r="V787" s="219"/>
      <c r="W787" s="220">
        <f>IF(BetTable[Sport]="","",BetTable[Stake]+BetTable[S2]+BetTable[S3])</f>
        <v>55</v>
      </c>
      <c r="X787" s="217">
        <f>IF(BetTable[Odds]="","",(BetTable[WBA1-Commission])-BetTable[TS])</f>
        <v>43.45</v>
      </c>
      <c r="Y787" s="221">
        <f>IF(BetTable[Outcome]="","",BetTable[WBA1]+BetTable[WBA2]+BetTable[WBA3]-BetTable[TS])</f>
        <v>-55</v>
      </c>
      <c r="Z787" s="217">
        <f>(((BetTable[Odds]-1)*BetTable[Stake])*(1-(BetTable[Comm %]))+BetTable[Stake])</f>
        <v>98.45</v>
      </c>
      <c r="AA787" s="217">
        <f>(((BetTable[O2]-1)*BetTable[S2])*(1-(BetTable[C% 2]))+BetTable[S2])</f>
        <v>0</v>
      </c>
      <c r="AB787" s="217">
        <f>(((BetTable[O3]-1)*BetTable[S3])*(1-(BetTable[C% 3]))+BetTable[S3])</f>
        <v>0</v>
      </c>
      <c r="AC787" s="218">
        <f>IFERROR(IF(BetTable[Sport]="","",BetTable[R1]/BetTable[TS]),"")</f>
        <v>0.79</v>
      </c>
      <c r="AD787" s="218" t="str">
        <f>IF(BetTable[O2]="","",#REF!/BetTable[TS])</f>
        <v/>
      </c>
      <c r="AE787" s="218" t="str">
        <f>IFERROR(IF(BetTable[Sport]="","",#REF!/BetTable[TS]),"")</f>
        <v/>
      </c>
      <c r="AF787" s="217">
        <f>IF(BetTable[Outcome]="Win",BetTable[WBA1-Commission],IF(BetTable[Outcome]="Win Half Stake",(BetTable[Stake]/2)+BetTable[WBA1-Commission]/2,IF(BetTable[Outcome]="Lose Half Stake",BetTable[Stake]/2,IF(BetTable[Outcome]="Lose",0,IF(BetTable[Outcome]="Void",BetTable[Stake],)))))</f>
        <v>0</v>
      </c>
      <c r="AG787" s="217">
        <f>IF(BetTable[Outcome2]="Win",BetTable[WBA2-Commission],IF(BetTable[Outcome2]="Win Half Stake",(BetTable[S2]/2)+BetTable[WBA2-Commission]/2,IF(BetTable[Outcome2]="Lose Half Stake",BetTable[S2]/2,IF(BetTable[Outcome2]="Lose",0,IF(BetTable[Outcome2]="Void",BetTable[S2],)))))</f>
        <v>0</v>
      </c>
      <c r="AH787" s="217">
        <f>IF(BetTable[Outcome3]="Win",BetTable[WBA3-Commission],IF(BetTable[Outcome3]="Win Half Stake",(BetTable[S3]/2)+BetTable[WBA3-Commission]/2,IF(BetTable[Outcome3]="Lose Half Stake",BetTable[S3]/2,IF(BetTable[Outcome3]="Lose",0,IF(BetTable[Outcome3]="Void",BetTable[S3],)))))</f>
        <v>0</v>
      </c>
      <c r="AI787" s="221">
        <f>IF(BetTable[Outcome]="",AI786,BetTable[Result]+AI786)</f>
        <v>1484.7412500000009</v>
      </c>
      <c r="AJ787" s="213"/>
    </row>
    <row r="788" spans="1:36" x14ac:dyDescent="0.2">
      <c r="A788" s="212" t="s">
        <v>2094</v>
      </c>
      <c r="B788" s="213" t="s">
        <v>200</v>
      </c>
      <c r="C788" s="214" t="s">
        <v>1714</v>
      </c>
      <c r="D788" s="214"/>
      <c r="E788" s="214"/>
      <c r="F788" s="215"/>
      <c r="G788" s="215"/>
      <c r="H788" s="215"/>
      <c r="I788" s="213" t="s">
        <v>2097</v>
      </c>
      <c r="J788" s="216">
        <v>4.7</v>
      </c>
      <c r="K788" s="216"/>
      <c r="L788" s="216"/>
      <c r="M788" s="217">
        <v>18</v>
      </c>
      <c r="N788" s="217"/>
      <c r="O788" s="217"/>
      <c r="P788" s="212" t="s">
        <v>428</v>
      </c>
      <c r="Q788" s="212" t="s">
        <v>703</v>
      </c>
      <c r="R788" s="212" t="s">
        <v>2098</v>
      </c>
      <c r="S788" s="218">
        <v>4.2391953984108201E-2</v>
      </c>
      <c r="T788" s="219" t="s">
        <v>382</v>
      </c>
      <c r="U788" s="219"/>
      <c r="V788" s="219"/>
      <c r="W788" s="220">
        <f>IF(BetTable[Sport]="","",BetTable[Stake]+BetTable[S2]+BetTable[S3])</f>
        <v>18</v>
      </c>
      <c r="X788" s="217">
        <f>IF(BetTable[Odds]="","",(BetTable[WBA1-Commission])-BetTable[TS])</f>
        <v>66.600000000000009</v>
      </c>
      <c r="Y788" s="221">
        <f>IF(BetTable[Outcome]="","",BetTable[WBA1]+BetTable[WBA2]+BetTable[WBA3]-BetTable[TS])</f>
        <v>-18</v>
      </c>
      <c r="Z788" s="217">
        <f>(((BetTable[Odds]-1)*BetTable[Stake])*(1-(BetTable[Comm %]))+BetTable[Stake])</f>
        <v>84.600000000000009</v>
      </c>
      <c r="AA788" s="217">
        <f>(((BetTable[O2]-1)*BetTable[S2])*(1-(BetTable[C% 2]))+BetTable[S2])</f>
        <v>0</v>
      </c>
      <c r="AB788" s="217">
        <f>(((BetTable[O3]-1)*BetTable[S3])*(1-(BetTable[C% 3]))+BetTable[S3])</f>
        <v>0</v>
      </c>
      <c r="AC788" s="218">
        <f>IFERROR(IF(BetTable[Sport]="","",BetTable[R1]/BetTable[TS]),"")</f>
        <v>3.7000000000000006</v>
      </c>
      <c r="AD788" s="218" t="str">
        <f>IF(BetTable[O2]="","",#REF!/BetTable[TS])</f>
        <v/>
      </c>
      <c r="AE788" s="218" t="str">
        <f>IFERROR(IF(BetTable[Sport]="","",#REF!/BetTable[TS]),"")</f>
        <v/>
      </c>
      <c r="AF788" s="217">
        <f>IF(BetTable[Outcome]="Win",BetTable[WBA1-Commission],IF(BetTable[Outcome]="Win Half Stake",(BetTable[Stake]/2)+BetTable[WBA1-Commission]/2,IF(BetTable[Outcome]="Lose Half Stake",BetTable[Stake]/2,IF(BetTable[Outcome]="Lose",0,IF(BetTable[Outcome]="Void",BetTable[Stake],)))))</f>
        <v>0</v>
      </c>
      <c r="AG788" s="217">
        <f>IF(BetTable[Outcome2]="Win",BetTable[WBA2-Commission],IF(BetTable[Outcome2]="Win Half Stake",(BetTable[S2]/2)+BetTable[WBA2-Commission]/2,IF(BetTable[Outcome2]="Lose Half Stake",BetTable[S2]/2,IF(BetTable[Outcome2]="Lose",0,IF(BetTable[Outcome2]="Void",BetTable[S2],)))))</f>
        <v>0</v>
      </c>
      <c r="AH788" s="217">
        <f>IF(BetTable[Outcome3]="Win",BetTable[WBA3-Commission],IF(BetTable[Outcome3]="Win Half Stake",(BetTable[S3]/2)+BetTable[WBA3-Commission]/2,IF(BetTable[Outcome3]="Lose Half Stake",BetTable[S3]/2,IF(BetTable[Outcome3]="Lose",0,IF(BetTable[Outcome3]="Void",BetTable[S3],)))))</f>
        <v>0</v>
      </c>
      <c r="AI788" s="221">
        <f>IF(BetTable[Outcome]="",AI787,BetTable[Result]+AI787)</f>
        <v>1466.7412500000009</v>
      </c>
      <c r="AJ788" s="213"/>
    </row>
    <row r="789" spans="1:36" x14ac:dyDescent="0.2">
      <c r="A789" s="212" t="s">
        <v>2094</v>
      </c>
      <c r="B789" s="213" t="s">
        <v>200</v>
      </c>
      <c r="C789" s="214" t="s">
        <v>1714</v>
      </c>
      <c r="D789" s="214"/>
      <c r="E789" s="214"/>
      <c r="F789" s="215"/>
      <c r="G789" s="215"/>
      <c r="H789" s="215"/>
      <c r="I789" s="213" t="s">
        <v>2099</v>
      </c>
      <c r="J789" s="216">
        <v>2</v>
      </c>
      <c r="K789" s="216"/>
      <c r="L789" s="216"/>
      <c r="M789" s="217">
        <v>25</v>
      </c>
      <c r="N789" s="217"/>
      <c r="O789" s="217"/>
      <c r="P789" s="212" t="s">
        <v>360</v>
      </c>
      <c r="Q789" s="212" t="s">
        <v>530</v>
      </c>
      <c r="R789" s="212" t="s">
        <v>2100</v>
      </c>
      <c r="S789" s="218">
        <v>1.6419635892238899E-2</v>
      </c>
      <c r="T789" s="219" t="s">
        <v>372</v>
      </c>
      <c r="U789" s="219"/>
      <c r="V789" s="219"/>
      <c r="W789" s="220">
        <f>IF(BetTable[Sport]="","",BetTable[Stake]+BetTable[S2]+BetTable[S3])</f>
        <v>25</v>
      </c>
      <c r="X789" s="217">
        <f>IF(BetTable[Odds]="","",(BetTable[WBA1-Commission])-BetTable[TS])</f>
        <v>25</v>
      </c>
      <c r="Y789" s="221">
        <f>IF(BetTable[Outcome]="","",BetTable[WBA1]+BetTable[WBA2]+BetTable[WBA3]-BetTable[TS])</f>
        <v>25</v>
      </c>
      <c r="Z789" s="217">
        <f>(((BetTable[Odds]-1)*BetTable[Stake])*(1-(BetTable[Comm %]))+BetTable[Stake])</f>
        <v>50</v>
      </c>
      <c r="AA789" s="217">
        <f>(((BetTable[O2]-1)*BetTable[S2])*(1-(BetTable[C% 2]))+BetTable[S2])</f>
        <v>0</v>
      </c>
      <c r="AB789" s="217">
        <f>(((BetTable[O3]-1)*BetTable[S3])*(1-(BetTable[C% 3]))+BetTable[S3])</f>
        <v>0</v>
      </c>
      <c r="AC789" s="218">
        <f>IFERROR(IF(BetTable[Sport]="","",BetTable[R1]/BetTable[TS]),"")</f>
        <v>1</v>
      </c>
      <c r="AD789" s="218" t="str">
        <f>IF(BetTable[O2]="","",#REF!/BetTable[TS])</f>
        <v/>
      </c>
      <c r="AE789" s="218" t="str">
        <f>IFERROR(IF(BetTable[Sport]="","",#REF!/BetTable[TS]),"")</f>
        <v/>
      </c>
      <c r="AF789" s="217">
        <f>IF(BetTable[Outcome]="Win",BetTable[WBA1-Commission],IF(BetTable[Outcome]="Win Half Stake",(BetTable[Stake]/2)+BetTable[WBA1-Commission]/2,IF(BetTable[Outcome]="Lose Half Stake",BetTable[Stake]/2,IF(BetTable[Outcome]="Lose",0,IF(BetTable[Outcome]="Void",BetTable[Stake],)))))</f>
        <v>50</v>
      </c>
      <c r="AG789" s="217">
        <f>IF(BetTable[Outcome2]="Win",BetTable[WBA2-Commission],IF(BetTable[Outcome2]="Win Half Stake",(BetTable[S2]/2)+BetTable[WBA2-Commission]/2,IF(BetTable[Outcome2]="Lose Half Stake",BetTable[S2]/2,IF(BetTable[Outcome2]="Lose",0,IF(BetTable[Outcome2]="Void",BetTable[S2],)))))</f>
        <v>0</v>
      </c>
      <c r="AH789" s="217">
        <f>IF(BetTable[Outcome3]="Win",BetTable[WBA3-Commission],IF(BetTable[Outcome3]="Win Half Stake",(BetTable[S3]/2)+BetTable[WBA3-Commission]/2,IF(BetTable[Outcome3]="Lose Half Stake",BetTable[S3]/2,IF(BetTable[Outcome3]="Lose",0,IF(BetTable[Outcome3]="Void",BetTable[S3],)))))</f>
        <v>0</v>
      </c>
      <c r="AI789" s="221">
        <f>IF(BetTable[Outcome]="",AI788,BetTable[Result]+AI788)</f>
        <v>1491.7412500000009</v>
      </c>
      <c r="AJ789" s="213"/>
    </row>
    <row r="790" spans="1:36" x14ac:dyDescent="0.2">
      <c r="A790" s="212" t="s">
        <v>2094</v>
      </c>
      <c r="B790" s="213" t="s">
        <v>200</v>
      </c>
      <c r="C790" s="214" t="s">
        <v>1714</v>
      </c>
      <c r="D790" s="214"/>
      <c r="E790" s="214"/>
      <c r="F790" s="215"/>
      <c r="G790" s="215"/>
      <c r="H790" s="215"/>
      <c r="I790" s="213" t="s">
        <v>2101</v>
      </c>
      <c r="J790" s="216">
        <v>1.86</v>
      </c>
      <c r="K790" s="216"/>
      <c r="L790" s="216"/>
      <c r="M790" s="217">
        <v>38</v>
      </c>
      <c r="N790" s="217"/>
      <c r="O790" s="217"/>
      <c r="P790" s="212" t="s">
        <v>543</v>
      </c>
      <c r="Q790" s="212" t="s">
        <v>773</v>
      </c>
      <c r="R790" s="212" t="s">
        <v>2102</v>
      </c>
      <c r="S790" s="218">
        <v>2.09573985413576E-2</v>
      </c>
      <c r="T790" s="219" t="s">
        <v>382</v>
      </c>
      <c r="U790" s="219"/>
      <c r="V790" s="219"/>
      <c r="W790" s="220">
        <f>IF(BetTable[Sport]="","",BetTable[Stake]+BetTable[S2]+BetTable[S3])</f>
        <v>38</v>
      </c>
      <c r="X790" s="217">
        <f>IF(BetTable[Odds]="","",(BetTable[WBA1-Commission])-BetTable[TS])</f>
        <v>32.680000000000007</v>
      </c>
      <c r="Y790" s="221">
        <f>IF(BetTable[Outcome]="","",BetTable[WBA1]+BetTable[WBA2]+BetTable[WBA3]-BetTable[TS])</f>
        <v>-38</v>
      </c>
      <c r="Z790" s="217">
        <f>(((BetTable[Odds]-1)*BetTable[Stake])*(1-(BetTable[Comm %]))+BetTable[Stake])</f>
        <v>70.680000000000007</v>
      </c>
      <c r="AA790" s="217">
        <f>(((BetTable[O2]-1)*BetTable[S2])*(1-(BetTable[C% 2]))+BetTable[S2])</f>
        <v>0</v>
      </c>
      <c r="AB790" s="217">
        <f>(((BetTable[O3]-1)*BetTable[S3])*(1-(BetTable[C% 3]))+BetTable[S3])</f>
        <v>0</v>
      </c>
      <c r="AC790" s="218">
        <f>IFERROR(IF(BetTable[Sport]="","",BetTable[R1]/BetTable[TS]),"")</f>
        <v>0.86000000000000021</v>
      </c>
      <c r="AD790" s="218" t="str">
        <f>IF(BetTable[O2]="","",#REF!/BetTable[TS])</f>
        <v/>
      </c>
      <c r="AE790" s="218" t="str">
        <f>IFERROR(IF(BetTable[Sport]="","",#REF!/BetTable[TS]),"")</f>
        <v/>
      </c>
      <c r="AF790" s="217">
        <f>IF(BetTable[Outcome]="Win",BetTable[WBA1-Commission],IF(BetTable[Outcome]="Win Half Stake",(BetTable[Stake]/2)+BetTable[WBA1-Commission]/2,IF(BetTable[Outcome]="Lose Half Stake",BetTable[Stake]/2,IF(BetTable[Outcome]="Lose",0,IF(BetTable[Outcome]="Void",BetTable[Stake],)))))</f>
        <v>0</v>
      </c>
      <c r="AG790" s="217">
        <f>IF(BetTable[Outcome2]="Win",BetTable[WBA2-Commission],IF(BetTable[Outcome2]="Win Half Stake",(BetTable[S2]/2)+BetTable[WBA2-Commission]/2,IF(BetTable[Outcome2]="Lose Half Stake",BetTable[S2]/2,IF(BetTable[Outcome2]="Lose",0,IF(BetTable[Outcome2]="Void",BetTable[S2],)))))</f>
        <v>0</v>
      </c>
      <c r="AH790" s="217">
        <f>IF(BetTable[Outcome3]="Win",BetTable[WBA3-Commission],IF(BetTable[Outcome3]="Win Half Stake",(BetTable[S3]/2)+BetTable[WBA3-Commission]/2,IF(BetTable[Outcome3]="Lose Half Stake",BetTable[S3]/2,IF(BetTable[Outcome3]="Lose",0,IF(BetTable[Outcome3]="Void",BetTable[S3],)))))</f>
        <v>0</v>
      </c>
      <c r="AI790" s="221">
        <f>IF(BetTable[Outcome]="",AI789,BetTable[Result]+AI789)</f>
        <v>1453.7412500000009</v>
      </c>
      <c r="AJ790" s="213"/>
    </row>
    <row r="791" spans="1:36" x14ac:dyDescent="0.2">
      <c r="A791" s="212" t="s">
        <v>2094</v>
      </c>
      <c r="B791" s="213" t="s">
        <v>200</v>
      </c>
      <c r="C791" s="214" t="s">
        <v>1714</v>
      </c>
      <c r="D791" s="214"/>
      <c r="E791" s="214"/>
      <c r="F791" s="215"/>
      <c r="G791" s="215"/>
      <c r="H791" s="215"/>
      <c r="I791" s="213" t="s">
        <v>2103</v>
      </c>
      <c r="J791" s="216">
        <v>1.63</v>
      </c>
      <c r="K791" s="216"/>
      <c r="L791" s="216"/>
      <c r="M791" s="217">
        <v>80</v>
      </c>
      <c r="N791" s="217"/>
      <c r="O791" s="217"/>
      <c r="P791" s="212" t="s">
        <v>435</v>
      </c>
      <c r="Q791" s="212" t="s">
        <v>482</v>
      </c>
      <c r="R791" s="212" t="s">
        <v>2104</v>
      </c>
      <c r="S791" s="218">
        <v>3.32168061257333E-2</v>
      </c>
      <c r="T791" s="219" t="s">
        <v>382</v>
      </c>
      <c r="U791" s="219"/>
      <c r="V791" s="219"/>
      <c r="W791" s="220">
        <f>IF(BetTable[Sport]="","",BetTable[Stake]+BetTable[S2]+BetTable[S3])</f>
        <v>80</v>
      </c>
      <c r="X791" s="217">
        <f>IF(BetTable[Odds]="","",(BetTable[WBA1-Commission])-BetTable[TS])</f>
        <v>50.399999999999977</v>
      </c>
      <c r="Y791" s="221">
        <f>IF(BetTable[Outcome]="","",BetTable[WBA1]+BetTable[WBA2]+BetTable[WBA3]-BetTable[TS])</f>
        <v>-80</v>
      </c>
      <c r="Z791" s="217">
        <f>(((BetTable[Odds]-1)*BetTable[Stake])*(1-(BetTable[Comm %]))+BetTable[Stake])</f>
        <v>130.39999999999998</v>
      </c>
      <c r="AA791" s="217">
        <f>(((BetTable[O2]-1)*BetTable[S2])*(1-(BetTable[C% 2]))+BetTable[S2])</f>
        <v>0</v>
      </c>
      <c r="AB791" s="217">
        <f>(((BetTable[O3]-1)*BetTable[S3])*(1-(BetTable[C% 3]))+BetTable[S3])</f>
        <v>0</v>
      </c>
      <c r="AC791" s="218">
        <f>IFERROR(IF(BetTable[Sport]="","",BetTable[R1]/BetTable[TS]),"")</f>
        <v>0.62999999999999967</v>
      </c>
      <c r="AD791" s="218" t="str">
        <f>IF(BetTable[O2]="","",#REF!/BetTable[TS])</f>
        <v/>
      </c>
      <c r="AE791" s="218" t="str">
        <f>IFERROR(IF(BetTable[Sport]="","",#REF!/BetTable[TS]),"")</f>
        <v/>
      </c>
      <c r="AF791" s="217">
        <f>IF(BetTable[Outcome]="Win",BetTable[WBA1-Commission],IF(BetTable[Outcome]="Win Half Stake",(BetTable[Stake]/2)+BetTable[WBA1-Commission]/2,IF(BetTable[Outcome]="Lose Half Stake",BetTable[Stake]/2,IF(BetTable[Outcome]="Lose",0,IF(BetTable[Outcome]="Void",BetTable[Stake],)))))</f>
        <v>0</v>
      </c>
      <c r="AG791" s="217">
        <f>IF(BetTable[Outcome2]="Win",BetTable[WBA2-Commission],IF(BetTable[Outcome2]="Win Half Stake",(BetTable[S2]/2)+BetTable[WBA2-Commission]/2,IF(BetTable[Outcome2]="Lose Half Stake",BetTable[S2]/2,IF(BetTable[Outcome2]="Lose",0,IF(BetTable[Outcome2]="Void",BetTable[S2],)))))</f>
        <v>0</v>
      </c>
      <c r="AH791" s="217">
        <f>IF(BetTable[Outcome3]="Win",BetTable[WBA3-Commission],IF(BetTable[Outcome3]="Win Half Stake",(BetTable[S3]/2)+BetTable[WBA3-Commission]/2,IF(BetTable[Outcome3]="Lose Half Stake",BetTable[S3]/2,IF(BetTable[Outcome3]="Lose",0,IF(BetTable[Outcome3]="Void",BetTable[S3],)))))</f>
        <v>0</v>
      </c>
      <c r="AI791" s="221">
        <f>IF(BetTable[Outcome]="",AI790,BetTable[Result]+AI790)</f>
        <v>1373.7412500000009</v>
      </c>
      <c r="AJ791" s="213"/>
    </row>
    <row r="792" spans="1:36" x14ac:dyDescent="0.2">
      <c r="A792" s="212" t="s">
        <v>2094</v>
      </c>
      <c r="B792" s="213" t="s">
        <v>200</v>
      </c>
      <c r="C792" s="214" t="s">
        <v>1714</v>
      </c>
      <c r="D792" s="214"/>
      <c r="E792" s="214"/>
      <c r="F792" s="215"/>
      <c r="G792" s="215"/>
      <c r="H792" s="215"/>
      <c r="I792" s="213" t="s">
        <v>2105</v>
      </c>
      <c r="J792" s="216">
        <v>5.8</v>
      </c>
      <c r="K792" s="216"/>
      <c r="L792" s="216"/>
      <c r="M792" s="217">
        <v>18</v>
      </c>
      <c r="N792" s="217"/>
      <c r="O792" s="217"/>
      <c r="P792" s="212" t="s">
        <v>435</v>
      </c>
      <c r="Q792" s="212" t="s">
        <v>488</v>
      </c>
      <c r="R792" s="212" t="s">
        <v>2106</v>
      </c>
      <c r="S792" s="218">
        <v>5.72985825816247E-2</v>
      </c>
      <c r="T792" s="219" t="s">
        <v>382</v>
      </c>
      <c r="U792" s="219"/>
      <c r="V792" s="219"/>
      <c r="W792" s="220">
        <f>IF(BetTable[Sport]="","",BetTable[Stake]+BetTable[S2]+BetTable[S3])</f>
        <v>18</v>
      </c>
      <c r="X792" s="217">
        <f>IF(BetTable[Odds]="","",(BetTable[WBA1-Commission])-BetTable[TS])</f>
        <v>86.399999999999991</v>
      </c>
      <c r="Y792" s="221">
        <f>IF(BetTable[Outcome]="","",BetTable[WBA1]+BetTable[WBA2]+BetTable[WBA3]-BetTable[TS])</f>
        <v>-18</v>
      </c>
      <c r="Z792" s="217">
        <f>(((BetTable[Odds]-1)*BetTable[Stake])*(1-(BetTable[Comm %]))+BetTable[Stake])</f>
        <v>104.39999999999999</v>
      </c>
      <c r="AA792" s="217">
        <f>(((BetTable[O2]-1)*BetTable[S2])*(1-(BetTable[C% 2]))+BetTable[S2])</f>
        <v>0</v>
      </c>
      <c r="AB792" s="217">
        <f>(((BetTable[O3]-1)*BetTable[S3])*(1-(BetTable[C% 3]))+BetTable[S3])</f>
        <v>0</v>
      </c>
      <c r="AC792" s="218">
        <f>IFERROR(IF(BetTable[Sport]="","",BetTable[R1]/BetTable[TS]),"")</f>
        <v>4.8</v>
      </c>
      <c r="AD792" s="218" t="str">
        <f>IF(BetTable[O2]="","",#REF!/BetTable[TS])</f>
        <v/>
      </c>
      <c r="AE792" s="218" t="str">
        <f>IFERROR(IF(BetTable[Sport]="","",#REF!/BetTable[TS]),"")</f>
        <v/>
      </c>
      <c r="AF792" s="217">
        <f>IF(BetTable[Outcome]="Win",BetTable[WBA1-Commission],IF(BetTable[Outcome]="Win Half Stake",(BetTable[Stake]/2)+BetTable[WBA1-Commission]/2,IF(BetTable[Outcome]="Lose Half Stake",BetTable[Stake]/2,IF(BetTable[Outcome]="Lose",0,IF(BetTable[Outcome]="Void",BetTable[Stake],)))))</f>
        <v>0</v>
      </c>
      <c r="AG792" s="217">
        <f>IF(BetTable[Outcome2]="Win",BetTable[WBA2-Commission],IF(BetTable[Outcome2]="Win Half Stake",(BetTable[S2]/2)+BetTable[WBA2-Commission]/2,IF(BetTable[Outcome2]="Lose Half Stake",BetTable[S2]/2,IF(BetTable[Outcome2]="Lose",0,IF(BetTable[Outcome2]="Void",BetTable[S2],)))))</f>
        <v>0</v>
      </c>
      <c r="AH792" s="217">
        <f>IF(BetTable[Outcome3]="Win",BetTable[WBA3-Commission],IF(BetTable[Outcome3]="Win Half Stake",(BetTable[S3]/2)+BetTable[WBA3-Commission]/2,IF(BetTable[Outcome3]="Lose Half Stake",BetTable[S3]/2,IF(BetTable[Outcome3]="Lose",0,IF(BetTable[Outcome3]="Void",BetTable[S3],)))))</f>
        <v>0</v>
      </c>
      <c r="AI792" s="221">
        <f>IF(BetTable[Outcome]="",AI791,BetTable[Result]+AI791)</f>
        <v>1355.7412500000009</v>
      </c>
      <c r="AJ792" s="213"/>
    </row>
    <row r="793" spans="1:36" x14ac:dyDescent="0.2">
      <c r="A793" s="212" t="s">
        <v>2094</v>
      </c>
      <c r="B793" s="213" t="s">
        <v>175</v>
      </c>
      <c r="C793" s="214" t="s">
        <v>91</v>
      </c>
      <c r="D793" s="214"/>
      <c r="E793" s="214"/>
      <c r="F793" s="215"/>
      <c r="G793" s="215"/>
      <c r="H793" s="215"/>
      <c r="I793" s="213" t="s">
        <v>2107</v>
      </c>
      <c r="J793" s="216">
        <v>1.75</v>
      </c>
      <c r="K793" s="216"/>
      <c r="L793" s="216"/>
      <c r="M793" s="217">
        <v>69</v>
      </c>
      <c r="N793" s="217"/>
      <c r="O793" s="217"/>
      <c r="P793" s="212" t="s">
        <v>1650</v>
      </c>
      <c r="Q793" s="212" t="s">
        <v>1590</v>
      </c>
      <c r="R793" s="212" t="s">
        <v>2108</v>
      </c>
      <c r="S793" s="218">
        <v>3.3396575209184598E-2</v>
      </c>
      <c r="T793" s="219" t="s">
        <v>372</v>
      </c>
      <c r="U793" s="219"/>
      <c r="V793" s="219"/>
      <c r="W793" s="220">
        <f>IF(BetTable[Sport]="","",BetTable[Stake]+BetTable[S2]+BetTable[S3])</f>
        <v>69</v>
      </c>
      <c r="X793" s="217">
        <f>IF(BetTable[Odds]="","",(BetTable[WBA1-Commission])-BetTable[TS])</f>
        <v>51.75</v>
      </c>
      <c r="Y793" s="221">
        <f>IF(BetTable[Outcome]="","",BetTable[WBA1]+BetTable[WBA2]+BetTable[WBA3]-BetTable[TS])</f>
        <v>51.75</v>
      </c>
      <c r="Z793" s="217">
        <f>(((BetTable[Odds]-1)*BetTable[Stake])*(1-(BetTable[Comm %]))+BetTable[Stake])</f>
        <v>120.75</v>
      </c>
      <c r="AA793" s="217">
        <f>(((BetTable[O2]-1)*BetTable[S2])*(1-(BetTable[C% 2]))+BetTable[S2])</f>
        <v>0</v>
      </c>
      <c r="AB793" s="217">
        <f>(((BetTable[O3]-1)*BetTable[S3])*(1-(BetTable[C% 3]))+BetTable[S3])</f>
        <v>0</v>
      </c>
      <c r="AC793" s="218">
        <f>IFERROR(IF(BetTable[Sport]="","",BetTable[R1]/BetTable[TS]),"")</f>
        <v>0.75</v>
      </c>
      <c r="AD793" s="218" t="str">
        <f>IF(BetTable[O2]="","",#REF!/BetTable[TS])</f>
        <v/>
      </c>
      <c r="AE793" s="218" t="str">
        <f>IFERROR(IF(BetTable[Sport]="","",#REF!/BetTable[TS]),"")</f>
        <v/>
      </c>
      <c r="AF793" s="217">
        <f>IF(BetTable[Outcome]="Win",BetTable[WBA1-Commission],IF(BetTable[Outcome]="Win Half Stake",(BetTable[Stake]/2)+BetTable[WBA1-Commission]/2,IF(BetTable[Outcome]="Lose Half Stake",BetTable[Stake]/2,IF(BetTable[Outcome]="Lose",0,IF(BetTable[Outcome]="Void",BetTable[Stake],)))))</f>
        <v>120.75</v>
      </c>
      <c r="AG793" s="217">
        <f>IF(BetTable[Outcome2]="Win",BetTable[WBA2-Commission],IF(BetTable[Outcome2]="Win Half Stake",(BetTable[S2]/2)+BetTable[WBA2-Commission]/2,IF(BetTable[Outcome2]="Lose Half Stake",BetTable[S2]/2,IF(BetTable[Outcome2]="Lose",0,IF(BetTable[Outcome2]="Void",BetTable[S2],)))))</f>
        <v>0</v>
      </c>
      <c r="AH793" s="217">
        <f>IF(BetTable[Outcome3]="Win",BetTable[WBA3-Commission],IF(BetTable[Outcome3]="Win Half Stake",(BetTable[S3]/2)+BetTable[WBA3-Commission]/2,IF(BetTable[Outcome3]="Lose Half Stake",BetTable[S3]/2,IF(BetTable[Outcome3]="Lose",0,IF(BetTable[Outcome3]="Void",BetTable[S3],)))))</f>
        <v>0</v>
      </c>
      <c r="AI793" s="221">
        <f>IF(BetTable[Outcome]="",AI792,BetTable[Result]+AI792)</f>
        <v>1407.4912500000009</v>
      </c>
      <c r="AJ793" s="213"/>
    </row>
    <row r="794" spans="1:36" x14ac:dyDescent="0.2">
      <c r="A794" s="212" t="s">
        <v>2094</v>
      </c>
      <c r="B794" s="213" t="s">
        <v>200</v>
      </c>
      <c r="C794" s="214" t="s">
        <v>1714</v>
      </c>
      <c r="D794" s="214"/>
      <c r="E794" s="214"/>
      <c r="F794" s="215"/>
      <c r="G794" s="215"/>
      <c r="H794" s="215"/>
      <c r="I794" s="213" t="s">
        <v>2109</v>
      </c>
      <c r="J794" s="216">
        <v>1.9</v>
      </c>
      <c r="K794" s="216"/>
      <c r="L794" s="216"/>
      <c r="M794" s="217">
        <v>41</v>
      </c>
      <c r="N794" s="217"/>
      <c r="O794" s="217"/>
      <c r="P794" s="212" t="s">
        <v>435</v>
      </c>
      <c r="Q794" s="212" t="s">
        <v>2110</v>
      </c>
      <c r="R794" s="212" t="s">
        <v>2111</v>
      </c>
      <c r="S794" s="218">
        <v>2.3760513457347299E-2</v>
      </c>
      <c r="T794" s="219" t="s">
        <v>382</v>
      </c>
      <c r="U794" s="219"/>
      <c r="V794" s="219"/>
      <c r="W794" s="220">
        <f>IF(BetTable[Sport]="","",BetTable[Stake]+BetTable[S2]+BetTable[S3])</f>
        <v>41</v>
      </c>
      <c r="X794" s="217">
        <f>IF(BetTable[Odds]="","",(BetTable[WBA1-Commission])-BetTable[TS])</f>
        <v>36.900000000000006</v>
      </c>
      <c r="Y794" s="221">
        <f>IF(BetTable[Outcome]="","",BetTable[WBA1]+BetTable[WBA2]+BetTable[WBA3]-BetTable[TS])</f>
        <v>-41</v>
      </c>
      <c r="Z794" s="217">
        <f>(((BetTable[Odds]-1)*BetTable[Stake])*(1-(BetTable[Comm %]))+BetTable[Stake])</f>
        <v>77.900000000000006</v>
      </c>
      <c r="AA794" s="217">
        <f>(((BetTable[O2]-1)*BetTable[S2])*(1-(BetTable[C% 2]))+BetTable[S2])</f>
        <v>0</v>
      </c>
      <c r="AB794" s="217">
        <f>(((BetTable[O3]-1)*BetTable[S3])*(1-(BetTable[C% 3]))+BetTable[S3])</f>
        <v>0</v>
      </c>
      <c r="AC794" s="218">
        <f>IFERROR(IF(BetTable[Sport]="","",BetTable[R1]/BetTable[TS]),"")</f>
        <v>0.90000000000000013</v>
      </c>
      <c r="AD794" s="218" t="str">
        <f>IF(BetTable[O2]="","",#REF!/BetTable[TS])</f>
        <v/>
      </c>
      <c r="AE794" s="218" t="str">
        <f>IFERROR(IF(BetTable[Sport]="","",#REF!/BetTable[TS]),"")</f>
        <v/>
      </c>
      <c r="AF794" s="217">
        <f>IF(BetTable[Outcome]="Win",BetTable[WBA1-Commission],IF(BetTable[Outcome]="Win Half Stake",(BetTable[Stake]/2)+BetTable[WBA1-Commission]/2,IF(BetTable[Outcome]="Lose Half Stake",BetTable[Stake]/2,IF(BetTable[Outcome]="Lose",0,IF(BetTable[Outcome]="Void",BetTable[Stake],)))))</f>
        <v>0</v>
      </c>
      <c r="AG794" s="217">
        <f>IF(BetTable[Outcome2]="Win",BetTable[WBA2-Commission],IF(BetTable[Outcome2]="Win Half Stake",(BetTable[S2]/2)+BetTable[WBA2-Commission]/2,IF(BetTable[Outcome2]="Lose Half Stake",BetTable[S2]/2,IF(BetTable[Outcome2]="Lose",0,IF(BetTable[Outcome2]="Void",BetTable[S2],)))))</f>
        <v>0</v>
      </c>
      <c r="AH794" s="217">
        <f>IF(BetTable[Outcome3]="Win",BetTable[WBA3-Commission],IF(BetTable[Outcome3]="Win Half Stake",(BetTable[S3]/2)+BetTable[WBA3-Commission]/2,IF(BetTable[Outcome3]="Lose Half Stake",BetTable[S3]/2,IF(BetTable[Outcome3]="Lose",0,IF(BetTable[Outcome3]="Void",BetTable[S3],)))))</f>
        <v>0</v>
      </c>
      <c r="AI794" s="221">
        <f>IF(BetTable[Outcome]="",AI793,BetTable[Result]+AI793)</f>
        <v>1366.4912500000009</v>
      </c>
      <c r="AJ794" s="213"/>
    </row>
    <row r="795" spans="1:36" x14ac:dyDescent="0.2">
      <c r="A795" s="212" t="s">
        <v>2094</v>
      </c>
      <c r="B795" s="213" t="s">
        <v>7</v>
      </c>
      <c r="C795" s="214" t="s">
        <v>91</v>
      </c>
      <c r="D795" s="214"/>
      <c r="E795" s="214"/>
      <c r="F795" s="215"/>
      <c r="G795" s="215"/>
      <c r="H795" s="215"/>
      <c r="I795" s="213" t="s">
        <v>2112</v>
      </c>
      <c r="J795" s="216">
        <v>1.91</v>
      </c>
      <c r="K795" s="216"/>
      <c r="L795" s="216"/>
      <c r="M795" s="217">
        <v>34</v>
      </c>
      <c r="N795" s="217"/>
      <c r="O795" s="217"/>
      <c r="P795" s="212" t="s">
        <v>1041</v>
      </c>
      <c r="Q795" s="212" t="s">
        <v>632</v>
      </c>
      <c r="R795" s="212" t="s">
        <v>2113</v>
      </c>
      <c r="S795" s="218">
        <v>2.0068953294921799E-2</v>
      </c>
      <c r="T795" s="219" t="s">
        <v>372</v>
      </c>
      <c r="U795" s="219"/>
      <c r="V795" s="219"/>
      <c r="W795" s="220">
        <f>IF(BetTable[Sport]="","",BetTable[Stake]+BetTable[S2]+BetTable[S3])</f>
        <v>34</v>
      </c>
      <c r="X795" s="217">
        <f>IF(BetTable[Odds]="","",(BetTable[WBA1-Commission])-BetTable[TS])</f>
        <v>30.939999999999998</v>
      </c>
      <c r="Y795" s="221">
        <f>IF(BetTable[Outcome]="","",BetTable[WBA1]+BetTable[WBA2]+BetTable[WBA3]-BetTable[TS])</f>
        <v>30.939999999999998</v>
      </c>
      <c r="Z795" s="217">
        <f>(((BetTable[Odds]-1)*BetTable[Stake])*(1-(BetTable[Comm %]))+BetTable[Stake])</f>
        <v>64.94</v>
      </c>
      <c r="AA795" s="217">
        <f>(((BetTable[O2]-1)*BetTable[S2])*(1-(BetTable[C% 2]))+BetTable[S2])</f>
        <v>0</v>
      </c>
      <c r="AB795" s="217">
        <f>(((BetTable[O3]-1)*BetTable[S3])*(1-(BetTable[C% 3]))+BetTable[S3])</f>
        <v>0</v>
      </c>
      <c r="AC795" s="218">
        <f>IFERROR(IF(BetTable[Sport]="","",BetTable[R1]/BetTable[TS]),"")</f>
        <v>0.90999999999999992</v>
      </c>
      <c r="AD795" s="218" t="str">
        <f>IF(BetTable[O2]="","",#REF!/BetTable[TS])</f>
        <v/>
      </c>
      <c r="AE795" s="218" t="str">
        <f>IFERROR(IF(BetTable[Sport]="","",#REF!/BetTable[TS]),"")</f>
        <v/>
      </c>
      <c r="AF795" s="217">
        <f>IF(BetTable[Outcome]="Win",BetTable[WBA1-Commission],IF(BetTable[Outcome]="Win Half Stake",(BetTable[Stake]/2)+BetTable[WBA1-Commission]/2,IF(BetTable[Outcome]="Lose Half Stake",BetTable[Stake]/2,IF(BetTable[Outcome]="Lose",0,IF(BetTable[Outcome]="Void",BetTable[Stake],)))))</f>
        <v>64.94</v>
      </c>
      <c r="AG795" s="217">
        <f>IF(BetTable[Outcome2]="Win",BetTable[WBA2-Commission],IF(BetTable[Outcome2]="Win Half Stake",(BetTable[S2]/2)+BetTable[WBA2-Commission]/2,IF(BetTable[Outcome2]="Lose Half Stake",BetTable[S2]/2,IF(BetTable[Outcome2]="Lose",0,IF(BetTable[Outcome2]="Void",BetTable[S2],)))))</f>
        <v>0</v>
      </c>
      <c r="AH795" s="217">
        <f>IF(BetTable[Outcome3]="Win",BetTable[WBA3-Commission],IF(BetTable[Outcome3]="Win Half Stake",(BetTable[S3]/2)+BetTable[WBA3-Commission]/2,IF(BetTable[Outcome3]="Lose Half Stake",BetTable[S3]/2,IF(BetTable[Outcome3]="Lose",0,IF(BetTable[Outcome3]="Void",BetTable[S3],)))))</f>
        <v>0</v>
      </c>
      <c r="AI795" s="221">
        <f>IF(BetTable[Outcome]="",AI794,BetTable[Result]+AI794)</f>
        <v>1397.431250000001</v>
      </c>
      <c r="AJ795" s="213"/>
    </row>
    <row r="796" spans="1:36" x14ac:dyDescent="0.2">
      <c r="A796" s="212" t="s">
        <v>2094</v>
      </c>
      <c r="B796" s="213" t="s">
        <v>200</v>
      </c>
      <c r="C796" s="161" t="s">
        <v>1714</v>
      </c>
      <c r="D796" s="214"/>
      <c r="E796" s="214"/>
      <c r="F796" s="215"/>
      <c r="G796" s="215"/>
      <c r="H796" s="215"/>
      <c r="I796" s="213" t="s">
        <v>2114</v>
      </c>
      <c r="J796" s="216">
        <v>1.63</v>
      </c>
      <c r="K796" s="216"/>
      <c r="L796" s="216"/>
      <c r="M796" s="217">
        <v>85</v>
      </c>
      <c r="N796" s="217"/>
      <c r="O796" s="217"/>
      <c r="P796" s="212" t="s">
        <v>354</v>
      </c>
      <c r="Q796" s="212" t="s">
        <v>439</v>
      </c>
      <c r="R796" s="212" t="s">
        <v>2115</v>
      </c>
      <c r="S796" s="218">
        <v>3.4568835424387302E-2</v>
      </c>
      <c r="T796" s="219" t="s">
        <v>372</v>
      </c>
      <c r="U796" s="219"/>
      <c r="V796" s="219"/>
      <c r="W796" s="220">
        <f>IF(BetTable[Sport]="","",BetTable[Stake]+BetTable[S2]+BetTable[S3])</f>
        <v>85</v>
      </c>
      <c r="X796" s="217">
        <f>IF(BetTable[Odds]="","",(BetTable[WBA1-Commission])-BetTable[TS])</f>
        <v>53.549999999999983</v>
      </c>
      <c r="Y796" s="221">
        <f>IF(BetTable[Outcome]="","",BetTable[WBA1]+BetTable[WBA2]+BetTable[WBA3]-BetTable[TS])</f>
        <v>53.549999999999983</v>
      </c>
      <c r="Z796" s="217">
        <f>(((BetTable[Odds]-1)*BetTable[Stake])*(1-(BetTable[Comm %]))+BetTable[Stake])</f>
        <v>138.54999999999998</v>
      </c>
      <c r="AA796" s="217">
        <f>(((BetTable[O2]-1)*BetTable[S2])*(1-(BetTable[C% 2]))+BetTable[S2])</f>
        <v>0</v>
      </c>
      <c r="AB796" s="217">
        <f>(((BetTable[O3]-1)*BetTable[S3])*(1-(BetTable[C% 3]))+BetTable[S3])</f>
        <v>0</v>
      </c>
      <c r="AC796" s="218">
        <f>IFERROR(IF(BetTable[Sport]="","",BetTable[R1]/BetTable[TS]),"")</f>
        <v>0.62999999999999978</v>
      </c>
      <c r="AD796" s="218" t="str">
        <f>IF(BetTable[O2]="","",#REF!/BetTable[TS])</f>
        <v/>
      </c>
      <c r="AE796" s="218" t="str">
        <f>IFERROR(IF(BetTable[Sport]="","",#REF!/BetTable[TS]),"")</f>
        <v/>
      </c>
      <c r="AF796" s="217">
        <f>IF(BetTable[Outcome]="Win",BetTable[WBA1-Commission],IF(BetTable[Outcome]="Win Half Stake",(BetTable[Stake]/2)+BetTable[WBA1-Commission]/2,IF(BetTable[Outcome]="Lose Half Stake",BetTable[Stake]/2,IF(BetTable[Outcome]="Lose",0,IF(BetTable[Outcome]="Void",BetTable[Stake],)))))</f>
        <v>138.54999999999998</v>
      </c>
      <c r="AG796" s="217">
        <f>IF(BetTable[Outcome2]="Win",BetTable[WBA2-Commission],IF(BetTable[Outcome2]="Win Half Stake",(BetTable[S2]/2)+BetTable[WBA2-Commission]/2,IF(BetTable[Outcome2]="Lose Half Stake",BetTable[S2]/2,IF(BetTable[Outcome2]="Lose",0,IF(BetTable[Outcome2]="Void",BetTable[S2],)))))</f>
        <v>0</v>
      </c>
      <c r="AH796" s="217">
        <f>IF(BetTable[Outcome3]="Win",BetTable[WBA3-Commission],IF(BetTable[Outcome3]="Win Half Stake",(BetTable[S3]/2)+BetTable[WBA3-Commission]/2,IF(BetTable[Outcome3]="Lose Half Stake",BetTable[S3]/2,IF(BetTable[Outcome3]="Lose",0,IF(BetTable[Outcome3]="Void",BetTable[S3],)))))</f>
        <v>0</v>
      </c>
      <c r="AI796" s="221">
        <f>IF(BetTable[Outcome]="",AI795,BetTable[Result]+AI795)</f>
        <v>1450.981250000001</v>
      </c>
      <c r="AJ796" s="213"/>
    </row>
    <row r="797" spans="1:36" x14ac:dyDescent="0.2">
      <c r="A797" s="212" t="s">
        <v>2094</v>
      </c>
      <c r="B797" s="213" t="s">
        <v>200</v>
      </c>
      <c r="C797" s="161" t="s">
        <v>1714</v>
      </c>
      <c r="D797" s="214"/>
      <c r="E797" s="214"/>
      <c r="F797" s="215"/>
      <c r="G797" s="215"/>
      <c r="H797" s="215"/>
      <c r="I797" s="213" t="s">
        <v>2116</v>
      </c>
      <c r="J797" s="216">
        <v>1.9</v>
      </c>
      <c r="K797" s="216"/>
      <c r="L797" s="216"/>
      <c r="M797" s="217">
        <v>40</v>
      </c>
      <c r="N797" s="217"/>
      <c r="O797" s="217"/>
      <c r="P797" s="212" t="s">
        <v>791</v>
      </c>
      <c r="Q797" s="212" t="s">
        <v>488</v>
      </c>
      <c r="R797" s="212" t="s">
        <v>2117</v>
      </c>
      <c r="S797" s="218">
        <v>2.3542121052247698E-2</v>
      </c>
      <c r="T797" s="219" t="s">
        <v>372</v>
      </c>
      <c r="U797" s="219"/>
      <c r="V797" s="219"/>
      <c r="W797" s="220">
        <f>IF(BetTable[Sport]="","",BetTable[Stake]+BetTable[S2]+BetTable[S3])</f>
        <v>40</v>
      </c>
      <c r="X797" s="217">
        <f>IF(BetTable[Odds]="","",(BetTable[WBA1-Commission])-BetTable[TS])</f>
        <v>36</v>
      </c>
      <c r="Y797" s="221">
        <f>IF(BetTable[Outcome]="","",BetTable[WBA1]+BetTable[WBA2]+BetTable[WBA3]-BetTable[TS])</f>
        <v>36</v>
      </c>
      <c r="Z797" s="217">
        <f>(((BetTable[Odds]-1)*BetTable[Stake])*(1-(BetTable[Comm %]))+BetTable[Stake])</f>
        <v>76</v>
      </c>
      <c r="AA797" s="217">
        <f>(((BetTable[O2]-1)*BetTable[S2])*(1-(BetTable[C% 2]))+BetTable[S2])</f>
        <v>0</v>
      </c>
      <c r="AB797" s="217">
        <f>(((BetTable[O3]-1)*BetTable[S3])*(1-(BetTable[C% 3]))+BetTable[S3])</f>
        <v>0</v>
      </c>
      <c r="AC797" s="218">
        <f>IFERROR(IF(BetTable[Sport]="","",BetTable[R1]/BetTable[TS]),"")</f>
        <v>0.9</v>
      </c>
      <c r="AD797" s="218" t="str">
        <f>IF(BetTable[O2]="","",#REF!/BetTable[TS])</f>
        <v/>
      </c>
      <c r="AE797" s="218" t="str">
        <f>IFERROR(IF(BetTable[Sport]="","",#REF!/BetTable[TS]),"")</f>
        <v/>
      </c>
      <c r="AF797" s="217">
        <f>IF(BetTable[Outcome]="Win",BetTable[WBA1-Commission],IF(BetTable[Outcome]="Win Half Stake",(BetTable[Stake]/2)+BetTable[WBA1-Commission]/2,IF(BetTable[Outcome]="Lose Half Stake",BetTable[Stake]/2,IF(BetTable[Outcome]="Lose",0,IF(BetTable[Outcome]="Void",BetTable[Stake],)))))</f>
        <v>76</v>
      </c>
      <c r="AG797" s="217">
        <f>IF(BetTable[Outcome2]="Win",BetTable[WBA2-Commission],IF(BetTable[Outcome2]="Win Half Stake",(BetTable[S2]/2)+BetTable[WBA2-Commission]/2,IF(BetTable[Outcome2]="Lose Half Stake",BetTable[S2]/2,IF(BetTable[Outcome2]="Lose",0,IF(BetTable[Outcome2]="Void",BetTable[S2],)))))</f>
        <v>0</v>
      </c>
      <c r="AH797" s="217">
        <f>IF(BetTable[Outcome3]="Win",BetTable[WBA3-Commission],IF(BetTable[Outcome3]="Win Half Stake",(BetTable[S3]/2)+BetTable[WBA3-Commission]/2,IF(BetTable[Outcome3]="Lose Half Stake",BetTable[S3]/2,IF(BetTable[Outcome3]="Lose",0,IF(BetTable[Outcome3]="Void",BetTable[S3],)))))</f>
        <v>0</v>
      </c>
      <c r="AI797" s="221">
        <f>IF(BetTable[Outcome]="",AI796,BetTable[Result]+AI796)</f>
        <v>1486.981250000001</v>
      </c>
      <c r="AJ797" s="213"/>
    </row>
    <row r="798" spans="1:36" x14ac:dyDescent="0.2">
      <c r="A798" s="212" t="s">
        <v>2094</v>
      </c>
      <c r="B798" s="213" t="s">
        <v>200</v>
      </c>
      <c r="C798" s="161" t="s">
        <v>1714</v>
      </c>
      <c r="D798" s="214"/>
      <c r="E798" s="214"/>
      <c r="F798" s="215"/>
      <c r="G798" s="215"/>
      <c r="H798" s="215"/>
      <c r="I798" s="213" t="s">
        <v>2118</v>
      </c>
      <c r="J798" s="216">
        <v>1.78</v>
      </c>
      <c r="K798" s="216"/>
      <c r="L798" s="216"/>
      <c r="M798" s="217">
        <v>71</v>
      </c>
      <c r="N798" s="217"/>
      <c r="O798" s="217"/>
      <c r="P798" s="212" t="s">
        <v>357</v>
      </c>
      <c r="Q798" s="212" t="s">
        <v>491</v>
      </c>
      <c r="R798" s="212" t="s">
        <v>2119</v>
      </c>
      <c r="S798" s="218">
        <v>3.59360854385989E-2</v>
      </c>
      <c r="T798" s="219" t="s">
        <v>383</v>
      </c>
      <c r="U798" s="219"/>
      <c r="V798" s="219"/>
      <c r="W798" s="220">
        <f>IF(BetTable[Sport]="","",BetTable[Stake]+BetTable[S2]+BetTable[S3])</f>
        <v>71</v>
      </c>
      <c r="X798" s="217">
        <f>IF(BetTable[Odds]="","",(BetTable[WBA1-Commission])-BetTable[TS])</f>
        <v>55.379999999999995</v>
      </c>
      <c r="Y798" s="221">
        <f>IF(BetTable[Outcome]="","",BetTable[WBA1]+BetTable[WBA2]+BetTable[WBA3]-BetTable[TS])</f>
        <v>0</v>
      </c>
      <c r="Z798" s="217">
        <f>(((BetTable[Odds]-1)*BetTable[Stake])*(1-(BetTable[Comm %]))+BetTable[Stake])</f>
        <v>126.38</v>
      </c>
      <c r="AA798" s="217">
        <f>(((BetTable[O2]-1)*BetTable[S2])*(1-(BetTable[C% 2]))+BetTable[S2])</f>
        <v>0</v>
      </c>
      <c r="AB798" s="217">
        <f>(((BetTable[O3]-1)*BetTable[S3])*(1-(BetTable[C% 3]))+BetTable[S3])</f>
        <v>0</v>
      </c>
      <c r="AC798" s="218">
        <f>IFERROR(IF(BetTable[Sport]="","",BetTable[R1]/BetTable[TS]),"")</f>
        <v>0.77999999999999992</v>
      </c>
      <c r="AD798" s="218" t="str">
        <f>IF(BetTable[O2]="","",#REF!/BetTable[TS])</f>
        <v/>
      </c>
      <c r="AE798" s="218" t="str">
        <f>IFERROR(IF(BetTable[Sport]="","",#REF!/BetTable[TS]),"")</f>
        <v/>
      </c>
      <c r="AF798" s="217">
        <f>IF(BetTable[Outcome]="Win",BetTable[WBA1-Commission],IF(BetTable[Outcome]="Win Half Stake",(BetTable[Stake]/2)+BetTable[WBA1-Commission]/2,IF(BetTable[Outcome]="Lose Half Stake",BetTable[Stake]/2,IF(BetTable[Outcome]="Lose",0,IF(BetTable[Outcome]="Void",BetTable[Stake],)))))</f>
        <v>71</v>
      </c>
      <c r="AG798" s="217">
        <f>IF(BetTable[Outcome2]="Win",BetTable[WBA2-Commission],IF(BetTable[Outcome2]="Win Half Stake",(BetTable[S2]/2)+BetTable[WBA2-Commission]/2,IF(BetTable[Outcome2]="Lose Half Stake",BetTable[S2]/2,IF(BetTable[Outcome2]="Lose",0,IF(BetTable[Outcome2]="Void",BetTable[S2],)))))</f>
        <v>0</v>
      </c>
      <c r="AH798" s="217">
        <f>IF(BetTable[Outcome3]="Win",BetTable[WBA3-Commission],IF(BetTable[Outcome3]="Win Half Stake",(BetTable[S3]/2)+BetTable[WBA3-Commission]/2,IF(BetTable[Outcome3]="Lose Half Stake",BetTable[S3]/2,IF(BetTable[Outcome3]="Lose",0,IF(BetTable[Outcome3]="Void",BetTable[S3],)))))</f>
        <v>0</v>
      </c>
      <c r="AI798" s="221">
        <f>IF(BetTable[Outcome]="",AI797,BetTable[Result]+AI797)</f>
        <v>1486.981250000001</v>
      </c>
      <c r="AJ798" s="213"/>
    </row>
    <row r="799" spans="1:36" x14ac:dyDescent="0.2">
      <c r="A799" s="212" t="s">
        <v>2094</v>
      </c>
      <c r="B799" s="213" t="s">
        <v>200</v>
      </c>
      <c r="C799" s="161" t="s">
        <v>1714</v>
      </c>
      <c r="D799" s="214"/>
      <c r="E799" s="214"/>
      <c r="F799" s="215"/>
      <c r="G799" s="215"/>
      <c r="H799" s="215"/>
      <c r="I799" s="213" t="s">
        <v>2120</v>
      </c>
      <c r="J799" s="216">
        <v>1.75</v>
      </c>
      <c r="K799" s="216"/>
      <c r="L799" s="216"/>
      <c r="M799" s="217">
        <v>64</v>
      </c>
      <c r="N799" s="217"/>
      <c r="O799" s="217"/>
      <c r="P799" s="212" t="s">
        <v>508</v>
      </c>
      <c r="Q799" s="212" t="s">
        <v>439</v>
      </c>
      <c r="R799" s="212" t="s">
        <v>2121</v>
      </c>
      <c r="S799" s="218">
        <v>3.1192539532801399E-2</v>
      </c>
      <c r="T799" s="219" t="s">
        <v>510</v>
      </c>
      <c r="U799" s="219"/>
      <c r="V799" s="219"/>
      <c r="W799" s="220">
        <f>IF(BetTable[Sport]="","",BetTable[Stake]+BetTable[S2]+BetTable[S3])</f>
        <v>64</v>
      </c>
      <c r="X799" s="217">
        <f>IF(BetTable[Odds]="","",(BetTable[WBA1-Commission])-BetTable[TS])</f>
        <v>48</v>
      </c>
      <c r="Y799" s="221">
        <f>IF(BetTable[Outcome]="","",BetTable[WBA1]+BetTable[WBA2]+BetTable[WBA3]-BetTable[TS])</f>
        <v>24</v>
      </c>
      <c r="Z799" s="217">
        <f>(((BetTable[Odds]-1)*BetTable[Stake])*(1-(BetTable[Comm %]))+BetTable[Stake])</f>
        <v>112</v>
      </c>
      <c r="AA799" s="217">
        <f>(((BetTable[O2]-1)*BetTable[S2])*(1-(BetTable[C% 2]))+BetTable[S2])</f>
        <v>0</v>
      </c>
      <c r="AB799" s="217">
        <f>(((BetTable[O3]-1)*BetTable[S3])*(1-(BetTable[C% 3]))+BetTable[S3])</f>
        <v>0</v>
      </c>
      <c r="AC799" s="218">
        <f>IFERROR(IF(BetTable[Sport]="","",BetTable[R1]/BetTable[TS]),"")</f>
        <v>0.75</v>
      </c>
      <c r="AD799" s="218" t="str">
        <f>IF(BetTable[O2]="","",#REF!/BetTable[TS])</f>
        <v/>
      </c>
      <c r="AE799" s="218" t="str">
        <f>IFERROR(IF(BetTable[Sport]="","",#REF!/BetTable[TS]),"")</f>
        <v/>
      </c>
      <c r="AF799" s="217">
        <f>IF(BetTable[Outcome]="Win",BetTable[WBA1-Commission],IF(BetTable[Outcome]="Win Half Stake",(BetTable[Stake]/2)+BetTable[WBA1-Commission]/2,IF(BetTable[Outcome]="Lose Half Stake",BetTable[Stake]/2,IF(BetTable[Outcome]="Lose",0,IF(BetTable[Outcome]="Void",BetTable[Stake],)))))</f>
        <v>88</v>
      </c>
      <c r="AG799" s="217">
        <f>IF(BetTable[Outcome2]="Win",BetTable[WBA2-Commission],IF(BetTable[Outcome2]="Win Half Stake",(BetTable[S2]/2)+BetTable[WBA2-Commission]/2,IF(BetTable[Outcome2]="Lose Half Stake",BetTable[S2]/2,IF(BetTable[Outcome2]="Lose",0,IF(BetTable[Outcome2]="Void",BetTable[S2],)))))</f>
        <v>0</v>
      </c>
      <c r="AH799" s="217">
        <f>IF(BetTable[Outcome3]="Win",BetTable[WBA3-Commission],IF(BetTable[Outcome3]="Win Half Stake",(BetTable[S3]/2)+BetTable[WBA3-Commission]/2,IF(BetTable[Outcome3]="Lose Half Stake",BetTable[S3]/2,IF(BetTable[Outcome3]="Lose",0,IF(BetTable[Outcome3]="Void",BetTable[S3],)))))</f>
        <v>0</v>
      </c>
      <c r="AI799" s="221">
        <f>IF(BetTable[Outcome]="",AI798,BetTable[Result]+AI798)</f>
        <v>1510.981250000001</v>
      </c>
      <c r="AJ799" s="213"/>
    </row>
    <row r="800" spans="1:36" x14ac:dyDescent="0.2">
      <c r="A800" s="159" t="s">
        <v>2094</v>
      </c>
      <c r="B800" s="160" t="s">
        <v>200</v>
      </c>
      <c r="C800" s="161" t="s">
        <v>1714</v>
      </c>
      <c r="D800" s="161"/>
      <c r="E800" s="161"/>
      <c r="F800" s="162"/>
      <c r="G800" s="162"/>
      <c r="H800" s="162"/>
      <c r="I800" s="160" t="s">
        <v>2122</v>
      </c>
      <c r="J800" s="163">
        <v>3.75</v>
      </c>
      <c r="K800" s="163"/>
      <c r="L800" s="163"/>
      <c r="M800" s="164">
        <v>49</v>
      </c>
      <c r="N800" s="164"/>
      <c r="O800" s="164"/>
      <c r="P800" s="159" t="s">
        <v>494</v>
      </c>
      <c r="Q800" s="159" t="s">
        <v>703</v>
      </c>
      <c r="R800" s="159" t="s">
        <v>2123</v>
      </c>
      <c r="S800" s="165">
        <v>8.7915570052819497E-2</v>
      </c>
      <c r="T800" s="166" t="s">
        <v>382</v>
      </c>
      <c r="U800" s="166"/>
      <c r="V800" s="166"/>
      <c r="W800" s="167">
        <f>IF(BetTable[Sport]="","",BetTable[Stake]+BetTable[S2]+BetTable[S3])</f>
        <v>49</v>
      </c>
      <c r="X800" s="164">
        <f>IF(BetTable[Odds]="","",(BetTable[WBA1-Commission])-BetTable[TS])</f>
        <v>134.75</v>
      </c>
      <c r="Y800" s="168">
        <f>IF(BetTable[Outcome]="","",BetTable[WBA1]+BetTable[WBA2]+BetTable[WBA3]-BetTable[TS])</f>
        <v>-49</v>
      </c>
      <c r="Z800" s="164">
        <f>(((BetTable[Odds]-1)*BetTable[Stake])*(1-(BetTable[Comm %]))+BetTable[Stake])</f>
        <v>183.75</v>
      </c>
      <c r="AA800" s="164">
        <f>(((BetTable[O2]-1)*BetTable[S2])*(1-(BetTable[C% 2]))+BetTable[S2])</f>
        <v>0</v>
      </c>
      <c r="AB800" s="164">
        <f>(((BetTable[O3]-1)*BetTable[S3])*(1-(BetTable[C% 3]))+BetTable[S3])</f>
        <v>0</v>
      </c>
      <c r="AC800" s="165">
        <f>IFERROR(IF(BetTable[Sport]="","",BetTable[R1]/BetTable[TS]),"")</f>
        <v>2.75</v>
      </c>
      <c r="AD800" s="165" t="str">
        <f>IF(BetTable[O2]="","",#REF!/BetTable[TS])</f>
        <v/>
      </c>
      <c r="AE800" s="165" t="str">
        <f>IFERROR(IF(BetTable[Sport]="","",#REF!/BetTable[TS]),"")</f>
        <v/>
      </c>
      <c r="AF800" s="164">
        <f>IF(BetTable[Outcome]="Win",BetTable[WBA1-Commission],IF(BetTable[Outcome]="Win Half Stake",(BetTable[Stake]/2)+BetTable[WBA1-Commission]/2,IF(BetTable[Outcome]="Lose Half Stake",BetTable[Stake]/2,IF(BetTable[Outcome]="Lose",0,IF(BetTable[Outcome]="Void",BetTable[Stake],)))))</f>
        <v>0</v>
      </c>
      <c r="AG800" s="164">
        <f>IF(BetTable[Outcome2]="Win",BetTable[WBA2-Commission],IF(BetTable[Outcome2]="Win Half Stake",(BetTable[S2]/2)+BetTable[WBA2-Commission]/2,IF(BetTable[Outcome2]="Lose Half Stake",BetTable[S2]/2,IF(BetTable[Outcome2]="Lose",0,IF(BetTable[Outcome2]="Void",BetTable[S2],)))))</f>
        <v>0</v>
      </c>
      <c r="AH800" s="164">
        <f>IF(BetTable[Outcome3]="Win",BetTable[WBA3-Commission],IF(BetTable[Outcome3]="Win Half Stake",(BetTable[S3]/2)+BetTable[WBA3-Commission]/2,IF(BetTable[Outcome3]="Lose Half Stake",BetTable[S3]/2,IF(BetTable[Outcome3]="Lose",0,IF(BetTable[Outcome3]="Void",BetTable[S3],)))))</f>
        <v>0</v>
      </c>
      <c r="AI800" s="168">
        <f>IF(BetTable[Outcome]="",AI799,BetTable[Result]+AI799)</f>
        <v>1461.981250000001</v>
      </c>
      <c r="AJ800" s="160"/>
    </row>
    <row r="801" spans="1:36" x14ac:dyDescent="0.2">
      <c r="A801" s="159" t="s">
        <v>2094</v>
      </c>
      <c r="B801" s="160" t="s">
        <v>8</v>
      </c>
      <c r="C801" s="161" t="s">
        <v>91</v>
      </c>
      <c r="D801" s="161"/>
      <c r="E801" s="161"/>
      <c r="F801" s="162"/>
      <c r="G801" s="162"/>
      <c r="H801" s="162"/>
      <c r="I801" s="160" t="s">
        <v>2124</v>
      </c>
      <c r="J801" s="163">
        <v>2.0099999999999998</v>
      </c>
      <c r="K801" s="163"/>
      <c r="L801" s="163"/>
      <c r="M801" s="164">
        <v>51</v>
      </c>
      <c r="N801" s="164"/>
      <c r="O801" s="164"/>
      <c r="P801" s="159" t="s">
        <v>435</v>
      </c>
      <c r="Q801" s="159" t="s">
        <v>485</v>
      </c>
      <c r="R801" s="159" t="s">
        <v>2125</v>
      </c>
      <c r="S801" s="165">
        <v>3.3158862132341399E-2</v>
      </c>
      <c r="T801" s="166" t="s">
        <v>372</v>
      </c>
      <c r="U801" s="166"/>
      <c r="V801" s="166"/>
      <c r="W801" s="167">
        <f>IF(BetTable[Sport]="","",BetTable[Stake]+BetTable[S2]+BetTable[S3])</f>
        <v>51</v>
      </c>
      <c r="X801" s="164">
        <f>IF(BetTable[Odds]="","",(BetTable[WBA1-Commission])-BetTable[TS])</f>
        <v>51.509999999999991</v>
      </c>
      <c r="Y801" s="168">
        <f>IF(BetTable[Outcome]="","",BetTable[WBA1]+BetTable[WBA2]+BetTable[WBA3]-BetTable[TS])</f>
        <v>51.509999999999991</v>
      </c>
      <c r="Z801" s="164">
        <f>(((BetTable[Odds]-1)*BetTable[Stake])*(1-(BetTable[Comm %]))+BetTable[Stake])</f>
        <v>102.50999999999999</v>
      </c>
      <c r="AA801" s="164">
        <f>(((BetTable[O2]-1)*BetTable[S2])*(1-(BetTable[C% 2]))+BetTable[S2])</f>
        <v>0</v>
      </c>
      <c r="AB801" s="164">
        <f>(((BetTable[O3]-1)*BetTable[S3])*(1-(BetTable[C% 3]))+BetTable[S3])</f>
        <v>0</v>
      </c>
      <c r="AC801" s="165">
        <f>IFERROR(IF(BetTable[Sport]="","",BetTable[R1]/BetTable[TS]),"")</f>
        <v>1.0099999999999998</v>
      </c>
      <c r="AD801" s="165" t="str">
        <f>IF(BetTable[O2]="","",#REF!/BetTable[TS])</f>
        <v/>
      </c>
      <c r="AE801" s="165" t="str">
        <f>IFERROR(IF(BetTable[Sport]="","",#REF!/BetTable[TS]),"")</f>
        <v/>
      </c>
      <c r="AF801" s="164">
        <f>IF(BetTable[Outcome]="Win",BetTable[WBA1-Commission],IF(BetTable[Outcome]="Win Half Stake",(BetTable[Stake]/2)+BetTable[WBA1-Commission]/2,IF(BetTable[Outcome]="Lose Half Stake",BetTable[Stake]/2,IF(BetTable[Outcome]="Lose",0,IF(BetTable[Outcome]="Void",BetTable[Stake],)))))</f>
        <v>102.50999999999999</v>
      </c>
      <c r="AG801" s="164">
        <f>IF(BetTable[Outcome2]="Win",BetTable[WBA2-Commission],IF(BetTable[Outcome2]="Win Half Stake",(BetTable[S2]/2)+BetTable[WBA2-Commission]/2,IF(BetTable[Outcome2]="Lose Half Stake",BetTable[S2]/2,IF(BetTable[Outcome2]="Lose",0,IF(BetTable[Outcome2]="Void",BetTable[S2],)))))</f>
        <v>0</v>
      </c>
      <c r="AH801" s="164">
        <f>IF(BetTable[Outcome3]="Win",BetTable[WBA3-Commission],IF(BetTable[Outcome3]="Win Half Stake",(BetTable[S3]/2)+BetTable[WBA3-Commission]/2,IF(BetTable[Outcome3]="Lose Half Stake",BetTable[S3]/2,IF(BetTable[Outcome3]="Lose",0,IF(BetTable[Outcome3]="Void",BetTable[S3],)))))</f>
        <v>0</v>
      </c>
      <c r="AI801" s="168">
        <f>IF(BetTable[Outcome]="",AI800,BetTable[Result]+AI800)</f>
        <v>1513.4912500000009</v>
      </c>
      <c r="AJ801" s="160"/>
    </row>
    <row r="802" spans="1:36" x14ac:dyDescent="0.2">
      <c r="A802" s="159" t="s">
        <v>2094</v>
      </c>
      <c r="B802" s="160" t="s">
        <v>200</v>
      </c>
      <c r="C802" s="161" t="s">
        <v>1714</v>
      </c>
      <c r="D802" s="161"/>
      <c r="E802" s="161"/>
      <c r="F802" s="162"/>
      <c r="G802" s="162"/>
      <c r="H802" s="162"/>
      <c r="I802" s="160" t="s">
        <v>2126</v>
      </c>
      <c r="J802" s="163">
        <v>1.7</v>
      </c>
      <c r="K802" s="163"/>
      <c r="L802" s="163"/>
      <c r="M802" s="164">
        <v>37</v>
      </c>
      <c r="N802" s="164"/>
      <c r="O802" s="164"/>
      <c r="P802" s="159" t="s">
        <v>508</v>
      </c>
      <c r="Q802" s="159" t="s">
        <v>1067</v>
      </c>
      <c r="R802" s="159" t="s">
        <v>2127</v>
      </c>
      <c r="S802" s="165">
        <v>1.6635590594192E-2</v>
      </c>
      <c r="T802" s="166" t="s">
        <v>372</v>
      </c>
      <c r="U802" s="166"/>
      <c r="V802" s="166"/>
      <c r="W802" s="167">
        <f>IF(BetTable[Sport]="","",BetTable[Stake]+BetTable[S2]+BetTable[S3])</f>
        <v>37</v>
      </c>
      <c r="X802" s="164">
        <f>IF(BetTable[Odds]="","",(BetTable[WBA1-Commission])-BetTable[TS])</f>
        <v>25.9</v>
      </c>
      <c r="Y802" s="168">
        <f>IF(BetTable[Outcome]="","",BetTable[WBA1]+BetTable[WBA2]+BetTable[WBA3]-BetTable[TS])</f>
        <v>25.9</v>
      </c>
      <c r="Z802" s="164">
        <f>(((BetTable[Odds]-1)*BetTable[Stake])*(1-(BetTable[Comm %]))+BetTable[Stake])</f>
        <v>62.9</v>
      </c>
      <c r="AA802" s="164">
        <f>(((BetTable[O2]-1)*BetTable[S2])*(1-(BetTable[C% 2]))+BetTable[S2])</f>
        <v>0</v>
      </c>
      <c r="AB802" s="164">
        <f>(((BetTable[O3]-1)*BetTable[S3])*(1-(BetTable[C% 3]))+BetTable[S3])</f>
        <v>0</v>
      </c>
      <c r="AC802" s="165">
        <f>IFERROR(IF(BetTable[Sport]="","",BetTable[R1]/BetTable[TS]),"")</f>
        <v>0.7</v>
      </c>
      <c r="AD802" s="165" t="str">
        <f>IF(BetTable[O2]="","",#REF!/BetTable[TS])</f>
        <v/>
      </c>
      <c r="AE802" s="165" t="str">
        <f>IFERROR(IF(BetTable[Sport]="","",#REF!/BetTable[TS]),"")</f>
        <v/>
      </c>
      <c r="AF802" s="164">
        <f>IF(BetTable[Outcome]="Win",BetTable[WBA1-Commission],IF(BetTable[Outcome]="Win Half Stake",(BetTable[Stake]/2)+BetTable[WBA1-Commission]/2,IF(BetTable[Outcome]="Lose Half Stake",BetTable[Stake]/2,IF(BetTable[Outcome]="Lose",0,IF(BetTable[Outcome]="Void",BetTable[Stake],)))))</f>
        <v>62.9</v>
      </c>
      <c r="AG802" s="164">
        <f>IF(BetTable[Outcome2]="Win",BetTable[WBA2-Commission],IF(BetTable[Outcome2]="Win Half Stake",(BetTable[S2]/2)+BetTable[WBA2-Commission]/2,IF(BetTable[Outcome2]="Lose Half Stake",BetTable[S2]/2,IF(BetTable[Outcome2]="Lose",0,IF(BetTable[Outcome2]="Void",BetTable[S2],)))))</f>
        <v>0</v>
      </c>
      <c r="AH802" s="164">
        <f>IF(BetTable[Outcome3]="Win",BetTable[WBA3-Commission],IF(BetTable[Outcome3]="Win Half Stake",(BetTable[S3]/2)+BetTable[WBA3-Commission]/2,IF(BetTable[Outcome3]="Lose Half Stake",BetTable[S3]/2,IF(BetTable[Outcome3]="Lose",0,IF(BetTable[Outcome3]="Void",BetTable[S3],)))))</f>
        <v>0</v>
      </c>
      <c r="AI802" s="168">
        <f>IF(BetTable[Outcome]="",AI801,BetTable[Result]+AI801)</f>
        <v>1539.391250000001</v>
      </c>
      <c r="AJ802" s="160"/>
    </row>
    <row r="803" spans="1:36" x14ac:dyDescent="0.2">
      <c r="A803" s="159" t="s">
        <v>2094</v>
      </c>
      <c r="B803" s="160" t="s">
        <v>200</v>
      </c>
      <c r="C803" s="161" t="s">
        <v>1714</v>
      </c>
      <c r="D803" s="161"/>
      <c r="E803" s="161"/>
      <c r="F803" s="162"/>
      <c r="G803" s="162"/>
      <c r="H803" s="162"/>
      <c r="I803" s="160" t="s">
        <v>2128</v>
      </c>
      <c r="J803" s="163">
        <v>1.89</v>
      </c>
      <c r="K803" s="163"/>
      <c r="L803" s="163"/>
      <c r="M803" s="164">
        <v>34</v>
      </c>
      <c r="N803" s="164"/>
      <c r="O803" s="164"/>
      <c r="P803" s="159" t="s">
        <v>368</v>
      </c>
      <c r="Q803" s="159" t="s">
        <v>703</v>
      </c>
      <c r="R803" s="159" t="s">
        <v>2129</v>
      </c>
      <c r="S803" s="165">
        <v>1.93739832674877E-2</v>
      </c>
      <c r="T803" s="166" t="s">
        <v>372</v>
      </c>
      <c r="U803" s="166"/>
      <c r="V803" s="166"/>
      <c r="W803" s="167">
        <f>IF(BetTable[Sport]="","",BetTable[Stake]+BetTable[S2]+BetTable[S3])</f>
        <v>34</v>
      </c>
      <c r="X803" s="164">
        <f>IF(BetTable[Odds]="","",(BetTable[WBA1-Commission])-BetTable[TS])</f>
        <v>30.259999999999991</v>
      </c>
      <c r="Y803" s="168">
        <f>IF(BetTable[Outcome]="","",BetTable[WBA1]+BetTable[WBA2]+BetTable[WBA3]-BetTable[TS])</f>
        <v>30.259999999999991</v>
      </c>
      <c r="Z803" s="164">
        <f>(((BetTable[Odds]-1)*BetTable[Stake])*(1-(BetTable[Comm %]))+BetTable[Stake])</f>
        <v>64.259999999999991</v>
      </c>
      <c r="AA803" s="164">
        <f>(((BetTable[O2]-1)*BetTable[S2])*(1-(BetTable[C% 2]))+BetTable[S2])</f>
        <v>0</v>
      </c>
      <c r="AB803" s="164">
        <f>(((BetTable[O3]-1)*BetTable[S3])*(1-(BetTable[C% 3]))+BetTable[S3])</f>
        <v>0</v>
      </c>
      <c r="AC803" s="165">
        <f>IFERROR(IF(BetTable[Sport]="","",BetTable[R1]/BetTable[TS]),"")</f>
        <v>0.88999999999999968</v>
      </c>
      <c r="AD803" s="165" t="str">
        <f>IF(BetTable[O2]="","",#REF!/BetTable[TS])</f>
        <v/>
      </c>
      <c r="AE803" s="165" t="str">
        <f>IFERROR(IF(BetTable[Sport]="","",#REF!/BetTable[TS]),"")</f>
        <v/>
      </c>
      <c r="AF803" s="164">
        <f>IF(BetTable[Outcome]="Win",BetTable[WBA1-Commission],IF(BetTable[Outcome]="Win Half Stake",(BetTable[Stake]/2)+BetTable[WBA1-Commission]/2,IF(BetTable[Outcome]="Lose Half Stake",BetTable[Stake]/2,IF(BetTable[Outcome]="Lose",0,IF(BetTable[Outcome]="Void",BetTable[Stake],)))))</f>
        <v>64.259999999999991</v>
      </c>
      <c r="AG803" s="164">
        <f>IF(BetTable[Outcome2]="Win",BetTable[WBA2-Commission],IF(BetTable[Outcome2]="Win Half Stake",(BetTable[S2]/2)+BetTable[WBA2-Commission]/2,IF(BetTable[Outcome2]="Lose Half Stake",BetTable[S2]/2,IF(BetTable[Outcome2]="Lose",0,IF(BetTable[Outcome2]="Void",BetTable[S2],)))))</f>
        <v>0</v>
      </c>
      <c r="AH803" s="164">
        <f>IF(BetTable[Outcome3]="Win",BetTable[WBA3-Commission],IF(BetTable[Outcome3]="Win Half Stake",(BetTable[S3]/2)+BetTable[WBA3-Commission]/2,IF(BetTable[Outcome3]="Lose Half Stake",BetTable[S3]/2,IF(BetTable[Outcome3]="Lose",0,IF(BetTable[Outcome3]="Void",BetTable[S3],)))))</f>
        <v>0</v>
      </c>
      <c r="AI803" s="168">
        <f>IF(BetTable[Outcome]="",AI802,BetTable[Result]+AI802)</f>
        <v>1569.651250000001</v>
      </c>
      <c r="AJ803" s="160"/>
    </row>
    <row r="804" spans="1:36" x14ac:dyDescent="0.2">
      <c r="A804" s="159" t="s">
        <v>2094</v>
      </c>
      <c r="B804" s="160" t="s">
        <v>200</v>
      </c>
      <c r="C804" s="161" t="s">
        <v>1714</v>
      </c>
      <c r="D804" s="161"/>
      <c r="E804" s="161"/>
      <c r="F804" s="162"/>
      <c r="G804" s="162"/>
      <c r="H804" s="162"/>
      <c r="I804" s="160" t="s">
        <v>2130</v>
      </c>
      <c r="J804" s="163">
        <v>1.84</v>
      </c>
      <c r="K804" s="163"/>
      <c r="L804" s="163"/>
      <c r="M804" s="164">
        <v>32</v>
      </c>
      <c r="N804" s="164"/>
      <c r="O804" s="164"/>
      <c r="P804" s="159" t="s">
        <v>508</v>
      </c>
      <c r="Q804" s="159" t="s">
        <v>474</v>
      </c>
      <c r="R804" s="159" t="s">
        <v>2131</v>
      </c>
      <c r="S804" s="165">
        <v>1.7243147693560799E-2</v>
      </c>
      <c r="T804" s="166" t="s">
        <v>372</v>
      </c>
      <c r="U804" s="166"/>
      <c r="V804" s="166"/>
      <c r="W804" s="167">
        <f>IF(BetTable[Sport]="","",BetTable[Stake]+BetTable[S2]+BetTable[S3])</f>
        <v>32</v>
      </c>
      <c r="X804" s="164">
        <f>IF(BetTable[Odds]="","",(BetTable[WBA1-Commission])-BetTable[TS])</f>
        <v>26.880000000000003</v>
      </c>
      <c r="Y804" s="168">
        <f>IF(BetTable[Outcome]="","",BetTable[WBA1]+BetTable[WBA2]+BetTable[WBA3]-BetTable[TS])</f>
        <v>26.880000000000003</v>
      </c>
      <c r="Z804" s="164">
        <f>(((BetTable[Odds]-1)*BetTable[Stake])*(1-(BetTable[Comm %]))+BetTable[Stake])</f>
        <v>58.88</v>
      </c>
      <c r="AA804" s="164">
        <f>(((BetTable[O2]-1)*BetTable[S2])*(1-(BetTable[C% 2]))+BetTable[S2])</f>
        <v>0</v>
      </c>
      <c r="AB804" s="164">
        <f>(((BetTable[O3]-1)*BetTable[S3])*(1-(BetTable[C% 3]))+BetTable[S3])</f>
        <v>0</v>
      </c>
      <c r="AC804" s="165">
        <f>IFERROR(IF(BetTable[Sport]="","",BetTable[R1]/BetTable[TS]),"")</f>
        <v>0.84000000000000008</v>
      </c>
      <c r="AD804" s="165" t="str">
        <f>IF(BetTable[O2]="","",#REF!/BetTable[TS])</f>
        <v/>
      </c>
      <c r="AE804" s="165" t="str">
        <f>IFERROR(IF(BetTable[Sport]="","",#REF!/BetTable[TS]),"")</f>
        <v/>
      </c>
      <c r="AF804" s="164">
        <f>IF(BetTable[Outcome]="Win",BetTable[WBA1-Commission],IF(BetTable[Outcome]="Win Half Stake",(BetTable[Stake]/2)+BetTable[WBA1-Commission]/2,IF(BetTable[Outcome]="Lose Half Stake",BetTable[Stake]/2,IF(BetTable[Outcome]="Lose",0,IF(BetTable[Outcome]="Void",BetTable[Stake],)))))</f>
        <v>58.88</v>
      </c>
      <c r="AG804" s="164">
        <f>IF(BetTable[Outcome2]="Win",BetTable[WBA2-Commission],IF(BetTable[Outcome2]="Win Half Stake",(BetTable[S2]/2)+BetTable[WBA2-Commission]/2,IF(BetTable[Outcome2]="Lose Half Stake",BetTable[S2]/2,IF(BetTable[Outcome2]="Lose",0,IF(BetTable[Outcome2]="Void",BetTable[S2],)))))</f>
        <v>0</v>
      </c>
      <c r="AH804" s="164">
        <f>IF(BetTable[Outcome3]="Win",BetTable[WBA3-Commission],IF(BetTable[Outcome3]="Win Half Stake",(BetTable[S3]/2)+BetTable[WBA3-Commission]/2,IF(BetTable[Outcome3]="Lose Half Stake",BetTable[S3]/2,IF(BetTable[Outcome3]="Lose",0,IF(BetTable[Outcome3]="Void",BetTable[S3],)))))</f>
        <v>0</v>
      </c>
      <c r="AI804" s="168">
        <f>IF(BetTable[Outcome]="",AI803,BetTable[Result]+AI803)</f>
        <v>1596.5312500000011</v>
      </c>
      <c r="AJ804" s="160"/>
    </row>
    <row r="805" spans="1:36" x14ac:dyDescent="0.2">
      <c r="A805" s="159" t="s">
        <v>2094</v>
      </c>
      <c r="B805" s="160" t="s">
        <v>200</v>
      </c>
      <c r="C805" s="161" t="s">
        <v>1714</v>
      </c>
      <c r="D805" s="161"/>
      <c r="E805" s="161"/>
      <c r="F805" s="162"/>
      <c r="G805" s="162"/>
      <c r="H805" s="162"/>
      <c r="I805" s="160" t="s">
        <v>2132</v>
      </c>
      <c r="J805" s="163">
        <v>1.75</v>
      </c>
      <c r="K805" s="163"/>
      <c r="L805" s="163"/>
      <c r="M805" s="164">
        <v>41</v>
      </c>
      <c r="N805" s="164"/>
      <c r="O805" s="164"/>
      <c r="P805" s="159" t="s">
        <v>652</v>
      </c>
      <c r="Q805" s="159" t="s">
        <v>1263</v>
      </c>
      <c r="R805" s="159" t="s">
        <v>2133</v>
      </c>
      <c r="S805" s="165">
        <v>1.9785750166021299E-2</v>
      </c>
      <c r="T805" s="166" t="s">
        <v>510</v>
      </c>
      <c r="U805" s="166"/>
      <c r="V805" s="166"/>
      <c r="W805" s="167">
        <f>IF(BetTable[Sport]="","",BetTable[Stake]+BetTable[S2]+BetTable[S3])</f>
        <v>41</v>
      </c>
      <c r="X805" s="164">
        <f>IF(BetTable[Odds]="","",(BetTable[WBA1-Commission])-BetTable[TS])</f>
        <v>30.75</v>
      </c>
      <c r="Y805" s="168">
        <f>IF(BetTable[Outcome]="","",BetTable[WBA1]+BetTable[WBA2]+BetTable[WBA3]-BetTable[TS])</f>
        <v>15.375</v>
      </c>
      <c r="Z805" s="164">
        <f>(((BetTable[Odds]-1)*BetTable[Stake])*(1-(BetTable[Comm %]))+BetTable[Stake])</f>
        <v>71.75</v>
      </c>
      <c r="AA805" s="164">
        <f>(((BetTable[O2]-1)*BetTable[S2])*(1-(BetTable[C% 2]))+BetTable[S2])</f>
        <v>0</v>
      </c>
      <c r="AB805" s="164">
        <f>(((BetTable[O3]-1)*BetTable[S3])*(1-(BetTable[C% 3]))+BetTable[S3])</f>
        <v>0</v>
      </c>
      <c r="AC805" s="165">
        <f>IFERROR(IF(BetTable[Sport]="","",BetTable[R1]/BetTable[TS]),"")</f>
        <v>0.75</v>
      </c>
      <c r="AD805" s="165" t="str">
        <f>IF(BetTable[O2]="","",#REF!/BetTable[TS])</f>
        <v/>
      </c>
      <c r="AE805" s="165" t="str">
        <f>IFERROR(IF(BetTable[Sport]="","",#REF!/BetTable[TS]),"")</f>
        <v/>
      </c>
      <c r="AF805" s="164">
        <f>IF(BetTable[Outcome]="Win",BetTable[WBA1-Commission],IF(BetTable[Outcome]="Win Half Stake",(BetTable[Stake]/2)+BetTable[WBA1-Commission]/2,IF(BetTable[Outcome]="Lose Half Stake",BetTable[Stake]/2,IF(BetTable[Outcome]="Lose",0,IF(BetTable[Outcome]="Void",BetTable[Stake],)))))</f>
        <v>56.375</v>
      </c>
      <c r="AG805" s="164">
        <f>IF(BetTable[Outcome2]="Win",BetTable[WBA2-Commission],IF(BetTable[Outcome2]="Win Half Stake",(BetTable[S2]/2)+BetTable[WBA2-Commission]/2,IF(BetTable[Outcome2]="Lose Half Stake",BetTable[S2]/2,IF(BetTable[Outcome2]="Lose",0,IF(BetTable[Outcome2]="Void",BetTable[S2],)))))</f>
        <v>0</v>
      </c>
      <c r="AH805" s="164">
        <f>IF(BetTable[Outcome3]="Win",BetTable[WBA3-Commission],IF(BetTable[Outcome3]="Win Half Stake",(BetTable[S3]/2)+BetTable[WBA3-Commission]/2,IF(BetTable[Outcome3]="Lose Half Stake",BetTable[S3]/2,IF(BetTable[Outcome3]="Lose",0,IF(BetTable[Outcome3]="Void",BetTable[S3],)))))</f>
        <v>0</v>
      </c>
      <c r="AI805" s="168">
        <f>IF(BetTable[Outcome]="",AI804,BetTable[Result]+AI804)</f>
        <v>1611.9062500000011</v>
      </c>
      <c r="AJ805" s="160"/>
    </row>
    <row r="806" spans="1:36" x14ac:dyDescent="0.2">
      <c r="A806" s="159" t="s">
        <v>2094</v>
      </c>
      <c r="B806" s="160" t="s">
        <v>200</v>
      </c>
      <c r="C806" s="161" t="s">
        <v>1714</v>
      </c>
      <c r="D806" s="161"/>
      <c r="E806" s="161"/>
      <c r="F806" s="162"/>
      <c r="G806" s="162"/>
      <c r="H806" s="162"/>
      <c r="I806" s="160" t="s">
        <v>2134</v>
      </c>
      <c r="J806" s="163">
        <v>2.1230000000000002</v>
      </c>
      <c r="K806" s="163"/>
      <c r="L806" s="163"/>
      <c r="M806" s="164">
        <v>31</v>
      </c>
      <c r="N806" s="164"/>
      <c r="O806" s="164"/>
      <c r="P806" s="159" t="s">
        <v>637</v>
      </c>
      <c r="Q806" s="159" t="s">
        <v>677</v>
      </c>
      <c r="R806" s="159" t="s">
        <v>2135</v>
      </c>
      <c r="S806" s="165">
        <v>2.21855018876841E-2</v>
      </c>
      <c r="T806" s="166" t="s">
        <v>383</v>
      </c>
      <c r="U806" s="166"/>
      <c r="V806" s="166"/>
      <c r="W806" s="167">
        <f>IF(BetTable[Sport]="","",BetTable[Stake]+BetTable[S2]+BetTable[S3])</f>
        <v>31</v>
      </c>
      <c r="X806" s="164">
        <f>IF(BetTable[Odds]="","",(BetTable[WBA1-Commission])-BetTable[TS])</f>
        <v>34.813000000000017</v>
      </c>
      <c r="Y806" s="168">
        <f>IF(BetTable[Outcome]="","",BetTable[WBA1]+BetTable[WBA2]+BetTable[WBA3]-BetTable[TS])</f>
        <v>0</v>
      </c>
      <c r="Z806" s="164">
        <f>(((BetTable[Odds]-1)*BetTable[Stake])*(1-(BetTable[Comm %]))+BetTable[Stake])</f>
        <v>65.813000000000017</v>
      </c>
      <c r="AA806" s="164">
        <f>(((BetTable[O2]-1)*BetTable[S2])*(1-(BetTable[C% 2]))+BetTable[S2])</f>
        <v>0</v>
      </c>
      <c r="AB806" s="164">
        <f>(((BetTable[O3]-1)*BetTable[S3])*(1-(BetTable[C% 3]))+BetTable[S3])</f>
        <v>0</v>
      </c>
      <c r="AC806" s="165">
        <f>IFERROR(IF(BetTable[Sport]="","",BetTable[R1]/BetTable[TS]),"")</f>
        <v>1.1230000000000004</v>
      </c>
      <c r="AD806" s="165" t="str">
        <f>IF(BetTable[O2]="","",#REF!/BetTable[TS])</f>
        <v/>
      </c>
      <c r="AE806" s="165" t="str">
        <f>IFERROR(IF(BetTable[Sport]="","",#REF!/BetTable[TS]),"")</f>
        <v/>
      </c>
      <c r="AF806" s="164">
        <f>IF(BetTable[Outcome]="Win",BetTable[WBA1-Commission],IF(BetTable[Outcome]="Win Half Stake",(BetTable[Stake]/2)+BetTable[WBA1-Commission]/2,IF(BetTable[Outcome]="Lose Half Stake",BetTable[Stake]/2,IF(BetTable[Outcome]="Lose",0,IF(BetTable[Outcome]="Void",BetTable[Stake],)))))</f>
        <v>31</v>
      </c>
      <c r="AG806" s="164">
        <f>IF(BetTable[Outcome2]="Win",BetTable[WBA2-Commission],IF(BetTable[Outcome2]="Win Half Stake",(BetTable[S2]/2)+BetTable[WBA2-Commission]/2,IF(BetTable[Outcome2]="Lose Half Stake",BetTable[S2]/2,IF(BetTable[Outcome2]="Lose",0,IF(BetTable[Outcome2]="Void",BetTable[S2],)))))</f>
        <v>0</v>
      </c>
      <c r="AH806" s="164">
        <f>IF(BetTable[Outcome3]="Win",BetTable[WBA3-Commission],IF(BetTable[Outcome3]="Win Half Stake",(BetTable[S3]/2)+BetTable[WBA3-Commission]/2,IF(BetTable[Outcome3]="Lose Half Stake",BetTable[S3]/2,IF(BetTable[Outcome3]="Lose",0,IF(BetTable[Outcome3]="Void",BetTable[S3],)))))</f>
        <v>0</v>
      </c>
      <c r="AI806" s="168">
        <f>IF(BetTable[Outcome]="",AI805,BetTable[Result]+AI805)</f>
        <v>1611.9062500000011</v>
      </c>
      <c r="AJ806" s="160"/>
    </row>
    <row r="807" spans="1:36" x14ac:dyDescent="0.2">
      <c r="A807" s="159" t="s">
        <v>2094</v>
      </c>
      <c r="B807" s="160" t="s">
        <v>200</v>
      </c>
      <c r="C807" s="161" t="s">
        <v>1714</v>
      </c>
      <c r="D807" s="161"/>
      <c r="E807" s="161"/>
      <c r="F807" s="162"/>
      <c r="G807" s="162"/>
      <c r="H807" s="162"/>
      <c r="I807" s="160" t="s">
        <v>2136</v>
      </c>
      <c r="J807" s="163">
        <v>1.93</v>
      </c>
      <c r="K807" s="163"/>
      <c r="L807" s="163"/>
      <c r="M807" s="164">
        <v>65</v>
      </c>
      <c r="N807" s="164"/>
      <c r="O807" s="164"/>
      <c r="P807" s="159" t="s">
        <v>1565</v>
      </c>
      <c r="Q807" s="159" t="s">
        <v>552</v>
      </c>
      <c r="R807" s="159" t="s">
        <v>2137</v>
      </c>
      <c r="S807" s="165">
        <v>2.9031613687684501E-2</v>
      </c>
      <c r="T807" s="166" t="s">
        <v>372</v>
      </c>
      <c r="U807" s="166"/>
      <c r="V807" s="166"/>
      <c r="W807" s="167">
        <f>IF(BetTable[Sport]="","",BetTable[Stake]+BetTable[S2]+BetTable[S3])</f>
        <v>65</v>
      </c>
      <c r="X807" s="164">
        <f>IF(BetTable[Odds]="","",(BetTable[WBA1-Commission])-BetTable[TS])</f>
        <v>60.449999999999989</v>
      </c>
      <c r="Y807" s="168">
        <f>IF(BetTable[Outcome]="","",BetTable[WBA1]+BetTable[WBA2]+BetTable[WBA3]-BetTable[TS])</f>
        <v>60.449999999999989</v>
      </c>
      <c r="Z807" s="164">
        <f>(((BetTable[Odds]-1)*BetTable[Stake])*(1-(BetTable[Comm %]))+BetTable[Stake])</f>
        <v>125.44999999999999</v>
      </c>
      <c r="AA807" s="164">
        <f>(((BetTable[O2]-1)*BetTable[S2])*(1-(BetTable[C% 2]))+BetTable[S2])</f>
        <v>0</v>
      </c>
      <c r="AB807" s="164">
        <f>(((BetTable[O3]-1)*BetTable[S3])*(1-(BetTable[C% 3]))+BetTable[S3])</f>
        <v>0</v>
      </c>
      <c r="AC807" s="165">
        <f>IFERROR(IF(BetTable[Sport]="","",BetTable[R1]/BetTable[TS]),"")</f>
        <v>0.92999999999999983</v>
      </c>
      <c r="AD807" s="165" t="str">
        <f>IF(BetTable[O2]="","",#REF!/BetTable[TS])</f>
        <v/>
      </c>
      <c r="AE807" s="165" t="str">
        <f>IFERROR(IF(BetTable[Sport]="","",#REF!/BetTable[TS]),"")</f>
        <v/>
      </c>
      <c r="AF807" s="164">
        <f>IF(BetTable[Outcome]="Win",BetTable[WBA1-Commission],IF(BetTable[Outcome]="Win Half Stake",(BetTable[Stake]/2)+BetTable[WBA1-Commission]/2,IF(BetTable[Outcome]="Lose Half Stake",BetTable[Stake]/2,IF(BetTable[Outcome]="Lose",0,IF(BetTable[Outcome]="Void",BetTable[Stake],)))))</f>
        <v>125.44999999999999</v>
      </c>
      <c r="AG807" s="164">
        <f>IF(BetTable[Outcome2]="Win",BetTable[WBA2-Commission],IF(BetTable[Outcome2]="Win Half Stake",(BetTable[S2]/2)+BetTable[WBA2-Commission]/2,IF(BetTable[Outcome2]="Lose Half Stake",BetTable[S2]/2,IF(BetTable[Outcome2]="Lose",0,IF(BetTable[Outcome2]="Void",BetTable[S2],)))))</f>
        <v>0</v>
      </c>
      <c r="AH807" s="164">
        <f>IF(BetTable[Outcome3]="Win",BetTable[WBA3-Commission],IF(BetTable[Outcome3]="Win Half Stake",(BetTable[S3]/2)+BetTable[WBA3-Commission]/2,IF(BetTable[Outcome3]="Lose Half Stake",BetTable[S3]/2,IF(BetTable[Outcome3]="Lose",0,IF(BetTable[Outcome3]="Void",BetTable[S3],)))))</f>
        <v>0</v>
      </c>
      <c r="AI807" s="168">
        <f>IF(BetTable[Outcome]="",AI806,BetTable[Result]+AI806)</f>
        <v>1672.3562500000012</v>
      </c>
      <c r="AJ807" s="160"/>
    </row>
    <row r="808" spans="1:36" x14ac:dyDescent="0.2">
      <c r="A808" s="159" t="s">
        <v>2094</v>
      </c>
      <c r="B808" s="160" t="s">
        <v>200</v>
      </c>
      <c r="C808" s="161" t="s">
        <v>1714</v>
      </c>
      <c r="D808" s="161"/>
      <c r="E808" s="161"/>
      <c r="F808" s="162"/>
      <c r="G808" s="162"/>
      <c r="H808" s="162"/>
      <c r="I808" s="160" t="s">
        <v>2138</v>
      </c>
      <c r="J808" s="163">
        <v>1.6</v>
      </c>
      <c r="K808" s="163"/>
      <c r="L808" s="163"/>
      <c r="M808" s="164">
        <v>48</v>
      </c>
      <c r="N808" s="164"/>
      <c r="O808" s="164"/>
      <c r="P808" s="159" t="s">
        <v>620</v>
      </c>
      <c r="Q808" s="159" t="s">
        <v>674</v>
      </c>
      <c r="R808" s="159" t="s">
        <v>2139</v>
      </c>
      <c r="S808" s="165">
        <v>1.8736219201083301E-2</v>
      </c>
      <c r="T808" s="166" t="s">
        <v>372</v>
      </c>
      <c r="U808" s="166"/>
      <c r="V808" s="166"/>
      <c r="W808" s="167">
        <f>IF(BetTable[Sport]="","",BetTable[Stake]+BetTable[S2]+BetTable[S3])</f>
        <v>48</v>
      </c>
      <c r="X808" s="164">
        <f>IF(BetTable[Odds]="","",(BetTable[WBA1-Commission])-BetTable[TS])</f>
        <v>28.800000000000011</v>
      </c>
      <c r="Y808" s="168">
        <f>IF(BetTable[Outcome]="","",BetTable[WBA1]+BetTable[WBA2]+BetTable[WBA3]-BetTable[TS])</f>
        <v>28.800000000000011</v>
      </c>
      <c r="Z808" s="164">
        <f>(((BetTable[Odds]-1)*BetTable[Stake])*(1-(BetTable[Comm %]))+BetTable[Stake])</f>
        <v>76.800000000000011</v>
      </c>
      <c r="AA808" s="164">
        <f>(((BetTable[O2]-1)*BetTable[S2])*(1-(BetTable[C% 2]))+BetTable[S2])</f>
        <v>0</v>
      </c>
      <c r="AB808" s="164">
        <f>(((BetTable[O3]-1)*BetTable[S3])*(1-(BetTable[C% 3]))+BetTable[S3])</f>
        <v>0</v>
      </c>
      <c r="AC808" s="165">
        <f>IFERROR(IF(BetTable[Sport]="","",BetTable[R1]/BetTable[TS]),"")</f>
        <v>0.6000000000000002</v>
      </c>
      <c r="AD808" s="165" t="str">
        <f>IF(BetTable[O2]="","",#REF!/BetTable[TS])</f>
        <v/>
      </c>
      <c r="AE808" s="165" t="str">
        <f>IFERROR(IF(BetTable[Sport]="","",#REF!/BetTable[TS]),"")</f>
        <v/>
      </c>
      <c r="AF808" s="164">
        <f>IF(BetTable[Outcome]="Win",BetTable[WBA1-Commission],IF(BetTable[Outcome]="Win Half Stake",(BetTable[Stake]/2)+BetTable[WBA1-Commission]/2,IF(BetTable[Outcome]="Lose Half Stake",BetTable[Stake]/2,IF(BetTable[Outcome]="Lose",0,IF(BetTable[Outcome]="Void",BetTable[Stake],)))))</f>
        <v>76.800000000000011</v>
      </c>
      <c r="AG808" s="164">
        <f>IF(BetTable[Outcome2]="Win",BetTable[WBA2-Commission],IF(BetTable[Outcome2]="Win Half Stake",(BetTable[S2]/2)+BetTable[WBA2-Commission]/2,IF(BetTable[Outcome2]="Lose Half Stake",BetTable[S2]/2,IF(BetTable[Outcome2]="Lose",0,IF(BetTable[Outcome2]="Void",BetTable[S2],)))))</f>
        <v>0</v>
      </c>
      <c r="AH808" s="164">
        <f>IF(BetTable[Outcome3]="Win",BetTable[WBA3-Commission],IF(BetTable[Outcome3]="Win Half Stake",(BetTable[S3]/2)+BetTable[WBA3-Commission]/2,IF(BetTable[Outcome3]="Lose Half Stake",BetTable[S3]/2,IF(BetTable[Outcome3]="Lose",0,IF(BetTable[Outcome3]="Void",BetTable[S3],)))))</f>
        <v>0</v>
      </c>
      <c r="AI808" s="168">
        <f>IF(BetTable[Outcome]="",AI807,BetTable[Result]+AI807)</f>
        <v>1701.1562500000011</v>
      </c>
      <c r="AJ808" s="160"/>
    </row>
    <row r="809" spans="1:36" x14ac:dyDescent="0.2">
      <c r="A809" s="159" t="s">
        <v>2094</v>
      </c>
      <c r="B809" s="160" t="s">
        <v>200</v>
      </c>
      <c r="C809" s="161" t="s">
        <v>1714</v>
      </c>
      <c r="D809" s="161"/>
      <c r="E809" s="161"/>
      <c r="F809" s="162"/>
      <c r="G809" s="162"/>
      <c r="H809" s="162"/>
      <c r="I809" s="160" t="s">
        <v>2140</v>
      </c>
      <c r="J809" s="163">
        <v>1.87</v>
      </c>
      <c r="K809" s="163"/>
      <c r="L809" s="163"/>
      <c r="M809" s="164">
        <v>48</v>
      </c>
      <c r="N809" s="164"/>
      <c r="O809" s="164"/>
      <c r="P809" s="159" t="s">
        <v>868</v>
      </c>
      <c r="Q809" s="159" t="s">
        <v>674</v>
      </c>
      <c r="R809" s="159" t="s">
        <v>2141</v>
      </c>
      <c r="S809" s="165">
        <v>2.7097200286109201E-2</v>
      </c>
      <c r="T809" s="166" t="s">
        <v>382</v>
      </c>
      <c r="U809" s="166"/>
      <c r="V809" s="166"/>
      <c r="W809" s="167">
        <f>IF(BetTable[Sport]="","",BetTable[Stake]+BetTable[S2]+BetTable[S3])</f>
        <v>48</v>
      </c>
      <c r="X809" s="164">
        <f>IF(BetTable[Odds]="","",(BetTable[WBA1-Commission])-BetTable[TS])</f>
        <v>41.760000000000005</v>
      </c>
      <c r="Y809" s="168">
        <f>IF(BetTable[Outcome]="","",BetTable[WBA1]+BetTable[WBA2]+BetTable[WBA3]-BetTable[TS])</f>
        <v>-48</v>
      </c>
      <c r="Z809" s="164">
        <f>(((BetTable[Odds]-1)*BetTable[Stake])*(1-(BetTable[Comm %]))+BetTable[Stake])</f>
        <v>89.76</v>
      </c>
      <c r="AA809" s="164">
        <f>(((BetTable[O2]-1)*BetTable[S2])*(1-(BetTable[C% 2]))+BetTable[S2])</f>
        <v>0</v>
      </c>
      <c r="AB809" s="164">
        <f>(((BetTable[O3]-1)*BetTable[S3])*(1-(BetTable[C% 3]))+BetTable[S3])</f>
        <v>0</v>
      </c>
      <c r="AC809" s="165">
        <f>IFERROR(IF(BetTable[Sport]="","",BetTable[R1]/BetTable[TS]),"")</f>
        <v>0.87000000000000011</v>
      </c>
      <c r="AD809" s="165" t="str">
        <f>IF(BetTable[O2]="","",#REF!/BetTable[TS])</f>
        <v/>
      </c>
      <c r="AE809" s="165" t="str">
        <f>IFERROR(IF(BetTable[Sport]="","",#REF!/BetTable[TS]),"")</f>
        <v/>
      </c>
      <c r="AF809" s="164">
        <f>IF(BetTable[Outcome]="Win",BetTable[WBA1-Commission],IF(BetTable[Outcome]="Win Half Stake",(BetTable[Stake]/2)+BetTable[WBA1-Commission]/2,IF(BetTable[Outcome]="Lose Half Stake",BetTable[Stake]/2,IF(BetTable[Outcome]="Lose",0,IF(BetTable[Outcome]="Void",BetTable[Stake],)))))</f>
        <v>0</v>
      </c>
      <c r="AG809" s="164">
        <f>IF(BetTable[Outcome2]="Win",BetTable[WBA2-Commission],IF(BetTable[Outcome2]="Win Half Stake",(BetTable[S2]/2)+BetTable[WBA2-Commission]/2,IF(BetTable[Outcome2]="Lose Half Stake",BetTable[S2]/2,IF(BetTable[Outcome2]="Lose",0,IF(BetTable[Outcome2]="Void",BetTable[S2],)))))</f>
        <v>0</v>
      </c>
      <c r="AH809" s="164">
        <f>IF(BetTable[Outcome3]="Win",BetTable[WBA3-Commission],IF(BetTable[Outcome3]="Win Half Stake",(BetTable[S3]/2)+BetTable[WBA3-Commission]/2,IF(BetTable[Outcome3]="Lose Half Stake",BetTable[S3]/2,IF(BetTable[Outcome3]="Lose",0,IF(BetTable[Outcome3]="Void",BetTable[S3],)))))</f>
        <v>0</v>
      </c>
      <c r="AI809" s="168">
        <f>IF(BetTable[Outcome]="",AI808,BetTable[Result]+AI808)</f>
        <v>1653.1562500000011</v>
      </c>
      <c r="AJ809" s="160"/>
    </row>
    <row r="810" spans="1:36" x14ac:dyDescent="0.2">
      <c r="A810" s="159" t="s">
        <v>2094</v>
      </c>
      <c r="B810" s="160" t="s">
        <v>200</v>
      </c>
      <c r="C810" s="161" t="s">
        <v>1714</v>
      </c>
      <c r="D810" s="161"/>
      <c r="E810" s="161"/>
      <c r="F810" s="162"/>
      <c r="G810" s="162"/>
      <c r="H810" s="162"/>
      <c r="I810" s="160" t="s">
        <v>2142</v>
      </c>
      <c r="J810" s="163">
        <v>1.96</v>
      </c>
      <c r="K810" s="163"/>
      <c r="L810" s="163"/>
      <c r="M810" s="164">
        <v>41</v>
      </c>
      <c r="N810" s="164"/>
      <c r="O810" s="164"/>
      <c r="P810" s="159" t="s">
        <v>457</v>
      </c>
      <c r="Q810" s="159" t="s">
        <v>439</v>
      </c>
      <c r="R810" s="159" t="s">
        <v>2143</v>
      </c>
      <c r="S810" s="165">
        <v>2.5258149771932501E-2</v>
      </c>
      <c r="T810" s="166" t="s">
        <v>382</v>
      </c>
      <c r="U810" s="166"/>
      <c r="V810" s="166"/>
      <c r="W810" s="167">
        <f>IF(BetTable[Sport]="","",BetTable[Stake]+BetTable[S2]+BetTable[S3])</f>
        <v>41</v>
      </c>
      <c r="X810" s="164">
        <f>IF(BetTable[Odds]="","",(BetTable[WBA1-Commission])-BetTable[TS])</f>
        <v>39.36</v>
      </c>
      <c r="Y810" s="168">
        <f>IF(BetTable[Outcome]="","",BetTable[WBA1]+BetTable[WBA2]+BetTable[WBA3]-BetTable[TS])</f>
        <v>-41</v>
      </c>
      <c r="Z810" s="164">
        <f>(((BetTable[Odds]-1)*BetTable[Stake])*(1-(BetTable[Comm %]))+BetTable[Stake])</f>
        <v>80.36</v>
      </c>
      <c r="AA810" s="164">
        <f>(((BetTable[O2]-1)*BetTable[S2])*(1-(BetTable[C% 2]))+BetTable[S2])</f>
        <v>0</v>
      </c>
      <c r="AB810" s="164">
        <f>(((BetTable[O3]-1)*BetTable[S3])*(1-(BetTable[C% 3]))+BetTable[S3])</f>
        <v>0</v>
      </c>
      <c r="AC810" s="165">
        <f>IFERROR(IF(BetTable[Sport]="","",BetTable[R1]/BetTable[TS]),"")</f>
        <v>0.96</v>
      </c>
      <c r="AD810" s="165" t="str">
        <f>IF(BetTable[O2]="","",#REF!/BetTable[TS])</f>
        <v/>
      </c>
      <c r="AE810" s="165" t="str">
        <f>IFERROR(IF(BetTable[Sport]="","",#REF!/BetTable[TS]),"")</f>
        <v/>
      </c>
      <c r="AF810" s="164">
        <f>IF(BetTable[Outcome]="Win",BetTable[WBA1-Commission],IF(BetTable[Outcome]="Win Half Stake",(BetTable[Stake]/2)+BetTable[WBA1-Commission]/2,IF(BetTable[Outcome]="Lose Half Stake",BetTable[Stake]/2,IF(BetTable[Outcome]="Lose",0,IF(BetTable[Outcome]="Void",BetTable[Stake],)))))</f>
        <v>0</v>
      </c>
      <c r="AG810" s="164">
        <f>IF(BetTable[Outcome2]="Win",BetTable[WBA2-Commission],IF(BetTable[Outcome2]="Win Half Stake",(BetTable[S2]/2)+BetTable[WBA2-Commission]/2,IF(BetTable[Outcome2]="Lose Half Stake",BetTable[S2]/2,IF(BetTable[Outcome2]="Lose",0,IF(BetTable[Outcome2]="Void",BetTable[S2],)))))</f>
        <v>0</v>
      </c>
      <c r="AH810" s="164">
        <f>IF(BetTable[Outcome3]="Win",BetTable[WBA3-Commission],IF(BetTable[Outcome3]="Win Half Stake",(BetTable[S3]/2)+BetTable[WBA3-Commission]/2,IF(BetTable[Outcome3]="Lose Half Stake",BetTable[S3]/2,IF(BetTable[Outcome3]="Lose",0,IF(BetTable[Outcome3]="Void",BetTable[S3],)))))</f>
        <v>0</v>
      </c>
      <c r="AI810" s="168">
        <f>IF(BetTable[Outcome]="",AI809,BetTable[Result]+AI809)</f>
        <v>1612.1562500000011</v>
      </c>
      <c r="AJ810" s="160"/>
    </row>
    <row r="811" spans="1:36" x14ac:dyDescent="0.2">
      <c r="A811" s="159" t="s">
        <v>2094</v>
      </c>
      <c r="B811" s="160" t="s">
        <v>200</v>
      </c>
      <c r="C811" s="161" t="s">
        <v>1714</v>
      </c>
      <c r="D811" s="161"/>
      <c r="E811" s="161"/>
      <c r="F811" s="162"/>
      <c r="G811" s="162"/>
      <c r="H811" s="162"/>
      <c r="I811" s="160" t="s">
        <v>2144</v>
      </c>
      <c r="J811" s="163">
        <v>1.92</v>
      </c>
      <c r="K811" s="163"/>
      <c r="L811" s="163"/>
      <c r="M811" s="164">
        <v>30</v>
      </c>
      <c r="N811" s="164"/>
      <c r="O811" s="164"/>
      <c r="P811" s="159" t="s">
        <v>388</v>
      </c>
      <c r="Q811" s="159" t="s">
        <v>674</v>
      </c>
      <c r="R811" s="159" t="s">
        <v>2145</v>
      </c>
      <c r="S811" s="165">
        <v>1.8085808580857999E-2</v>
      </c>
      <c r="T811" s="166" t="s">
        <v>372</v>
      </c>
      <c r="U811" s="166"/>
      <c r="V811" s="166"/>
      <c r="W811" s="167">
        <f>IF(BetTable[Sport]="","",BetTable[Stake]+BetTable[S2]+BetTable[S3])</f>
        <v>30</v>
      </c>
      <c r="X811" s="164">
        <f>IF(BetTable[Odds]="","",(BetTable[WBA1-Commission])-BetTable[TS])</f>
        <v>27.599999999999994</v>
      </c>
      <c r="Y811" s="168">
        <f>IF(BetTable[Outcome]="","",BetTable[WBA1]+BetTable[WBA2]+BetTable[WBA3]-BetTable[TS])</f>
        <v>27.599999999999994</v>
      </c>
      <c r="Z811" s="164">
        <f>(((BetTable[Odds]-1)*BetTable[Stake])*(1-(BetTable[Comm %]))+BetTable[Stake])</f>
        <v>57.599999999999994</v>
      </c>
      <c r="AA811" s="164">
        <f>(((BetTable[O2]-1)*BetTable[S2])*(1-(BetTable[C% 2]))+BetTable[S2])</f>
        <v>0</v>
      </c>
      <c r="AB811" s="164">
        <f>(((BetTable[O3]-1)*BetTable[S3])*(1-(BetTable[C% 3]))+BetTable[S3])</f>
        <v>0</v>
      </c>
      <c r="AC811" s="165">
        <f>IFERROR(IF(BetTable[Sport]="","",BetTable[R1]/BetTable[TS]),"")</f>
        <v>0.91999999999999982</v>
      </c>
      <c r="AD811" s="165" t="str">
        <f>IF(BetTable[O2]="","",#REF!/BetTable[TS])</f>
        <v/>
      </c>
      <c r="AE811" s="165" t="str">
        <f>IFERROR(IF(BetTable[Sport]="","",#REF!/BetTable[TS]),"")</f>
        <v/>
      </c>
      <c r="AF811" s="164">
        <f>IF(BetTable[Outcome]="Win",BetTable[WBA1-Commission],IF(BetTable[Outcome]="Win Half Stake",(BetTable[Stake]/2)+BetTable[WBA1-Commission]/2,IF(BetTable[Outcome]="Lose Half Stake",BetTable[Stake]/2,IF(BetTable[Outcome]="Lose",0,IF(BetTable[Outcome]="Void",BetTable[Stake],)))))</f>
        <v>57.599999999999994</v>
      </c>
      <c r="AG811" s="164">
        <f>IF(BetTable[Outcome2]="Win",BetTable[WBA2-Commission],IF(BetTable[Outcome2]="Win Half Stake",(BetTable[S2]/2)+BetTable[WBA2-Commission]/2,IF(BetTable[Outcome2]="Lose Half Stake",BetTable[S2]/2,IF(BetTable[Outcome2]="Lose",0,IF(BetTable[Outcome2]="Void",BetTable[S2],)))))</f>
        <v>0</v>
      </c>
      <c r="AH811" s="164">
        <f>IF(BetTable[Outcome3]="Win",BetTable[WBA3-Commission],IF(BetTable[Outcome3]="Win Half Stake",(BetTable[S3]/2)+BetTable[WBA3-Commission]/2,IF(BetTable[Outcome3]="Lose Half Stake",BetTable[S3]/2,IF(BetTable[Outcome3]="Lose",0,IF(BetTable[Outcome3]="Void",BetTable[S3],)))))</f>
        <v>0</v>
      </c>
      <c r="AI811" s="168">
        <f>IF(BetTable[Outcome]="",AI810,BetTable[Result]+AI810)</f>
        <v>1639.756250000001</v>
      </c>
      <c r="AJ811" s="160"/>
    </row>
    <row r="812" spans="1:36" x14ac:dyDescent="0.2">
      <c r="A812" s="159" t="s">
        <v>2094</v>
      </c>
      <c r="B812" s="160" t="s">
        <v>200</v>
      </c>
      <c r="C812" s="161" t="s">
        <v>1714</v>
      </c>
      <c r="D812" s="161"/>
      <c r="E812" s="161"/>
      <c r="F812" s="162"/>
      <c r="G812" s="162"/>
      <c r="H812" s="162"/>
      <c r="I812" s="160" t="s">
        <v>2146</v>
      </c>
      <c r="J812" s="163">
        <v>2.61</v>
      </c>
      <c r="K812" s="163"/>
      <c r="L812" s="163"/>
      <c r="M812" s="164">
        <v>16</v>
      </c>
      <c r="N812" s="164"/>
      <c r="O812" s="164"/>
      <c r="P812" s="159" t="s">
        <v>435</v>
      </c>
      <c r="Q812" s="159" t="s">
        <v>703</v>
      </c>
      <c r="R812" s="159" t="s">
        <v>2147</v>
      </c>
      <c r="S812" s="165">
        <v>1.6392395807945399E-2</v>
      </c>
      <c r="T812" s="166" t="s">
        <v>383</v>
      </c>
      <c r="U812" s="166"/>
      <c r="V812" s="166"/>
      <c r="W812" s="167">
        <f>IF(BetTable[Sport]="","",BetTable[Stake]+BetTable[S2]+BetTable[S3])</f>
        <v>16</v>
      </c>
      <c r="X812" s="164">
        <f>IF(BetTable[Odds]="","",(BetTable[WBA1-Commission])-BetTable[TS])</f>
        <v>25.759999999999998</v>
      </c>
      <c r="Y812" s="168">
        <f>IF(BetTable[Outcome]="","",BetTable[WBA1]+BetTable[WBA2]+BetTable[WBA3]-BetTable[TS])</f>
        <v>0</v>
      </c>
      <c r="Z812" s="164">
        <f>(((BetTable[Odds]-1)*BetTable[Stake])*(1-(BetTable[Comm %]))+BetTable[Stake])</f>
        <v>41.76</v>
      </c>
      <c r="AA812" s="164">
        <f>(((BetTable[O2]-1)*BetTable[S2])*(1-(BetTable[C% 2]))+BetTable[S2])</f>
        <v>0</v>
      </c>
      <c r="AB812" s="164">
        <f>(((BetTable[O3]-1)*BetTable[S3])*(1-(BetTable[C% 3]))+BetTable[S3])</f>
        <v>0</v>
      </c>
      <c r="AC812" s="165">
        <f>IFERROR(IF(BetTable[Sport]="","",BetTable[R1]/BetTable[TS]),"")</f>
        <v>1.6099999999999999</v>
      </c>
      <c r="AD812" s="165" t="str">
        <f>IF(BetTable[O2]="","",#REF!/BetTable[TS])</f>
        <v/>
      </c>
      <c r="AE812" s="165" t="str">
        <f>IFERROR(IF(BetTable[Sport]="","",#REF!/BetTable[TS]),"")</f>
        <v/>
      </c>
      <c r="AF812" s="164">
        <f>IF(BetTable[Outcome]="Win",BetTable[WBA1-Commission],IF(BetTable[Outcome]="Win Half Stake",(BetTable[Stake]/2)+BetTable[WBA1-Commission]/2,IF(BetTable[Outcome]="Lose Half Stake",BetTable[Stake]/2,IF(BetTable[Outcome]="Lose",0,IF(BetTable[Outcome]="Void",BetTable[Stake],)))))</f>
        <v>16</v>
      </c>
      <c r="AG812" s="164">
        <f>IF(BetTable[Outcome2]="Win",BetTable[WBA2-Commission],IF(BetTable[Outcome2]="Win Half Stake",(BetTable[S2]/2)+BetTable[WBA2-Commission]/2,IF(BetTable[Outcome2]="Lose Half Stake",BetTable[S2]/2,IF(BetTable[Outcome2]="Lose",0,IF(BetTable[Outcome2]="Void",BetTable[S2],)))))</f>
        <v>0</v>
      </c>
      <c r="AH812" s="164">
        <f>IF(BetTable[Outcome3]="Win",BetTable[WBA3-Commission],IF(BetTable[Outcome3]="Win Half Stake",(BetTable[S3]/2)+BetTable[WBA3-Commission]/2,IF(BetTable[Outcome3]="Lose Half Stake",BetTable[S3]/2,IF(BetTable[Outcome3]="Lose",0,IF(BetTable[Outcome3]="Void",BetTable[S3],)))))</f>
        <v>0</v>
      </c>
      <c r="AI812" s="168">
        <f>IF(BetTable[Outcome]="",AI811,BetTable[Result]+AI811)</f>
        <v>1639.756250000001</v>
      </c>
      <c r="AJ812" s="160"/>
    </row>
    <row r="813" spans="1:36" x14ac:dyDescent="0.2">
      <c r="A813" s="159" t="s">
        <v>2094</v>
      </c>
      <c r="B813" s="160" t="s">
        <v>200</v>
      </c>
      <c r="C813" s="161" t="s">
        <v>1714</v>
      </c>
      <c r="D813" s="161"/>
      <c r="E813" s="161"/>
      <c r="F813" s="162"/>
      <c r="G813" s="162"/>
      <c r="H813" s="162"/>
      <c r="I813" s="160" t="s">
        <v>2148</v>
      </c>
      <c r="J813" s="163">
        <v>3.25</v>
      </c>
      <c r="K813" s="163"/>
      <c r="L813" s="163"/>
      <c r="M813" s="164">
        <v>13</v>
      </c>
      <c r="N813" s="164"/>
      <c r="O813" s="164"/>
      <c r="P813" s="159" t="s">
        <v>494</v>
      </c>
      <c r="Q813" s="159" t="s">
        <v>674</v>
      </c>
      <c r="R813" s="159" t="s">
        <v>2149</v>
      </c>
      <c r="S813" s="165">
        <v>1.8357620244824801E-2</v>
      </c>
      <c r="T813" s="166" t="s">
        <v>382</v>
      </c>
      <c r="U813" s="166"/>
      <c r="V813" s="166"/>
      <c r="W813" s="167">
        <f>IF(BetTable[Sport]="","",BetTable[Stake]+BetTable[S2]+BetTable[S3])</f>
        <v>13</v>
      </c>
      <c r="X813" s="164">
        <f>IF(BetTable[Odds]="","",(BetTable[WBA1-Commission])-BetTable[TS])</f>
        <v>29.25</v>
      </c>
      <c r="Y813" s="168">
        <f>IF(BetTable[Outcome]="","",BetTable[WBA1]+BetTable[WBA2]+BetTable[WBA3]-BetTable[TS])</f>
        <v>-13</v>
      </c>
      <c r="Z813" s="164">
        <f>(((BetTable[Odds]-1)*BetTable[Stake])*(1-(BetTable[Comm %]))+BetTable[Stake])</f>
        <v>42.25</v>
      </c>
      <c r="AA813" s="164">
        <f>(((BetTable[O2]-1)*BetTable[S2])*(1-(BetTable[C% 2]))+BetTable[S2])</f>
        <v>0</v>
      </c>
      <c r="AB813" s="164">
        <f>(((BetTable[O3]-1)*BetTable[S3])*(1-(BetTable[C% 3]))+BetTable[S3])</f>
        <v>0</v>
      </c>
      <c r="AC813" s="165">
        <f>IFERROR(IF(BetTable[Sport]="","",BetTable[R1]/BetTable[TS]),"")</f>
        <v>2.25</v>
      </c>
      <c r="AD813" s="165" t="str">
        <f>IF(BetTable[O2]="","",#REF!/BetTable[TS])</f>
        <v/>
      </c>
      <c r="AE813" s="165" t="str">
        <f>IFERROR(IF(BetTable[Sport]="","",#REF!/BetTable[TS]),"")</f>
        <v/>
      </c>
      <c r="AF813" s="164">
        <f>IF(BetTable[Outcome]="Win",BetTable[WBA1-Commission],IF(BetTable[Outcome]="Win Half Stake",(BetTable[Stake]/2)+BetTable[WBA1-Commission]/2,IF(BetTable[Outcome]="Lose Half Stake",BetTable[Stake]/2,IF(BetTable[Outcome]="Lose",0,IF(BetTable[Outcome]="Void",BetTable[Stake],)))))</f>
        <v>0</v>
      </c>
      <c r="AG813" s="164">
        <f>IF(BetTable[Outcome2]="Win",BetTable[WBA2-Commission],IF(BetTable[Outcome2]="Win Half Stake",(BetTable[S2]/2)+BetTable[WBA2-Commission]/2,IF(BetTable[Outcome2]="Lose Half Stake",BetTable[S2]/2,IF(BetTable[Outcome2]="Lose",0,IF(BetTable[Outcome2]="Void",BetTable[S2],)))))</f>
        <v>0</v>
      </c>
      <c r="AH813" s="164">
        <f>IF(BetTable[Outcome3]="Win",BetTable[WBA3-Commission],IF(BetTable[Outcome3]="Win Half Stake",(BetTable[S3]/2)+BetTable[WBA3-Commission]/2,IF(BetTable[Outcome3]="Lose Half Stake",BetTable[S3]/2,IF(BetTable[Outcome3]="Lose",0,IF(BetTable[Outcome3]="Void",BetTable[S3],)))))</f>
        <v>0</v>
      </c>
      <c r="AI813" s="168">
        <f>IF(BetTable[Outcome]="",AI812,BetTable[Result]+AI812)</f>
        <v>1626.756250000001</v>
      </c>
      <c r="AJ813" s="160"/>
    </row>
    <row r="814" spans="1:36" x14ac:dyDescent="0.2">
      <c r="A814" s="159" t="s">
        <v>2094</v>
      </c>
      <c r="B814" s="160" t="s">
        <v>200</v>
      </c>
      <c r="C814" s="161" t="s">
        <v>1714</v>
      </c>
      <c r="D814" s="161"/>
      <c r="E814" s="161"/>
      <c r="F814" s="162"/>
      <c r="G814" s="162"/>
      <c r="H814" s="162"/>
      <c r="I814" s="160" t="s">
        <v>2150</v>
      </c>
      <c r="J814" s="163">
        <v>3.15</v>
      </c>
      <c r="K814" s="163"/>
      <c r="L814" s="163"/>
      <c r="M814" s="164">
        <v>13</v>
      </c>
      <c r="N814" s="164"/>
      <c r="O814" s="164"/>
      <c r="P814" s="159" t="s">
        <v>428</v>
      </c>
      <c r="Q814" s="159" t="s">
        <v>1083</v>
      </c>
      <c r="R814" s="159" t="s">
        <v>2151</v>
      </c>
      <c r="S814" s="165">
        <v>1.8694453488446301E-2</v>
      </c>
      <c r="T814" s="166" t="s">
        <v>382</v>
      </c>
      <c r="U814" s="166"/>
      <c r="V814" s="166"/>
      <c r="W814" s="167">
        <f>IF(BetTable[Sport]="","",BetTable[Stake]+BetTable[S2]+BetTable[S3])</f>
        <v>13</v>
      </c>
      <c r="X814" s="164">
        <f>IF(BetTable[Odds]="","",(BetTable[WBA1-Commission])-BetTable[TS])</f>
        <v>27.950000000000003</v>
      </c>
      <c r="Y814" s="168">
        <f>IF(BetTable[Outcome]="","",BetTable[WBA1]+BetTable[WBA2]+BetTable[WBA3]-BetTable[TS])</f>
        <v>-13</v>
      </c>
      <c r="Z814" s="164">
        <f>(((BetTable[Odds]-1)*BetTable[Stake])*(1-(BetTable[Comm %]))+BetTable[Stake])</f>
        <v>40.950000000000003</v>
      </c>
      <c r="AA814" s="164">
        <f>(((BetTable[O2]-1)*BetTable[S2])*(1-(BetTable[C% 2]))+BetTable[S2])</f>
        <v>0</v>
      </c>
      <c r="AB814" s="164">
        <f>(((BetTable[O3]-1)*BetTable[S3])*(1-(BetTable[C% 3]))+BetTable[S3])</f>
        <v>0</v>
      </c>
      <c r="AC814" s="165">
        <f>IFERROR(IF(BetTable[Sport]="","",BetTable[R1]/BetTable[TS]),"")</f>
        <v>2.1500000000000004</v>
      </c>
      <c r="AD814" s="165" t="str">
        <f>IF(BetTable[O2]="","",#REF!/BetTable[TS])</f>
        <v/>
      </c>
      <c r="AE814" s="165" t="str">
        <f>IFERROR(IF(BetTable[Sport]="","",#REF!/BetTable[TS]),"")</f>
        <v/>
      </c>
      <c r="AF814" s="164">
        <f>IF(BetTable[Outcome]="Win",BetTable[WBA1-Commission],IF(BetTable[Outcome]="Win Half Stake",(BetTable[Stake]/2)+BetTable[WBA1-Commission]/2,IF(BetTable[Outcome]="Lose Half Stake",BetTable[Stake]/2,IF(BetTable[Outcome]="Lose",0,IF(BetTable[Outcome]="Void",BetTable[Stake],)))))</f>
        <v>0</v>
      </c>
      <c r="AG814" s="164">
        <f>IF(BetTable[Outcome2]="Win",BetTable[WBA2-Commission],IF(BetTable[Outcome2]="Win Half Stake",(BetTable[S2]/2)+BetTable[WBA2-Commission]/2,IF(BetTable[Outcome2]="Lose Half Stake",BetTable[S2]/2,IF(BetTable[Outcome2]="Lose",0,IF(BetTable[Outcome2]="Void",BetTable[S2],)))))</f>
        <v>0</v>
      </c>
      <c r="AH814" s="164">
        <f>IF(BetTable[Outcome3]="Win",BetTable[WBA3-Commission],IF(BetTable[Outcome3]="Win Half Stake",(BetTable[S3]/2)+BetTable[WBA3-Commission]/2,IF(BetTable[Outcome3]="Lose Half Stake",BetTable[S3]/2,IF(BetTable[Outcome3]="Lose",0,IF(BetTable[Outcome3]="Void",BetTable[S3],)))))</f>
        <v>0</v>
      </c>
      <c r="AI814" s="168">
        <f>IF(BetTable[Outcome]="",AI813,BetTable[Result]+AI813)</f>
        <v>1613.756250000001</v>
      </c>
      <c r="AJ814" s="160"/>
    </row>
    <row r="815" spans="1:36" x14ac:dyDescent="0.2">
      <c r="A815" s="159" t="s">
        <v>2094</v>
      </c>
      <c r="B815" s="160" t="s">
        <v>200</v>
      </c>
      <c r="C815" s="161" t="s">
        <v>1714</v>
      </c>
      <c r="D815" s="161"/>
      <c r="E815" s="161"/>
      <c r="F815" s="162"/>
      <c r="G815" s="162"/>
      <c r="H815" s="162"/>
      <c r="I815" s="160" t="s">
        <v>2152</v>
      </c>
      <c r="J815" s="163">
        <v>1.55</v>
      </c>
      <c r="K815" s="163"/>
      <c r="L815" s="163"/>
      <c r="M815" s="164">
        <v>51</v>
      </c>
      <c r="N815" s="164"/>
      <c r="O815" s="164"/>
      <c r="P815" s="159" t="s">
        <v>435</v>
      </c>
      <c r="Q815" s="159" t="s">
        <v>703</v>
      </c>
      <c r="R815" s="159" t="s">
        <v>2153</v>
      </c>
      <c r="S815" s="165">
        <v>1.8267982567513601E-2</v>
      </c>
      <c r="T815" s="166" t="s">
        <v>372</v>
      </c>
      <c r="U815" s="166"/>
      <c r="V815" s="166"/>
      <c r="W815" s="167">
        <f>IF(BetTable[Sport]="","",BetTable[Stake]+BetTable[S2]+BetTable[S3])</f>
        <v>51</v>
      </c>
      <c r="X815" s="164">
        <f>IF(BetTable[Odds]="","",(BetTable[WBA1-Commission])-BetTable[TS])</f>
        <v>28.049999999999997</v>
      </c>
      <c r="Y815" s="168">
        <f>IF(BetTable[Outcome]="","",BetTable[WBA1]+BetTable[WBA2]+BetTable[WBA3]-BetTable[TS])</f>
        <v>28.049999999999997</v>
      </c>
      <c r="Z815" s="164">
        <f>(((BetTable[Odds]-1)*BetTable[Stake])*(1-(BetTable[Comm %]))+BetTable[Stake])</f>
        <v>79.05</v>
      </c>
      <c r="AA815" s="164">
        <f>(((BetTable[O2]-1)*BetTable[S2])*(1-(BetTable[C% 2]))+BetTable[S2])</f>
        <v>0</v>
      </c>
      <c r="AB815" s="164">
        <f>(((BetTable[O3]-1)*BetTable[S3])*(1-(BetTable[C% 3]))+BetTable[S3])</f>
        <v>0</v>
      </c>
      <c r="AC815" s="165">
        <f>IFERROR(IF(BetTable[Sport]="","",BetTable[R1]/BetTable[TS]),"")</f>
        <v>0.54999999999999993</v>
      </c>
      <c r="AD815" s="165" t="str">
        <f>IF(BetTable[O2]="","",#REF!/BetTable[TS])</f>
        <v/>
      </c>
      <c r="AE815" s="165" t="str">
        <f>IFERROR(IF(BetTable[Sport]="","",#REF!/BetTable[TS]),"")</f>
        <v/>
      </c>
      <c r="AF815" s="164">
        <f>IF(BetTable[Outcome]="Win",BetTable[WBA1-Commission],IF(BetTable[Outcome]="Win Half Stake",(BetTable[Stake]/2)+BetTable[WBA1-Commission]/2,IF(BetTable[Outcome]="Lose Half Stake",BetTable[Stake]/2,IF(BetTable[Outcome]="Lose",0,IF(BetTable[Outcome]="Void",BetTable[Stake],)))))</f>
        <v>79.05</v>
      </c>
      <c r="AG815" s="164">
        <f>IF(BetTable[Outcome2]="Win",BetTable[WBA2-Commission],IF(BetTable[Outcome2]="Win Half Stake",(BetTable[S2]/2)+BetTable[WBA2-Commission]/2,IF(BetTable[Outcome2]="Lose Half Stake",BetTable[S2]/2,IF(BetTable[Outcome2]="Lose",0,IF(BetTable[Outcome2]="Void",BetTable[S2],)))))</f>
        <v>0</v>
      </c>
      <c r="AH815" s="164">
        <f>IF(BetTable[Outcome3]="Win",BetTable[WBA3-Commission],IF(BetTable[Outcome3]="Win Half Stake",(BetTable[S3]/2)+BetTable[WBA3-Commission]/2,IF(BetTable[Outcome3]="Lose Half Stake",BetTable[S3]/2,IF(BetTable[Outcome3]="Lose",0,IF(BetTable[Outcome3]="Void",BetTable[S3],)))))</f>
        <v>0</v>
      </c>
      <c r="AI815" s="168">
        <f>IF(BetTable[Outcome]="",AI814,BetTable[Result]+AI814)</f>
        <v>1641.806250000001</v>
      </c>
      <c r="AJ815" s="160"/>
    </row>
    <row r="816" spans="1:36" x14ac:dyDescent="0.2">
      <c r="A816" s="159" t="s">
        <v>2094</v>
      </c>
      <c r="B816" s="160" t="s">
        <v>200</v>
      </c>
      <c r="C816" s="161" t="s">
        <v>1714</v>
      </c>
      <c r="D816" s="161"/>
      <c r="E816" s="161"/>
      <c r="F816" s="162"/>
      <c r="G816" s="162"/>
      <c r="H816" s="162"/>
      <c r="I816" s="160" t="s">
        <v>2154</v>
      </c>
      <c r="J816" s="163">
        <v>1.93</v>
      </c>
      <c r="K816" s="163"/>
      <c r="L816" s="163"/>
      <c r="M816" s="164">
        <v>27</v>
      </c>
      <c r="N816" s="164"/>
      <c r="O816" s="164"/>
      <c r="P816" s="159" t="s">
        <v>508</v>
      </c>
      <c r="Q816" s="159" t="s">
        <v>703</v>
      </c>
      <c r="R816" s="159" t="s">
        <v>2155</v>
      </c>
      <c r="S816" s="165">
        <v>1.6320413512677798E-2</v>
      </c>
      <c r="T816" s="166" t="s">
        <v>382</v>
      </c>
      <c r="U816" s="166"/>
      <c r="V816" s="166"/>
      <c r="W816" s="167">
        <f>IF(BetTable[Sport]="","",BetTable[Stake]+BetTable[S2]+BetTable[S3])</f>
        <v>27</v>
      </c>
      <c r="X816" s="164">
        <f>IF(BetTable[Odds]="","",(BetTable[WBA1-Commission])-BetTable[TS])</f>
        <v>25.11</v>
      </c>
      <c r="Y816" s="168">
        <f>IF(BetTable[Outcome]="","",BetTable[WBA1]+BetTable[WBA2]+BetTable[WBA3]-BetTable[TS])</f>
        <v>-27</v>
      </c>
      <c r="Z816" s="164">
        <f>(((BetTable[Odds]-1)*BetTable[Stake])*(1-(BetTable[Comm %]))+BetTable[Stake])</f>
        <v>52.11</v>
      </c>
      <c r="AA816" s="164">
        <f>(((BetTable[O2]-1)*BetTable[S2])*(1-(BetTable[C% 2]))+BetTable[S2])</f>
        <v>0</v>
      </c>
      <c r="AB816" s="164">
        <f>(((BetTable[O3]-1)*BetTable[S3])*(1-(BetTable[C% 3]))+BetTable[S3])</f>
        <v>0</v>
      </c>
      <c r="AC816" s="165">
        <f>IFERROR(IF(BetTable[Sport]="","",BetTable[R1]/BetTable[TS]),"")</f>
        <v>0.92999999999999994</v>
      </c>
      <c r="AD816" s="165" t="str">
        <f>IF(BetTable[O2]="","",#REF!/BetTable[TS])</f>
        <v/>
      </c>
      <c r="AE816" s="165" t="str">
        <f>IFERROR(IF(BetTable[Sport]="","",#REF!/BetTable[TS]),"")</f>
        <v/>
      </c>
      <c r="AF816" s="164">
        <f>IF(BetTable[Outcome]="Win",BetTable[WBA1-Commission],IF(BetTable[Outcome]="Win Half Stake",(BetTable[Stake]/2)+BetTable[WBA1-Commission]/2,IF(BetTable[Outcome]="Lose Half Stake",BetTable[Stake]/2,IF(BetTable[Outcome]="Lose",0,IF(BetTable[Outcome]="Void",BetTable[Stake],)))))</f>
        <v>0</v>
      </c>
      <c r="AG816" s="164">
        <f>IF(BetTable[Outcome2]="Win",BetTable[WBA2-Commission],IF(BetTable[Outcome2]="Win Half Stake",(BetTable[S2]/2)+BetTable[WBA2-Commission]/2,IF(BetTable[Outcome2]="Lose Half Stake",BetTable[S2]/2,IF(BetTable[Outcome2]="Lose",0,IF(BetTable[Outcome2]="Void",BetTable[S2],)))))</f>
        <v>0</v>
      </c>
      <c r="AH816" s="164">
        <f>IF(BetTable[Outcome3]="Win",BetTable[WBA3-Commission],IF(BetTable[Outcome3]="Win Half Stake",(BetTable[S3]/2)+BetTable[WBA3-Commission]/2,IF(BetTable[Outcome3]="Lose Half Stake",BetTable[S3]/2,IF(BetTable[Outcome3]="Lose",0,IF(BetTable[Outcome3]="Void",BetTable[S3],)))))</f>
        <v>0</v>
      </c>
      <c r="AI816" s="168">
        <f>IF(BetTable[Outcome]="",AI815,BetTable[Result]+AI815)</f>
        <v>1614.806250000001</v>
      </c>
      <c r="AJ816" s="160"/>
    </row>
    <row r="817" spans="1:36" x14ac:dyDescent="0.2">
      <c r="A817" s="159" t="s">
        <v>2094</v>
      </c>
      <c r="B817" s="160" t="s">
        <v>200</v>
      </c>
      <c r="C817" s="161" t="s">
        <v>1714</v>
      </c>
      <c r="D817" s="161"/>
      <c r="E817" s="161"/>
      <c r="F817" s="162"/>
      <c r="G817" s="162"/>
      <c r="H817" s="162"/>
      <c r="I817" s="160" t="s">
        <v>2156</v>
      </c>
      <c r="J817" s="163">
        <v>3.1</v>
      </c>
      <c r="K817" s="163"/>
      <c r="L817" s="163"/>
      <c r="M817" s="164">
        <v>12</v>
      </c>
      <c r="N817" s="164"/>
      <c r="O817" s="164"/>
      <c r="P817" s="159" t="s">
        <v>494</v>
      </c>
      <c r="Q817" s="159" t="s">
        <v>503</v>
      </c>
      <c r="R817" s="159" t="s">
        <v>2157</v>
      </c>
      <c r="S817" s="165">
        <v>1.6719586984034002E-2</v>
      </c>
      <c r="T817" s="166" t="s">
        <v>382</v>
      </c>
      <c r="U817" s="166"/>
      <c r="V817" s="166"/>
      <c r="W817" s="167">
        <f>IF(BetTable[Sport]="","",BetTable[Stake]+BetTable[S2]+BetTable[S3])</f>
        <v>12</v>
      </c>
      <c r="X817" s="164">
        <f>IF(BetTable[Odds]="","",(BetTable[WBA1-Commission])-BetTable[TS])</f>
        <v>25.200000000000003</v>
      </c>
      <c r="Y817" s="168">
        <f>IF(BetTable[Outcome]="","",BetTable[WBA1]+BetTable[WBA2]+BetTable[WBA3]-BetTable[TS])</f>
        <v>-12</v>
      </c>
      <c r="Z817" s="164">
        <f>(((BetTable[Odds]-1)*BetTable[Stake])*(1-(BetTable[Comm %]))+BetTable[Stake])</f>
        <v>37.200000000000003</v>
      </c>
      <c r="AA817" s="164">
        <f>(((BetTable[O2]-1)*BetTable[S2])*(1-(BetTable[C% 2]))+BetTable[S2])</f>
        <v>0</v>
      </c>
      <c r="AB817" s="164">
        <f>(((BetTable[O3]-1)*BetTable[S3])*(1-(BetTable[C% 3]))+BetTable[S3])</f>
        <v>0</v>
      </c>
      <c r="AC817" s="165">
        <f>IFERROR(IF(BetTable[Sport]="","",BetTable[R1]/BetTable[TS]),"")</f>
        <v>2.1</v>
      </c>
      <c r="AD817" s="165" t="str">
        <f>IF(BetTable[O2]="","",#REF!/BetTable[TS])</f>
        <v/>
      </c>
      <c r="AE817" s="165" t="str">
        <f>IFERROR(IF(BetTable[Sport]="","",#REF!/BetTable[TS]),"")</f>
        <v/>
      </c>
      <c r="AF817" s="164">
        <f>IF(BetTable[Outcome]="Win",BetTable[WBA1-Commission],IF(BetTable[Outcome]="Win Half Stake",(BetTable[Stake]/2)+BetTable[WBA1-Commission]/2,IF(BetTable[Outcome]="Lose Half Stake",BetTable[Stake]/2,IF(BetTable[Outcome]="Lose",0,IF(BetTable[Outcome]="Void",BetTable[Stake],)))))</f>
        <v>0</v>
      </c>
      <c r="AG817" s="164">
        <f>IF(BetTable[Outcome2]="Win",BetTable[WBA2-Commission],IF(BetTable[Outcome2]="Win Half Stake",(BetTable[S2]/2)+BetTable[WBA2-Commission]/2,IF(BetTable[Outcome2]="Lose Half Stake",BetTable[S2]/2,IF(BetTable[Outcome2]="Lose",0,IF(BetTable[Outcome2]="Void",BetTable[S2],)))))</f>
        <v>0</v>
      </c>
      <c r="AH817" s="164">
        <f>IF(BetTable[Outcome3]="Win",BetTable[WBA3-Commission],IF(BetTable[Outcome3]="Win Half Stake",(BetTable[S3]/2)+BetTable[WBA3-Commission]/2,IF(BetTable[Outcome3]="Lose Half Stake",BetTable[S3]/2,IF(BetTable[Outcome3]="Lose",0,IF(BetTable[Outcome3]="Void",BetTable[S3],)))))</f>
        <v>0</v>
      </c>
      <c r="AI817" s="168">
        <f>IF(BetTable[Outcome]="",AI816,BetTable[Result]+AI816)</f>
        <v>1602.806250000001</v>
      </c>
      <c r="AJ817" s="160"/>
    </row>
    <row r="818" spans="1:36" x14ac:dyDescent="0.2">
      <c r="A818" s="159" t="s">
        <v>2094</v>
      </c>
      <c r="B818" s="160" t="s">
        <v>200</v>
      </c>
      <c r="C818" s="161" t="s">
        <v>1714</v>
      </c>
      <c r="D818" s="161"/>
      <c r="E818" s="161"/>
      <c r="F818" s="162"/>
      <c r="G818" s="162"/>
      <c r="H818" s="162"/>
      <c r="I818" s="160" t="s">
        <v>2158</v>
      </c>
      <c r="J818" s="163">
        <v>4.2</v>
      </c>
      <c r="K818" s="163"/>
      <c r="L818" s="163"/>
      <c r="M818" s="164">
        <v>9</v>
      </c>
      <c r="N818" s="164"/>
      <c r="O818" s="164"/>
      <c r="P818" s="159" t="s">
        <v>494</v>
      </c>
      <c r="Q818" s="159" t="s">
        <v>968</v>
      </c>
      <c r="R818" s="159" t="s">
        <v>2159</v>
      </c>
      <c r="S818" s="165">
        <v>1.8094726065965999E-2</v>
      </c>
      <c r="T818" s="166" t="s">
        <v>372</v>
      </c>
      <c r="U818" s="166"/>
      <c r="V818" s="166"/>
      <c r="W818" s="167">
        <f>IF(BetTable[Sport]="","",BetTable[Stake]+BetTable[S2]+BetTable[S3])</f>
        <v>9</v>
      </c>
      <c r="X818" s="164">
        <f>IF(BetTable[Odds]="","",(BetTable[WBA1-Commission])-BetTable[TS])</f>
        <v>28.799999999999997</v>
      </c>
      <c r="Y818" s="168">
        <f>IF(BetTable[Outcome]="","",BetTable[WBA1]+BetTable[WBA2]+BetTable[WBA3]-BetTable[TS])</f>
        <v>28.799999999999997</v>
      </c>
      <c r="Z818" s="164">
        <f>(((BetTable[Odds]-1)*BetTable[Stake])*(1-(BetTable[Comm %]))+BetTable[Stake])</f>
        <v>37.799999999999997</v>
      </c>
      <c r="AA818" s="164">
        <f>(((BetTable[O2]-1)*BetTable[S2])*(1-(BetTable[C% 2]))+BetTable[S2])</f>
        <v>0</v>
      </c>
      <c r="AB818" s="164">
        <f>(((BetTable[O3]-1)*BetTable[S3])*(1-(BetTable[C% 3]))+BetTable[S3])</f>
        <v>0</v>
      </c>
      <c r="AC818" s="165">
        <f>IFERROR(IF(BetTable[Sport]="","",BetTable[R1]/BetTable[TS]),"")</f>
        <v>3.1999999999999997</v>
      </c>
      <c r="AD818" s="165" t="str">
        <f>IF(BetTable[O2]="","",#REF!/BetTable[TS])</f>
        <v/>
      </c>
      <c r="AE818" s="165" t="str">
        <f>IFERROR(IF(BetTable[Sport]="","",#REF!/BetTable[TS]),"")</f>
        <v/>
      </c>
      <c r="AF818" s="164">
        <f>IF(BetTable[Outcome]="Win",BetTable[WBA1-Commission],IF(BetTable[Outcome]="Win Half Stake",(BetTable[Stake]/2)+BetTable[WBA1-Commission]/2,IF(BetTable[Outcome]="Lose Half Stake",BetTable[Stake]/2,IF(BetTable[Outcome]="Lose",0,IF(BetTable[Outcome]="Void",BetTable[Stake],)))))</f>
        <v>37.799999999999997</v>
      </c>
      <c r="AG818" s="164">
        <f>IF(BetTable[Outcome2]="Win",BetTable[WBA2-Commission],IF(BetTable[Outcome2]="Win Half Stake",(BetTable[S2]/2)+BetTable[WBA2-Commission]/2,IF(BetTable[Outcome2]="Lose Half Stake",BetTable[S2]/2,IF(BetTable[Outcome2]="Lose",0,IF(BetTable[Outcome2]="Void",BetTable[S2],)))))</f>
        <v>0</v>
      </c>
      <c r="AH818" s="164">
        <f>IF(BetTable[Outcome3]="Win",BetTable[WBA3-Commission],IF(BetTable[Outcome3]="Win Half Stake",(BetTable[S3]/2)+BetTable[WBA3-Commission]/2,IF(BetTable[Outcome3]="Lose Half Stake",BetTable[S3]/2,IF(BetTable[Outcome3]="Lose",0,IF(BetTable[Outcome3]="Void",BetTable[S3],)))))</f>
        <v>0</v>
      </c>
      <c r="AI818" s="168">
        <f>IF(BetTable[Outcome]="",AI817,BetTable[Result]+AI817)</f>
        <v>1631.606250000001</v>
      </c>
      <c r="AJ818" s="160"/>
    </row>
    <row r="819" spans="1:36" x14ac:dyDescent="0.2">
      <c r="A819" s="159" t="s">
        <v>2094</v>
      </c>
      <c r="B819" s="160" t="s">
        <v>7</v>
      </c>
      <c r="C819" s="161" t="s">
        <v>216</v>
      </c>
      <c r="D819" s="161"/>
      <c r="E819" s="161"/>
      <c r="F819" s="162"/>
      <c r="G819" s="162"/>
      <c r="H819" s="162"/>
      <c r="I819" s="160" t="s">
        <v>2160</v>
      </c>
      <c r="J819" s="163">
        <v>1.909</v>
      </c>
      <c r="K819" s="163"/>
      <c r="L819" s="163"/>
      <c r="M819" s="164">
        <v>52</v>
      </c>
      <c r="N819" s="164"/>
      <c r="O819" s="164"/>
      <c r="P819" s="159" t="s">
        <v>2161</v>
      </c>
      <c r="Q819" s="159" t="s">
        <v>632</v>
      </c>
      <c r="R819" s="159" t="s">
        <v>2162</v>
      </c>
      <c r="S819" s="165">
        <v>6.1114388358706299E-2</v>
      </c>
      <c r="T819" s="166" t="s">
        <v>372</v>
      </c>
      <c r="U819" s="166"/>
      <c r="V819" s="166"/>
      <c r="W819" s="167">
        <f>IF(BetTable[Sport]="","",BetTable[Stake]+BetTable[S2]+BetTable[S3])</f>
        <v>52</v>
      </c>
      <c r="X819" s="164">
        <f>IF(BetTable[Odds]="","",(BetTable[WBA1-Commission])-BetTable[TS])</f>
        <v>47.268000000000001</v>
      </c>
      <c r="Y819" s="168">
        <f>IF(BetTable[Outcome]="","",BetTable[WBA1]+BetTable[WBA2]+BetTable[WBA3]-BetTable[TS])</f>
        <v>47.268000000000001</v>
      </c>
      <c r="Z819" s="164">
        <f>(((BetTable[Odds]-1)*BetTable[Stake])*(1-(BetTable[Comm %]))+BetTable[Stake])</f>
        <v>99.268000000000001</v>
      </c>
      <c r="AA819" s="164">
        <f>(((BetTable[O2]-1)*BetTable[S2])*(1-(BetTable[C% 2]))+BetTable[S2])</f>
        <v>0</v>
      </c>
      <c r="AB819" s="164">
        <f>(((BetTable[O3]-1)*BetTable[S3])*(1-(BetTable[C% 3]))+BetTable[S3])</f>
        <v>0</v>
      </c>
      <c r="AC819" s="165">
        <f>IFERROR(IF(BetTable[Sport]="","",BetTable[R1]/BetTable[TS]),"")</f>
        <v>0.90900000000000003</v>
      </c>
      <c r="AD819" s="165" t="str">
        <f>IF(BetTable[O2]="","",#REF!/BetTable[TS])</f>
        <v/>
      </c>
      <c r="AE819" s="165" t="str">
        <f>IFERROR(IF(BetTable[Sport]="","",#REF!/BetTable[TS]),"")</f>
        <v/>
      </c>
      <c r="AF819" s="164">
        <f>IF(BetTable[Outcome]="Win",BetTable[WBA1-Commission],IF(BetTable[Outcome]="Win Half Stake",(BetTable[Stake]/2)+BetTable[WBA1-Commission]/2,IF(BetTable[Outcome]="Lose Half Stake",BetTable[Stake]/2,IF(BetTable[Outcome]="Lose",0,IF(BetTable[Outcome]="Void",BetTable[Stake],)))))</f>
        <v>99.268000000000001</v>
      </c>
      <c r="AG819" s="164">
        <f>IF(BetTable[Outcome2]="Win",BetTable[WBA2-Commission],IF(BetTable[Outcome2]="Win Half Stake",(BetTable[S2]/2)+BetTable[WBA2-Commission]/2,IF(BetTable[Outcome2]="Lose Half Stake",BetTable[S2]/2,IF(BetTable[Outcome2]="Lose",0,IF(BetTable[Outcome2]="Void",BetTable[S2],)))))</f>
        <v>0</v>
      </c>
      <c r="AH819" s="164">
        <f>IF(BetTable[Outcome3]="Win",BetTable[WBA3-Commission],IF(BetTable[Outcome3]="Win Half Stake",(BetTable[S3]/2)+BetTable[WBA3-Commission]/2,IF(BetTable[Outcome3]="Lose Half Stake",BetTable[S3]/2,IF(BetTable[Outcome3]="Lose",0,IF(BetTable[Outcome3]="Void",BetTable[S3],)))))</f>
        <v>0</v>
      </c>
      <c r="AI819" s="168">
        <f>IF(BetTable[Outcome]="",AI818,BetTable[Result]+AI818)</f>
        <v>1678.874250000001</v>
      </c>
      <c r="AJ819" s="160"/>
    </row>
    <row r="820" spans="1:36" x14ac:dyDescent="0.2">
      <c r="A820" s="159" t="s">
        <v>2094</v>
      </c>
      <c r="B820" s="160" t="s">
        <v>9</v>
      </c>
      <c r="C820" s="161" t="s">
        <v>216</v>
      </c>
      <c r="D820" s="161"/>
      <c r="E820" s="161"/>
      <c r="F820" s="162"/>
      <c r="G820" s="162"/>
      <c r="H820" s="162"/>
      <c r="I820" s="160" t="s">
        <v>2163</v>
      </c>
      <c r="J820" s="163">
        <v>2</v>
      </c>
      <c r="K820" s="163"/>
      <c r="L820" s="163"/>
      <c r="M820" s="164">
        <v>50</v>
      </c>
      <c r="N820" s="164"/>
      <c r="O820" s="164"/>
      <c r="P820" s="159" t="s">
        <v>791</v>
      </c>
      <c r="Q820" s="159" t="s">
        <v>1379</v>
      </c>
      <c r="R820" s="159" t="s">
        <v>2164</v>
      </c>
      <c r="S820" s="165">
        <v>3.8426809095990902E-2</v>
      </c>
      <c r="T820" s="166" t="s">
        <v>372</v>
      </c>
      <c r="U820" s="166"/>
      <c r="V820" s="166"/>
      <c r="W820" s="167">
        <f>IF(BetTable[Sport]="","",BetTable[Stake]+BetTable[S2]+BetTable[S3])</f>
        <v>50</v>
      </c>
      <c r="X820" s="164">
        <f>IF(BetTable[Odds]="","",(BetTable[WBA1-Commission])-BetTable[TS])</f>
        <v>50</v>
      </c>
      <c r="Y820" s="168">
        <f>IF(BetTable[Outcome]="","",BetTable[WBA1]+BetTable[WBA2]+BetTable[WBA3]-BetTable[TS])</f>
        <v>50</v>
      </c>
      <c r="Z820" s="164">
        <f>(((BetTable[Odds]-1)*BetTable[Stake])*(1-(BetTable[Comm %]))+BetTable[Stake])</f>
        <v>100</v>
      </c>
      <c r="AA820" s="164">
        <f>(((BetTable[O2]-1)*BetTable[S2])*(1-(BetTable[C% 2]))+BetTable[S2])</f>
        <v>0</v>
      </c>
      <c r="AB820" s="164">
        <f>(((BetTable[O3]-1)*BetTable[S3])*(1-(BetTable[C% 3]))+BetTable[S3])</f>
        <v>0</v>
      </c>
      <c r="AC820" s="165">
        <f>IFERROR(IF(BetTable[Sport]="","",BetTable[R1]/BetTable[TS]),"")</f>
        <v>1</v>
      </c>
      <c r="AD820" s="165" t="str">
        <f>IF(BetTable[O2]="","",#REF!/BetTable[TS])</f>
        <v/>
      </c>
      <c r="AE820" s="165" t="str">
        <f>IFERROR(IF(BetTable[Sport]="","",#REF!/BetTable[TS]),"")</f>
        <v/>
      </c>
      <c r="AF820" s="164">
        <f>IF(BetTable[Outcome]="Win",BetTable[WBA1-Commission],IF(BetTable[Outcome]="Win Half Stake",(BetTable[Stake]/2)+BetTable[WBA1-Commission]/2,IF(BetTable[Outcome]="Lose Half Stake",BetTable[Stake]/2,IF(BetTable[Outcome]="Lose",0,IF(BetTable[Outcome]="Void",BetTable[Stake],)))))</f>
        <v>100</v>
      </c>
      <c r="AG820" s="164">
        <f>IF(BetTable[Outcome2]="Win",BetTable[WBA2-Commission],IF(BetTable[Outcome2]="Win Half Stake",(BetTable[S2]/2)+BetTable[WBA2-Commission]/2,IF(BetTable[Outcome2]="Lose Half Stake",BetTable[S2]/2,IF(BetTable[Outcome2]="Lose",0,IF(BetTable[Outcome2]="Void",BetTable[S2],)))))</f>
        <v>0</v>
      </c>
      <c r="AH820" s="164">
        <f>IF(BetTable[Outcome3]="Win",BetTable[WBA3-Commission],IF(BetTable[Outcome3]="Win Half Stake",(BetTable[S3]/2)+BetTable[WBA3-Commission]/2,IF(BetTable[Outcome3]="Lose Half Stake",BetTable[S3]/2,IF(BetTable[Outcome3]="Lose",0,IF(BetTable[Outcome3]="Void",BetTable[S3],)))))</f>
        <v>0</v>
      </c>
      <c r="AI820" s="168">
        <f>IF(BetTable[Outcome]="",AI819,BetTable[Result]+AI819)</f>
        <v>1728.874250000001</v>
      </c>
      <c r="AJ820" s="160"/>
    </row>
    <row r="821" spans="1:36" x14ac:dyDescent="0.2">
      <c r="A821" s="159" t="s">
        <v>2094</v>
      </c>
      <c r="B821" s="160" t="s">
        <v>7</v>
      </c>
      <c r="C821" s="161" t="s">
        <v>216</v>
      </c>
      <c r="D821" s="161"/>
      <c r="E821" s="161"/>
      <c r="F821" s="162"/>
      <c r="G821" s="162"/>
      <c r="H821" s="162"/>
      <c r="I821" s="160" t="s">
        <v>2165</v>
      </c>
      <c r="J821" s="163">
        <v>1.87</v>
      </c>
      <c r="K821" s="163"/>
      <c r="L821" s="163"/>
      <c r="M821" s="164">
        <v>28</v>
      </c>
      <c r="N821" s="164"/>
      <c r="O821" s="164"/>
      <c r="P821" s="159" t="s">
        <v>2166</v>
      </c>
      <c r="Q821" s="159" t="s">
        <v>968</v>
      </c>
      <c r="R821" s="159" t="s">
        <v>2167</v>
      </c>
      <c r="S821" s="165">
        <v>5.11575735869386E-2</v>
      </c>
      <c r="T821" s="166" t="s">
        <v>372</v>
      </c>
      <c r="U821" s="166"/>
      <c r="V821" s="166"/>
      <c r="W821" s="167">
        <f>IF(BetTable[Sport]="","",BetTable[Stake]+BetTable[S2]+BetTable[S3])</f>
        <v>28</v>
      </c>
      <c r="X821" s="164">
        <f>IF(BetTable[Odds]="","",(BetTable[WBA1-Commission])-BetTable[TS])</f>
        <v>24.36</v>
      </c>
      <c r="Y821" s="168">
        <f>IF(BetTable[Outcome]="","",BetTable[WBA1]+BetTable[WBA2]+BetTable[WBA3]-BetTable[TS])</f>
        <v>24.36</v>
      </c>
      <c r="Z821" s="164">
        <f>(((BetTable[Odds]-1)*BetTable[Stake])*(1-(BetTable[Comm %]))+BetTable[Stake])</f>
        <v>52.36</v>
      </c>
      <c r="AA821" s="164">
        <f>(((BetTable[O2]-1)*BetTable[S2])*(1-(BetTable[C% 2]))+BetTable[S2])</f>
        <v>0</v>
      </c>
      <c r="AB821" s="164">
        <f>(((BetTable[O3]-1)*BetTable[S3])*(1-(BetTable[C% 3]))+BetTable[S3])</f>
        <v>0</v>
      </c>
      <c r="AC821" s="165">
        <f>IFERROR(IF(BetTable[Sport]="","",BetTable[R1]/BetTable[TS]),"")</f>
        <v>0.87</v>
      </c>
      <c r="AD821" s="165" t="str">
        <f>IF(BetTable[O2]="","",#REF!/BetTable[TS])</f>
        <v/>
      </c>
      <c r="AE821" s="165" t="str">
        <f>IFERROR(IF(BetTable[Sport]="","",#REF!/BetTable[TS]),"")</f>
        <v/>
      </c>
      <c r="AF821" s="164">
        <f>IF(BetTable[Outcome]="Win",BetTable[WBA1-Commission],IF(BetTable[Outcome]="Win Half Stake",(BetTable[Stake]/2)+BetTable[WBA1-Commission]/2,IF(BetTable[Outcome]="Lose Half Stake",BetTable[Stake]/2,IF(BetTable[Outcome]="Lose",0,IF(BetTable[Outcome]="Void",BetTable[Stake],)))))</f>
        <v>52.36</v>
      </c>
      <c r="AG821" s="164">
        <f>IF(BetTable[Outcome2]="Win",BetTable[WBA2-Commission],IF(BetTable[Outcome2]="Win Half Stake",(BetTable[S2]/2)+BetTable[WBA2-Commission]/2,IF(BetTable[Outcome2]="Lose Half Stake",BetTable[S2]/2,IF(BetTable[Outcome2]="Lose",0,IF(BetTable[Outcome2]="Void",BetTable[S2],)))))</f>
        <v>0</v>
      </c>
      <c r="AH821" s="164">
        <f>IF(BetTable[Outcome3]="Win",BetTable[WBA3-Commission],IF(BetTable[Outcome3]="Win Half Stake",(BetTable[S3]/2)+BetTable[WBA3-Commission]/2,IF(BetTable[Outcome3]="Lose Half Stake",BetTable[S3]/2,IF(BetTable[Outcome3]="Lose",0,IF(BetTable[Outcome3]="Void",BetTable[S3],)))))</f>
        <v>0</v>
      </c>
      <c r="AI821" s="168">
        <f>IF(BetTable[Outcome]="",AI820,BetTable[Result]+AI820)</f>
        <v>1753.2342500000009</v>
      </c>
      <c r="AJ821" s="160"/>
    </row>
    <row r="822" spans="1:36" x14ac:dyDescent="0.2">
      <c r="A822" s="159" t="s">
        <v>2094</v>
      </c>
      <c r="B822" s="160" t="s">
        <v>7</v>
      </c>
      <c r="C822" s="161" t="s">
        <v>216</v>
      </c>
      <c r="D822" s="161"/>
      <c r="E822" s="161"/>
      <c r="F822" s="162"/>
      <c r="G822" s="162"/>
      <c r="H822" s="162"/>
      <c r="I822" s="160" t="s">
        <v>2168</v>
      </c>
      <c r="J822" s="163">
        <v>1.909</v>
      </c>
      <c r="K822" s="163"/>
      <c r="L822" s="163"/>
      <c r="M822" s="164">
        <v>45</v>
      </c>
      <c r="N822" s="164"/>
      <c r="O822" s="164"/>
      <c r="P822" s="159" t="s">
        <v>1153</v>
      </c>
      <c r="Q822" s="159" t="s">
        <v>2169</v>
      </c>
      <c r="R822" s="159" t="s">
        <v>2170</v>
      </c>
      <c r="S822" s="165">
        <v>7.0104799001796697E-2</v>
      </c>
      <c r="T822" s="166" t="s">
        <v>372</v>
      </c>
      <c r="U822" s="166"/>
      <c r="V822" s="166"/>
      <c r="W822" s="167">
        <f>IF(BetTable[Sport]="","",BetTable[Stake]+BetTable[S2]+BetTable[S3])</f>
        <v>45</v>
      </c>
      <c r="X822" s="164">
        <f>IF(BetTable[Odds]="","",(BetTable[WBA1-Commission])-BetTable[TS])</f>
        <v>40.905000000000001</v>
      </c>
      <c r="Y822" s="168">
        <f>IF(BetTable[Outcome]="","",BetTable[WBA1]+BetTable[WBA2]+BetTable[WBA3]-BetTable[TS])</f>
        <v>40.905000000000001</v>
      </c>
      <c r="Z822" s="164">
        <f>(((BetTable[Odds]-1)*BetTable[Stake])*(1-(BetTable[Comm %]))+BetTable[Stake])</f>
        <v>85.905000000000001</v>
      </c>
      <c r="AA822" s="164">
        <f>(((BetTable[O2]-1)*BetTable[S2])*(1-(BetTable[C% 2]))+BetTable[S2])</f>
        <v>0</v>
      </c>
      <c r="AB822" s="164">
        <f>(((BetTable[O3]-1)*BetTable[S3])*(1-(BetTable[C% 3]))+BetTable[S3])</f>
        <v>0</v>
      </c>
      <c r="AC822" s="165">
        <f>IFERROR(IF(BetTable[Sport]="","",BetTable[R1]/BetTable[TS]),"")</f>
        <v>0.90900000000000003</v>
      </c>
      <c r="AD822" s="165" t="str">
        <f>IF(BetTable[O2]="","",#REF!/BetTable[TS])</f>
        <v/>
      </c>
      <c r="AE822" s="165" t="str">
        <f>IFERROR(IF(BetTable[Sport]="","",#REF!/BetTable[TS]),"")</f>
        <v/>
      </c>
      <c r="AF822" s="164">
        <f>IF(BetTable[Outcome]="Win",BetTable[WBA1-Commission],IF(BetTable[Outcome]="Win Half Stake",(BetTable[Stake]/2)+BetTable[WBA1-Commission]/2,IF(BetTable[Outcome]="Lose Half Stake",BetTable[Stake]/2,IF(BetTable[Outcome]="Lose",0,IF(BetTable[Outcome]="Void",BetTable[Stake],)))))</f>
        <v>85.905000000000001</v>
      </c>
      <c r="AG822" s="164">
        <f>IF(BetTable[Outcome2]="Win",BetTable[WBA2-Commission],IF(BetTable[Outcome2]="Win Half Stake",(BetTable[S2]/2)+BetTable[WBA2-Commission]/2,IF(BetTable[Outcome2]="Lose Half Stake",BetTable[S2]/2,IF(BetTable[Outcome2]="Lose",0,IF(BetTable[Outcome2]="Void",BetTable[S2],)))))</f>
        <v>0</v>
      </c>
      <c r="AH822" s="164">
        <f>IF(BetTable[Outcome3]="Win",BetTable[WBA3-Commission],IF(BetTable[Outcome3]="Win Half Stake",(BetTable[S3]/2)+BetTable[WBA3-Commission]/2,IF(BetTable[Outcome3]="Lose Half Stake",BetTable[S3]/2,IF(BetTable[Outcome3]="Lose",0,IF(BetTable[Outcome3]="Void",BetTable[S3],)))))</f>
        <v>0</v>
      </c>
      <c r="AI822" s="168">
        <f>IF(BetTable[Outcome]="",AI821,BetTable[Result]+AI821)</f>
        <v>1794.1392500000009</v>
      </c>
      <c r="AJ822" s="160"/>
    </row>
    <row r="823" spans="1:36" x14ac:dyDescent="0.2">
      <c r="A823" s="159" t="s">
        <v>2094</v>
      </c>
      <c r="B823" s="160" t="s">
        <v>200</v>
      </c>
      <c r="C823" s="161" t="s">
        <v>1714</v>
      </c>
      <c r="D823" s="161"/>
      <c r="E823" s="161"/>
      <c r="F823" s="162"/>
      <c r="G823" s="162"/>
      <c r="H823" s="162"/>
      <c r="I823" s="160" t="s">
        <v>2171</v>
      </c>
      <c r="J823" s="163">
        <v>1.7</v>
      </c>
      <c r="K823" s="163"/>
      <c r="L823" s="163"/>
      <c r="M823" s="164">
        <v>75</v>
      </c>
      <c r="N823" s="164"/>
      <c r="O823" s="164"/>
      <c r="P823" s="159" t="s">
        <v>368</v>
      </c>
      <c r="Q823" s="159" t="s">
        <v>439</v>
      </c>
      <c r="R823" s="159" t="s">
        <v>2172</v>
      </c>
      <c r="S823" s="165">
        <v>3.3774887863435403E-2</v>
      </c>
      <c r="T823" s="166" t="s">
        <v>382</v>
      </c>
      <c r="U823" s="166"/>
      <c r="V823" s="166"/>
      <c r="W823" s="167">
        <f>IF(BetTable[Sport]="","",BetTable[Stake]+BetTable[S2]+BetTable[S3])</f>
        <v>75</v>
      </c>
      <c r="X823" s="164">
        <f>IF(BetTable[Odds]="","",(BetTable[WBA1-Commission])-BetTable[TS])</f>
        <v>52.5</v>
      </c>
      <c r="Y823" s="168">
        <f>IF(BetTable[Outcome]="","",BetTable[WBA1]+BetTable[WBA2]+BetTable[WBA3]-BetTable[TS])</f>
        <v>-75</v>
      </c>
      <c r="Z823" s="164">
        <f>(((BetTable[Odds]-1)*BetTable[Stake])*(1-(BetTable[Comm %]))+BetTable[Stake])</f>
        <v>127.5</v>
      </c>
      <c r="AA823" s="164">
        <f>(((BetTable[O2]-1)*BetTable[S2])*(1-(BetTable[C% 2]))+BetTable[S2])</f>
        <v>0</v>
      </c>
      <c r="AB823" s="164">
        <f>(((BetTable[O3]-1)*BetTable[S3])*(1-(BetTable[C% 3]))+BetTable[S3])</f>
        <v>0</v>
      </c>
      <c r="AC823" s="165">
        <f>IFERROR(IF(BetTable[Sport]="","",BetTable[R1]/BetTable[TS]),"")</f>
        <v>0.7</v>
      </c>
      <c r="AD823" s="165" t="str">
        <f>IF(BetTable[O2]="","",#REF!/BetTable[TS])</f>
        <v/>
      </c>
      <c r="AE823" s="165" t="str">
        <f>IFERROR(IF(BetTable[Sport]="","",#REF!/BetTable[TS]),"")</f>
        <v/>
      </c>
      <c r="AF823" s="164">
        <f>IF(BetTable[Outcome]="Win",BetTable[WBA1-Commission],IF(BetTable[Outcome]="Win Half Stake",(BetTable[Stake]/2)+BetTable[WBA1-Commission]/2,IF(BetTable[Outcome]="Lose Half Stake",BetTable[Stake]/2,IF(BetTable[Outcome]="Lose",0,IF(BetTable[Outcome]="Void",BetTable[Stake],)))))</f>
        <v>0</v>
      </c>
      <c r="AG823" s="164">
        <f>IF(BetTable[Outcome2]="Win",BetTable[WBA2-Commission],IF(BetTable[Outcome2]="Win Half Stake",(BetTable[S2]/2)+BetTable[WBA2-Commission]/2,IF(BetTable[Outcome2]="Lose Half Stake",BetTable[S2]/2,IF(BetTable[Outcome2]="Lose",0,IF(BetTable[Outcome2]="Void",BetTable[S2],)))))</f>
        <v>0</v>
      </c>
      <c r="AH823" s="164">
        <f>IF(BetTable[Outcome3]="Win",BetTable[WBA3-Commission],IF(BetTable[Outcome3]="Win Half Stake",(BetTable[S3]/2)+BetTable[WBA3-Commission]/2,IF(BetTable[Outcome3]="Lose Half Stake",BetTable[S3]/2,IF(BetTable[Outcome3]="Lose",0,IF(BetTable[Outcome3]="Void",BetTable[S3],)))))</f>
        <v>0</v>
      </c>
      <c r="AI823" s="168">
        <f>IF(BetTable[Outcome]="",AI822,BetTable[Result]+AI822)</f>
        <v>1719.1392500000009</v>
      </c>
      <c r="AJ823" s="160"/>
    </row>
    <row r="824" spans="1:36" x14ac:dyDescent="0.2">
      <c r="A824" s="159" t="s">
        <v>2094</v>
      </c>
      <c r="B824" s="160" t="s">
        <v>200</v>
      </c>
      <c r="C824" s="161" t="s">
        <v>1714</v>
      </c>
      <c r="D824" s="161"/>
      <c r="E824" s="161"/>
      <c r="F824" s="162"/>
      <c r="G824" s="162"/>
      <c r="H824" s="162"/>
      <c r="I824" s="160" t="s">
        <v>2173</v>
      </c>
      <c r="J824" s="163">
        <v>1.65</v>
      </c>
      <c r="K824" s="163"/>
      <c r="L824" s="163"/>
      <c r="M824" s="164">
        <v>45</v>
      </c>
      <c r="N824" s="164"/>
      <c r="O824" s="164"/>
      <c r="P824" s="159" t="s">
        <v>652</v>
      </c>
      <c r="Q824" s="159" t="s">
        <v>439</v>
      </c>
      <c r="R824" s="159" t="s">
        <v>2174</v>
      </c>
      <c r="S824" s="165">
        <v>1.8793329250175898E-2</v>
      </c>
      <c r="T824" s="166" t="s">
        <v>372</v>
      </c>
      <c r="U824" s="166"/>
      <c r="V824" s="166"/>
      <c r="W824" s="167">
        <f>IF(BetTable[Sport]="","",BetTable[Stake]+BetTable[S2]+BetTable[S3])</f>
        <v>45</v>
      </c>
      <c r="X824" s="164">
        <f>IF(BetTable[Odds]="","",(BetTable[WBA1-Commission])-BetTable[TS])</f>
        <v>29.25</v>
      </c>
      <c r="Y824" s="168">
        <f>IF(BetTable[Outcome]="","",BetTable[WBA1]+BetTable[WBA2]+BetTable[WBA3]-BetTable[TS])</f>
        <v>29.25</v>
      </c>
      <c r="Z824" s="164">
        <f>(((BetTable[Odds]-1)*BetTable[Stake])*(1-(BetTable[Comm %]))+BetTable[Stake])</f>
        <v>74.25</v>
      </c>
      <c r="AA824" s="164">
        <f>(((BetTable[O2]-1)*BetTable[S2])*(1-(BetTable[C% 2]))+BetTable[S2])</f>
        <v>0</v>
      </c>
      <c r="AB824" s="164">
        <f>(((BetTable[O3]-1)*BetTable[S3])*(1-(BetTable[C% 3]))+BetTable[S3])</f>
        <v>0</v>
      </c>
      <c r="AC824" s="165">
        <f>IFERROR(IF(BetTable[Sport]="","",BetTable[R1]/BetTable[TS]),"")</f>
        <v>0.65</v>
      </c>
      <c r="AD824" s="165" t="str">
        <f>IF(BetTable[O2]="","",#REF!/BetTable[TS])</f>
        <v/>
      </c>
      <c r="AE824" s="165" t="str">
        <f>IFERROR(IF(BetTable[Sport]="","",#REF!/BetTable[TS]),"")</f>
        <v/>
      </c>
      <c r="AF824" s="164">
        <f>IF(BetTable[Outcome]="Win",BetTable[WBA1-Commission],IF(BetTable[Outcome]="Win Half Stake",(BetTable[Stake]/2)+BetTable[WBA1-Commission]/2,IF(BetTable[Outcome]="Lose Half Stake",BetTable[Stake]/2,IF(BetTable[Outcome]="Lose",0,IF(BetTable[Outcome]="Void",BetTable[Stake],)))))</f>
        <v>74.25</v>
      </c>
      <c r="AG824" s="164">
        <f>IF(BetTable[Outcome2]="Win",BetTable[WBA2-Commission],IF(BetTable[Outcome2]="Win Half Stake",(BetTable[S2]/2)+BetTable[WBA2-Commission]/2,IF(BetTable[Outcome2]="Lose Half Stake",BetTable[S2]/2,IF(BetTable[Outcome2]="Lose",0,IF(BetTable[Outcome2]="Void",BetTable[S2],)))))</f>
        <v>0</v>
      </c>
      <c r="AH824" s="164">
        <f>IF(BetTable[Outcome3]="Win",BetTable[WBA3-Commission],IF(BetTable[Outcome3]="Win Half Stake",(BetTable[S3]/2)+BetTable[WBA3-Commission]/2,IF(BetTable[Outcome3]="Lose Half Stake",BetTable[S3]/2,IF(BetTable[Outcome3]="Lose",0,IF(BetTable[Outcome3]="Void",BetTable[S3],)))))</f>
        <v>0</v>
      </c>
      <c r="AI824" s="168">
        <f>IF(BetTable[Outcome]="",AI823,BetTable[Result]+AI823)</f>
        <v>1748.3892500000009</v>
      </c>
      <c r="AJ824" s="160"/>
    </row>
    <row r="825" spans="1:36" x14ac:dyDescent="0.2">
      <c r="A825" s="159" t="s">
        <v>2094</v>
      </c>
      <c r="B825" s="160" t="s">
        <v>200</v>
      </c>
      <c r="C825" s="161" t="s">
        <v>1714</v>
      </c>
      <c r="D825" s="161"/>
      <c r="E825" s="161"/>
      <c r="F825" s="162"/>
      <c r="G825" s="162"/>
      <c r="H825" s="162"/>
      <c r="I825" s="160" t="s">
        <v>2175</v>
      </c>
      <c r="J825" s="163">
        <v>1.67</v>
      </c>
      <c r="K825" s="163"/>
      <c r="L825" s="163"/>
      <c r="M825" s="164">
        <v>52</v>
      </c>
      <c r="N825" s="164"/>
      <c r="O825" s="164"/>
      <c r="P825" s="159" t="s">
        <v>409</v>
      </c>
      <c r="Q825" s="159" t="s">
        <v>703</v>
      </c>
      <c r="R825" s="159" t="s">
        <v>2176</v>
      </c>
      <c r="S825" s="165">
        <v>2.2449469143858501E-2</v>
      </c>
      <c r="T825" s="166" t="s">
        <v>510</v>
      </c>
      <c r="U825" s="166"/>
      <c r="V825" s="166"/>
      <c r="W825" s="167">
        <f>IF(BetTable[Sport]="","",BetTable[Stake]+BetTable[S2]+BetTable[S3])</f>
        <v>52</v>
      </c>
      <c r="X825" s="164">
        <f>IF(BetTable[Odds]="","",(BetTable[WBA1-Commission])-BetTable[TS])</f>
        <v>34.840000000000003</v>
      </c>
      <c r="Y825" s="168">
        <f>IF(BetTable[Outcome]="","",BetTable[WBA1]+BetTable[WBA2]+BetTable[WBA3]-BetTable[TS])</f>
        <v>17.420000000000002</v>
      </c>
      <c r="Z825" s="164">
        <f>(((BetTable[Odds]-1)*BetTable[Stake])*(1-(BetTable[Comm %]))+BetTable[Stake])</f>
        <v>86.84</v>
      </c>
      <c r="AA825" s="164">
        <f>(((BetTable[O2]-1)*BetTable[S2])*(1-(BetTable[C% 2]))+BetTable[S2])</f>
        <v>0</v>
      </c>
      <c r="AB825" s="164">
        <f>(((BetTable[O3]-1)*BetTable[S3])*(1-(BetTable[C% 3]))+BetTable[S3])</f>
        <v>0</v>
      </c>
      <c r="AC825" s="165">
        <f>IFERROR(IF(BetTable[Sport]="","",BetTable[R1]/BetTable[TS]),"")</f>
        <v>0.67</v>
      </c>
      <c r="AD825" s="165" t="str">
        <f>IF(BetTable[O2]="","",#REF!/BetTable[TS])</f>
        <v/>
      </c>
      <c r="AE825" s="165" t="str">
        <f>IFERROR(IF(BetTable[Sport]="","",#REF!/BetTable[TS]),"")</f>
        <v/>
      </c>
      <c r="AF825" s="164">
        <f>IF(BetTable[Outcome]="Win",BetTable[WBA1-Commission],IF(BetTable[Outcome]="Win Half Stake",(BetTable[Stake]/2)+BetTable[WBA1-Commission]/2,IF(BetTable[Outcome]="Lose Half Stake",BetTable[Stake]/2,IF(BetTable[Outcome]="Lose",0,IF(BetTable[Outcome]="Void",BetTable[Stake],)))))</f>
        <v>69.42</v>
      </c>
      <c r="AG825" s="164">
        <f>IF(BetTable[Outcome2]="Win",BetTable[WBA2-Commission],IF(BetTable[Outcome2]="Win Half Stake",(BetTable[S2]/2)+BetTable[WBA2-Commission]/2,IF(BetTable[Outcome2]="Lose Half Stake",BetTable[S2]/2,IF(BetTable[Outcome2]="Lose",0,IF(BetTable[Outcome2]="Void",BetTable[S2],)))))</f>
        <v>0</v>
      </c>
      <c r="AH825" s="164">
        <f>IF(BetTable[Outcome3]="Win",BetTable[WBA3-Commission],IF(BetTable[Outcome3]="Win Half Stake",(BetTable[S3]/2)+BetTable[WBA3-Commission]/2,IF(BetTable[Outcome3]="Lose Half Stake",BetTable[S3]/2,IF(BetTable[Outcome3]="Lose",0,IF(BetTable[Outcome3]="Void",BetTable[S3],)))))</f>
        <v>0</v>
      </c>
      <c r="AI825" s="168">
        <f>IF(BetTable[Outcome]="",AI824,BetTable[Result]+AI824)</f>
        <v>1765.8092500000009</v>
      </c>
      <c r="AJ825" s="160"/>
    </row>
    <row r="826" spans="1:36" x14ac:dyDescent="0.2">
      <c r="A826" s="159" t="s">
        <v>2094</v>
      </c>
      <c r="B826" s="160" t="s">
        <v>200</v>
      </c>
      <c r="C826" s="161" t="s">
        <v>1714</v>
      </c>
      <c r="D826" s="161"/>
      <c r="E826" s="161"/>
      <c r="F826" s="162"/>
      <c r="G826" s="162"/>
      <c r="H826" s="162"/>
      <c r="I826" s="160" t="s">
        <v>2177</v>
      </c>
      <c r="J826" s="163">
        <v>1.78</v>
      </c>
      <c r="K826" s="163"/>
      <c r="L826" s="163"/>
      <c r="M826" s="164">
        <v>49</v>
      </c>
      <c r="N826" s="164"/>
      <c r="O826" s="164"/>
      <c r="P826" s="159" t="s">
        <v>1345</v>
      </c>
      <c r="Q826" s="159" t="s">
        <v>703</v>
      </c>
      <c r="R826" s="159" t="s">
        <v>2178</v>
      </c>
      <c r="S826" s="165">
        <v>2.4662704344084799E-2</v>
      </c>
      <c r="T826" s="166" t="s">
        <v>549</v>
      </c>
      <c r="U826" s="166"/>
      <c r="V826" s="166"/>
      <c r="W826" s="167">
        <f>IF(BetTable[Sport]="","",BetTable[Stake]+BetTable[S2]+BetTable[S3])</f>
        <v>49</v>
      </c>
      <c r="X826" s="164">
        <f>IF(BetTable[Odds]="","",(BetTable[WBA1-Commission])-BetTable[TS])</f>
        <v>38.22</v>
      </c>
      <c r="Y826" s="168">
        <f>IF(BetTable[Outcome]="","",BetTable[WBA1]+BetTable[WBA2]+BetTable[WBA3]-BetTable[TS])</f>
        <v>-24.5</v>
      </c>
      <c r="Z826" s="164">
        <f>(((BetTable[Odds]-1)*BetTable[Stake])*(1-(BetTable[Comm %]))+BetTable[Stake])</f>
        <v>87.22</v>
      </c>
      <c r="AA826" s="164">
        <f>(((BetTable[O2]-1)*BetTable[S2])*(1-(BetTable[C% 2]))+BetTable[S2])</f>
        <v>0</v>
      </c>
      <c r="AB826" s="164">
        <f>(((BetTable[O3]-1)*BetTable[S3])*(1-(BetTable[C% 3]))+BetTable[S3])</f>
        <v>0</v>
      </c>
      <c r="AC826" s="165">
        <f>IFERROR(IF(BetTable[Sport]="","",BetTable[R1]/BetTable[TS]),"")</f>
        <v>0.78</v>
      </c>
      <c r="AD826" s="165" t="str">
        <f>IF(BetTable[O2]="","",#REF!/BetTable[TS])</f>
        <v/>
      </c>
      <c r="AE826" s="165" t="str">
        <f>IFERROR(IF(BetTable[Sport]="","",#REF!/BetTable[TS]),"")</f>
        <v/>
      </c>
      <c r="AF826" s="164">
        <f>IF(BetTable[Outcome]="Win",BetTable[WBA1-Commission],IF(BetTable[Outcome]="Win Half Stake",(BetTable[Stake]/2)+BetTable[WBA1-Commission]/2,IF(BetTable[Outcome]="Lose Half Stake",BetTable[Stake]/2,IF(BetTable[Outcome]="Lose",0,IF(BetTable[Outcome]="Void",BetTable[Stake],)))))</f>
        <v>24.5</v>
      </c>
      <c r="AG826" s="164">
        <f>IF(BetTable[Outcome2]="Win",BetTable[WBA2-Commission],IF(BetTable[Outcome2]="Win Half Stake",(BetTable[S2]/2)+BetTable[WBA2-Commission]/2,IF(BetTable[Outcome2]="Lose Half Stake",BetTable[S2]/2,IF(BetTable[Outcome2]="Lose",0,IF(BetTable[Outcome2]="Void",BetTable[S2],)))))</f>
        <v>0</v>
      </c>
      <c r="AH826" s="164">
        <f>IF(BetTable[Outcome3]="Win",BetTable[WBA3-Commission],IF(BetTable[Outcome3]="Win Half Stake",(BetTable[S3]/2)+BetTable[WBA3-Commission]/2,IF(BetTable[Outcome3]="Lose Half Stake",BetTable[S3]/2,IF(BetTable[Outcome3]="Lose",0,IF(BetTable[Outcome3]="Void",BetTable[S3],)))))</f>
        <v>0</v>
      </c>
      <c r="AI826" s="168">
        <f>IF(BetTable[Outcome]="",AI825,BetTable[Result]+AI825)</f>
        <v>1741.3092500000009</v>
      </c>
      <c r="AJ826" s="160"/>
    </row>
    <row r="827" spans="1:36" x14ac:dyDescent="0.2">
      <c r="A827" s="159" t="s">
        <v>2094</v>
      </c>
      <c r="B827" s="160" t="s">
        <v>200</v>
      </c>
      <c r="C827" s="161" t="s">
        <v>1714</v>
      </c>
      <c r="D827" s="161"/>
      <c r="E827" s="161"/>
      <c r="F827" s="162"/>
      <c r="G827" s="162"/>
      <c r="H827" s="162"/>
      <c r="I827" s="160" t="s">
        <v>2175</v>
      </c>
      <c r="J827" s="163">
        <v>1.86</v>
      </c>
      <c r="K827" s="163"/>
      <c r="L827" s="163"/>
      <c r="M827" s="164">
        <v>44</v>
      </c>
      <c r="N827" s="164"/>
      <c r="O827" s="164"/>
      <c r="P827" s="159" t="s">
        <v>448</v>
      </c>
      <c r="Q827" s="159" t="s">
        <v>703</v>
      </c>
      <c r="R827" s="159" t="s">
        <v>2179</v>
      </c>
      <c r="S827" s="165">
        <v>2.45572145557405E-2</v>
      </c>
      <c r="T827" s="166" t="s">
        <v>382</v>
      </c>
      <c r="U827" s="166"/>
      <c r="V827" s="166"/>
      <c r="W827" s="167">
        <f>IF(BetTable[Sport]="","",BetTable[Stake]+BetTable[S2]+BetTable[S3])</f>
        <v>44</v>
      </c>
      <c r="X827" s="164">
        <f>IF(BetTable[Odds]="","",(BetTable[WBA1-Commission])-BetTable[TS])</f>
        <v>37.840000000000003</v>
      </c>
      <c r="Y827" s="168">
        <f>IF(BetTable[Outcome]="","",BetTable[WBA1]+BetTable[WBA2]+BetTable[WBA3]-BetTable[TS])</f>
        <v>-44</v>
      </c>
      <c r="Z827" s="164">
        <f>(((BetTable[Odds]-1)*BetTable[Stake])*(1-(BetTable[Comm %]))+BetTable[Stake])</f>
        <v>81.84</v>
      </c>
      <c r="AA827" s="164">
        <f>(((BetTable[O2]-1)*BetTable[S2])*(1-(BetTable[C% 2]))+BetTable[S2])</f>
        <v>0</v>
      </c>
      <c r="AB827" s="164">
        <f>(((BetTable[O3]-1)*BetTable[S3])*(1-(BetTable[C% 3]))+BetTable[S3])</f>
        <v>0</v>
      </c>
      <c r="AC827" s="165">
        <f>IFERROR(IF(BetTable[Sport]="","",BetTable[R1]/BetTable[TS]),"")</f>
        <v>0.8600000000000001</v>
      </c>
      <c r="AD827" s="165" t="str">
        <f>IF(BetTable[O2]="","",#REF!/BetTable[TS])</f>
        <v/>
      </c>
      <c r="AE827" s="165" t="str">
        <f>IFERROR(IF(BetTable[Sport]="","",#REF!/BetTable[TS]),"")</f>
        <v/>
      </c>
      <c r="AF827" s="164">
        <f>IF(BetTable[Outcome]="Win",BetTable[WBA1-Commission],IF(BetTable[Outcome]="Win Half Stake",(BetTable[Stake]/2)+BetTable[WBA1-Commission]/2,IF(BetTable[Outcome]="Lose Half Stake",BetTable[Stake]/2,IF(BetTable[Outcome]="Lose",0,IF(BetTable[Outcome]="Void",BetTable[Stake],)))))</f>
        <v>0</v>
      </c>
      <c r="AG827" s="164">
        <f>IF(BetTable[Outcome2]="Win",BetTable[WBA2-Commission],IF(BetTable[Outcome2]="Win Half Stake",(BetTable[S2]/2)+BetTable[WBA2-Commission]/2,IF(BetTable[Outcome2]="Lose Half Stake",BetTable[S2]/2,IF(BetTable[Outcome2]="Lose",0,IF(BetTable[Outcome2]="Void",BetTable[S2],)))))</f>
        <v>0</v>
      </c>
      <c r="AH827" s="164">
        <f>IF(BetTable[Outcome3]="Win",BetTable[WBA3-Commission],IF(BetTable[Outcome3]="Win Half Stake",(BetTable[S3]/2)+BetTable[WBA3-Commission]/2,IF(BetTable[Outcome3]="Lose Half Stake",BetTable[S3]/2,IF(BetTable[Outcome3]="Lose",0,IF(BetTable[Outcome3]="Void",BetTable[S3],)))))</f>
        <v>0</v>
      </c>
      <c r="AI827" s="168">
        <f>IF(BetTable[Outcome]="",AI826,BetTable[Result]+AI826)</f>
        <v>1697.3092500000009</v>
      </c>
      <c r="AJ827" s="160"/>
    </row>
    <row r="828" spans="1:36" x14ac:dyDescent="0.2">
      <c r="A828" s="159" t="s">
        <v>2094</v>
      </c>
      <c r="B828" s="160" t="s">
        <v>7</v>
      </c>
      <c r="C828" s="161" t="s">
        <v>1714</v>
      </c>
      <c r="D828" s="161"/>
      <c r="E828" s="161"/>
      <c r="F828" s="162"/>
      <c r="G828" s="162"/>
      <c r="H828" s="162"/>
      <c r="I828" s="160" t="s">
        <v>2180</v>
      </c>
      <c r="J828" s="163">
        <v>1.84</v>
      </c>
      <c r="K828" s="163"/>
      <c r="L828" s="163"/>
      <c r="M828" s="164">
        <v>37</v>
      </c>
      <c r="N828" s="164"/>
      <c r="O828" s="164"/>
      <c r="P828" s="159" t="s">
        <v>1617</v>
      </c>
      <c r="Q828" s="159" t="s">
        <v>488</v>
      </c>
      <c r="R828" s="159" t="s">
        <v>2181</v>
      </c>
      <c r="S828" s="165">
        <v>1.9888543347665599E-2</v>
      </c>
      <c r="T828" s="166" t="s">
        <v>382</v>
      </c>
      <c r="U828" s="166"/>
      <c r="V828" s="166"/>
      <c r="W828" s="167">
        <f>IF(BetTable[Sport]="","",BetTable[Stake]+BetTable[S2]+BetTable[S3])</f>
        <v>37</v>
      </c>
      <c r="X828" s="164">
        <f>IF(BetTable[Odds]="","",(BetTable[WBA1-Commission])-BetTable[TS])</f>
        <v>31.08</v>
      </c>
      <c r="Y828" s="168">
        <f>IF(BetTable[Outcome]="","",BetTable[WBA1]+BetTable[WBA2]+BetTable[WBA3]-BetTable[TS])</f>
        <v>-37</v>
      </c>
      <c r="Z828" s="164">
        <f>(((BetTable[Odds]-1)*BetTable[Stake])*(1-(BetTable[Comm %]))+BetTable[Stake])</f>
        <v>68.08</v>
      </c>
      <c r="AA828" s="164">
        <f>(((BetTable[O2]-1)*BetTable[S2])*(1-(BetTable[C% 2]))+BetTable[S2])</f>
        <v>0</v>
      </c>
      <c r="AB828" s="164">
        <f>(((BetTable[O3]-1)*BetTable[S3])*(1-(BetTable[C% 3]))+BetTable[S3])</f>
        <v>0</v>
      </c>
      <c r="AC828" s="165">
        <f>IFERROR(IF(BetTable[Sport]="","",BetTable[R1]/BetTable[TS]),"")</f>
        <v>0.84</v>
      </c>
      <c r="AD828" s="165" t="str">
        <f>IF(BetTable[O2]="","",#REF!/BetTable[TS])</f>
        <v/>
      </c>
      <c r="AE828" s="165" t="str">
        <f>IFERROR(IF(BetTable[Sport]="","",#REF!/BetTable[TS]),"")</f>
        <v/>
      </c>
      <c r="AF828" s="164">
        <f>IF(BetTable[Outcome]="Win",BetTable[WBA1-Commission],IF(BetTable[Outcome]="Win Half Stake",(BetTable[Stake]/2)+BetTable[WBA1-Commission]/2,IF(BetTable[Outcome]="Lose Half Stake",BetTable[Stake]/2,IF(BetTable[Outcome]="Lose",0,IF(BetTable[Outcome]="Void",BetTable[Stake],)))))</f>
        <v>0</v>
      </c>
      <c r="AG828" s="164">
        <f>IF(BetTable[Outcome2]="Win",BetTable[WBA2-Commission],IF(BetTable[Outcome2]="Win Half Stake",(BetTable[S2]/2)+BetTable[WBA2-Commission]/2,IF(BetTable[Outcome2]="Lose Half Stake",BetTable[S2]/2,IF(BetTable[Outcome2]="Lose",0,IF(BetTable[Outcome2]="Void",BetTable[S2],)))))</f>
        <v>0</v>
      </c>
      <c r="AH828" s="164">
        <f>IF(BetTable[Outcome3]="Win",BetTable[WBA3-Commission],IF(BetTable[Outcome3]="Win Half Stake",(BetTable[S3]/2)+BetTable[WBA3-Commission]/2,IF(BetTable[Outcome3]="Lose Half Stake",BetTable[S3]/2,IF(BetTable[Outcome3]="Lose",0,IF(BetTable[Outcome3]="Void",BetTable[S3],)))))</f>
        <v>0</v>
      </c>
      <c r="AI828" s="168">
        <f>IF(BetTable[Outcome]="",AI827,BetTable[Result]+AI827)</f>
        <v>1660.3092500000009</v>
      </c>
      <c r="AJ828" s="160"/>
    </row>
    <row r="829" spans="1:36" x14ac:dyDescent="0.2">
      <c r="A829" s="159" t="s">
        <v>2094</v>
      </c>
      <c r="B829" s="160" t="s">
        <v>200</v>
      </c>
      <c r="C829" s="161" t="s">
        <v>1714</v>
      </c>
      <c r="D829" s="161"/>
      <c r="E829" s="161"/>
      <c r="F829" s="162"/>
      <c r="G829" s="162"/>
      <c r="H829" s="162"/>
      <c r="I829" s="160" t="s">
        <v>2182</v>
      </c>
      <c r="J829" s="163">
        <v>1.49</v>
      </c>
      <c r="K829" s="163"/>
      <c r="L829" s="163"/>
      <c r="M829" s="164">
        <v>61</v>
      </c>
      <c r="N829" s="164"/>
      <c r="O829" s="164"/>
      <c r="P829" s="159" t="s">
        <v>435</v>
      </c>
      <c r="Q829" s="159" t="s">
        <v>839</v>
      </c>
      <c r="R829" s="159" t="s">
        <v>2183</v>
      </c>
      <c r="S829" s="165">
        <v>1.9230105627602599E-2</v>
      </c>
      <c r="T829" s="166" t="s">
        <v>372</v>
      </c>
      <c r="U829" s="166"/>
      <c r="V829" s="166"/>
      <c r="W829" s="167">
        <f>IF(BetTable[Sport]="","",BetTable[Stake]+BetTable[S2]+BetTable[S3])</f>
        <v>61</v>
      </c>
      <c r="X829" s="164">
        <f>IF(BetTable[Odds]="","",(BetTable[WBA1-Commission])-BetTable[TS])</f>
        <v>29.89</v>
      </c>
      <c r="Y829" s="168">
        <f>IF(BetTable[Outcome]="","",BetTable[WBA1]+BetTable[WBA2]+BetTable[WBA3]-BetTable[TS])</f>
        <v>29.89</v>
      </c>
      <c r="Z829" s="164">
        <f>(((BetTable[Odds]-1)*BetTable[Stake])*(1-(BetTable[Comm %]))+BetTable[Stake])</f>
        <v>90.89</v>
      </c>
      <c r="AA829" s="164">
        <f>(((BetTable[O2]-1)*BetTable[S2])*(1-(BetTable[C% 2]))+BetTable[S2])</f>
        <v>0</v>
      </c>
      <c r="AB829" s="164">
        <f>(((BetTable[O3]-1)*BetTable[S3])*(1-(BetTable[C% 3]))+BetTable[S3])</f>
        <v>0</v>
      </c>
      <c r="AC829" s="165">
        <f>IFERROR(IF(BetTable[Sport]="","",BetTable[R1]/BetTable[TS]),"")</f>
        <v>0.49</v>
      </c>
      <c r="AD829" s="165" t="str">
        <f>IF(BetTable[O2]="","",#REF!/BetTable[TS])</f>
        <v/>
      </c>
      <c r="AE829" s="165" t="str">
        <f>IFERROR(IF(BetTable[Sport]="","",#REF!/BetTable[TS]),"")</f>
        <v/>
      </c>
      <c r="AF829" s="164">
        <f>IF(BetTable[Outcome]="Win",BetTable[WBA1-Commission],IF(BetTable[Outcome]="Win Half Stake",(BetTable[Stake]/2)+BetTable[WBA1-Commission]/2,IF(BetTable[Outcome]="Lose Half Stake",BetTable[Stake]/2,IF(BetTable[Outcome]="Lose",0,IF(BetTable[Outcome]="Void",BetTable[Stake],)))))</f>
        <v>90.89</v>
      </c>
      <c r="AG829" s="164">
        <f>IF(BetTable[Outcome2]="Win",BetTable[WBA2-Commission],IF(BetTable[Outcome2]="Win Half Stake",(BetTable[S2]/2)+BetTable[WBA2-Commission]/2,IF(BetTable[Outcome2]="Lose Half Stake",BetTable[S2]/2,IF(BetTable[Outcome2]="Lose",0,IF(BetTable[Outcome2]="Void",BetTable[S2],)))))</f>
        <v>0</v>
      </c>
      <c r="AH829" s="164">
        <f>IF(BetTable[Outcome3]="Win",BetTable[WBA3-Commission],IF(BetTable[Outcome3]="Win Half Stake",(BetTable[S3]/2)+BetTable[WBA3-Commission]/2,IF(BetTable[Outcome3]="Lose Half Stake",BetTable[S3]/2,IF(BetTable[Outcome3]="Lose",0,IF(BetTable[Outcome3]="Void",BetTable[S3],)))))</f>
        <v>0</v>
      </c>
      <c r="AI829" s="168">
        <f>IF(BetTable[Outcome]="",AI828,BetTable[Result]+AI828)</f>
        <v>1690.199250000001</v>
      </c>
      <c r="AJ829" s="160"/>
    </row>
    <row r="830" spans="1:36" x14ac:dyDescent="0.2">
      <c r="A830" s="159" t="s">
        <v>2094</v>
      </c>
      <c r="B830" s="160" t="s">
        <v>200</v>
      </c>
      <c r="C830" s="161" t="s">
        <v>1714</v>
      </c>
      <c r="D830" s="161"/>
      <c r="E830" s="161"/>
      <c r="F830" s="162"/>
      <c r="G830" s="162"/>
      <c r="H830" s="162"/>
      <c r="I830" s="160" t="s">
        <v>2140</v>
      </c>
      <c r="J830" s="163">
        <v>2</v>
      </c>
      <c r="K830" s="163"/>
      <c r="L830" s="163"/>
      <c r="M830" s="164">
        <v>54</v>
      </c>
      <c r="N830" s="164"/>
      <c r="O830" s="164"/>
      <c r="P830" s="159" t="s">
        <v>2184</v>
      </c>
      <c r="Q830" s="159" t="s">
        <v>674</v>
      </c>
      <c r="R830" s="159" t="s">
        <v>2185</v>
      </c>
      <c r="S830" s="165">
        <v>3.4988085520499902E-2</v>
      </c>
      <c r="T830" s="166" t="s">
        <v>382</v>
      </c>
      <c r="U830" s="166"/>
      <c r="V830" s="166"/>
      <c r="W830" s="167">
        <f>IF(BetTable[Sport]="","",BetTable[Stake]+BetTable[S2]+BetTable[S3])</f>
        <v>54</v>
      </c>
      <c r="X830" s="164">
        <f>IF(BetTable[Odds]="","",(BetTable[WBA1-Commission])-BetTable[TS])</f>
        <v>54</v>
      </c>
      <c r="Y830" s="168">
        <f>IF(BetTable[Outcome]="","",BetTable[WBA1]+BetTable[WBA2]+BetTable[WBA3]-BetTable[TS])</f>
        <v>-54</v>
      </c>
      <c r="Z830" s="164">
        <f>(((BetTable[Odds]-1)*BetTable[Stake])*(1-(BetTable[Comm %]))+BetTable[Stake])</f>
        <v>108</v>
      </c>
      <c r="AA830" s="164">
        <f>(((BetTable[O2]-1)*BetTable[S2])*(1-(BetTable[C% 2]))+BetTable[S2])</f>
        <v>0</v>
      </c>
      <c r="AB830" s="164">
        <f>(((BetTable[O3]-1)*BetTable[S3])*(1-(BetTable[C% 3]))+BetTable[S3])</f>
        <v>0</v>
      </c>
      <c r="AC830" s="165">
        <f>IFERROR(IF(BetTable[Sport]="","",BetTable[R1]/BetTable[TS]),"")</f>
        <v>1</v>
      </c>
      <c r="AD830" s="165" t="str">
        <f>IF(BetTable[O2]="","",#REF!/BetTable[TS])</f>
        <v/>
      </c>
      <c r="AE830" s="165" t="str">
        <f>IFERROR(IF(BetTable[Sport]="","",#REF!/BetTable[TS]),"")</f>
        <v/>
      </c>
      <c r="AF830" s="164">
        <f>IF(BetTable[Outcome]="Win",BetTable[WBA1-Commission],IF(BetTable[Outcome]="Win Half Stake",(BetTable[Stake]/2)+BetTable[WBA1-Commission]/2,IF(BetTable[Outcome]="Lose Half Stake",BetTable[Stake]/2,IF(BetTable[Outcome]="Lose",0,IF(BetTable[Outcome]="Void",BetTable[Stake],)))))</f>
        <v>0</v>
      </c>
      <c r="AG830" s="164">
        <f>IF(BetTable[Outcome2]="Win",BetTable[WBA2-Commission],IF(BetTable[Outcome2]="Win Half Stake",(BetTable[S2]/2)+BetTable[WBA2-Commission]/2,IF(BetTable[Outcome2]="Lose Half Stake",BetTable[S2]/2,IF(BetTable[Outcome2]="Lose",0,IF(BetTable[Outcome2]="Void",BetTable[S2],)))))</f>
        <v>0</v>
      </c>
      <c r="AH830" s="164">
        <f>IF(BetTable[Outcome3]="Win",BetTable[WBA3-Commission],IF(BetTable[Outcome3]="Win Half Stake",(BetTable[S3]/2)+BetTable[WBA3-Commission]/2,IF(BetTable[Outcome3]="Lose Half Stake",BetTable[S3]/2,IF(BetTable[Outcome3]="Lose",0,IF(BetTable[Outcome3]="Void",BetTable[S3],)))))</f>
        <v>0</v>
      </c>
      <c r="AI830" s="168">
        <f>IF(BetTable[Outcome]="",AI829,BetTable[Result]+AI829)</f>
        <v>1636.199250000001</v>
      </c>
      <c r="AJ830" s="160"/>
    </row>
    <row r="831" spans="1:36" x14ac:dyDescent="0.2">
      <c r="A831" s="159" t="s">
        <v>2094</v>
      </c>
      <c r="B831" s="160" t="s">
        <v>200</v>
      </c>
      <c r="C831" s="161" t="s">
        <v>1714</v>
      </c>
      <c r="D831" s="161"/>
      <c r="E831" s="161"/>
      <c r="F831" s="162"/>
      <c r="G831" s="162"/>
      <c r="H831" s="162"/>
      <c r="I831" s="160" t="s">
        <v>2186</v>
      </c>
      <c r="J831" s="163">
        <v>1.4</v>
      </c>
      <c r="K831" s="163"/>
      <c r="L831" s="163"/>
      <c r="M831" s="164">
        <v>100</v>
      </c>
      <c r="N831" s="164"/>
      <c r="O831" s="164"/>
      <c r="P831" s="159" t="s">
        <v>435</v>
      </c>
      <c r="Q831" s="159" t="s">
        <v>703</v>
      </c>
      <c r="R831" s="159" t="s">
        <v>2187</v>
      </c>
      <c r="S831" s="165">
        <v>2.5814853115783801E-2</v>
      </c>
      <c r="T831" s="166" t="s">
        <v>382</v>
      </c>
      <c r="U831" s="166"/>
      <c r="V831" s="166"/>
      <c r="W831" s="167">
        <f>IF(BetTable[Sport]="","",BetTable[Stake]+BetTable[S2]+BetTable[S3])</f>
        <v>100</v>
      </c>
      <c r="X831" s="164">
        <f>IF(BetTable[Odds]="","",(BetTable[WBA1-Commission])-BetTable[TS])</f>
        <v>40</v>
      </c>
      <c r="Y831" s="168">
        <f>IF(BetTable[Outcome]="","",BetTable[WBA1]+BetTable[WBA2]+BetTable[WBA3]-BetTable[TS])</f>
        <v>-100</v>
      </c>
      <c r="Z831" s="164">
        <f>(((BetTable[Odds]-1)*BetTable[Stake])*(1-(BetTable[Comm %]))+BetTable[Stake])</f>
        <v>140</v>
      </c>
      <c r="AA831" s="164">
        <f>(((BetTable[O2]-1)*BetTable[S2])*(1-(BetTable[C% 2]))+BetTable[S2])</f>
        <v>0</v>
      </c>
      <c r="AB831" s="164">
        <f>(((BetTable[O3]-1)*BetTable[S3])*(1-(BetTable[C% 3]))+BetTable[S3])</f>
        <v>0</v>
      </c>
      <c r="AC831" s="165">
        <f>IFERROR(IF(BetTable[Sport]="","",BetTable[R1]/BetTable[TS]),"")</f>
        <v>0.4</v>
      </c>
      <c r="AD831" s="165" t="str">
        <f>IF(BetTable[O2]="","",#REF!/BetTable[TS])</f>
        <v/>
      </c>
      <c r="AE831" s="165" t="str">
        <f>IFERROR(IF(BetTable[Sport]="","",#REF!/BetTable[TS]),"")</f>
        <v/>
      </c>
      <c r="AF831" s="164">
        <f>IF(BetTable[Outcome]="Win",BetTable[WBA1-Commission],IF(BetTable[Outcome]="Win Half Stake",(BetTable[Stake]/2)+BetTable[WBA1-Commission]/2,IF(BetTable[Outcome]="Lose Half Stake",BetTable[Stake]/2,IF(BetTable[Outcome]="Lose",0,IF(BetTable[Outcome]="Void",BetTable[Stake],)))))</f>
        <v>0</v>
      </c>
      <c r="AG831" s="164">
        <f>IF(BetTable[Outcome2]="Win",BetTable[WBA2-Commission],IF(BetTable[Outcome2]="Win Half Stake",(BetTable[S2]/2)+BetTable[WBA2-Commission]/2,IF(BetTable[Outcome2]="Lose Half Stake",BetTable[S2]/2,IF(BetTable[Outcome2]="Lose",0,IF(BetTable[Outcome2]="Void",BetTable[S2],)))))</f>
        <v>0</v>
      </c>
      <c r="AH831" s="164">
        <f>IF(BetTable[Outcome3]="Win",BetTable[WBA3-Commission],IF(BetTable[Outcome3]="Win Half Stake",(BetTable[S3]/2)+BetTable[WBA3-Commission]/2,IF(BetTable[Outcome3]="Lose Half Stake",BetTable[S3]/2,IF(BetTable[Outcome3]="Lose",0,IF(BetTable[Outcome3]="Void",BetTable[S3],)))))</f>
        <v>0</v>
      </c>
      <c r="AI831" s="168">
        <f>IF(BetTable[Outcome]="",AI830,BetTable[Result]+AI830)</f>
        <v>1536.199250000001</v>
      </c>
      <c r="AJ831" s="160"/>
    </row>
    <row r="832" spans="1:36" x14ac:dyDescent="0.2">
      <c r="A832" s="159" t="s">
        <v>2094</v>
      </c>
      <c r="B832" s="160" t="s">
        <v>200</v>
      </c>
      <c r="C832" s="161" t="s">
        <v>1714</v>
      </c>
      <c r="D832" s="161"/>
      <c r="E832" s="161"/>
      <c r="F832" s="162"/>
      <c r="G832" s="162"/>
      <c r="H832" s="162"/>
      <c r="I832" s="160" t="s">
        <v>2188</v>
      </c>
      <c r="J832" s="163">
        <v>1.64</v>
      </c>
      <c r="K832" s="163"/>
      <c r="L832" s="163"/>
      <c r="M832" s="164">
        <v>71</v>
      </c>
      <c r="N832" s="164"/>
      <c r="O832" s="164"/>
      <c r="P832" s="159" t="s">
        <v>646</v>
      </c>
      <c r="Q832" s="159" t="s">
        <v>703</v>
      </c>
      <c r="R832" s="159" t="s">
        <v>2189</v>
      </c>
      <c r="S832" s="165">
        <v>2.9218106995884702E-2</v>
      </c>
      <c r="T832" s="166" t="s">
        <v>382</v>
      </c>
      <c r="U832" s="166"/>
      <c r="V832" s="166"/>
      <c r="W832" s="167">
        <f>IF(BetTable[Sport]="","",BetTable[Stake]+BetTable[S2]+BetTable[S3])</f>
        <v>71</v>
      </c>
      <c r="X832" s="164">
        <f>IF(BetTable[Odds]="","",(BetTable[WBA1-Commission])-BetTable[TS])</f>
        <v>45.44</v>
      </c>
      <c r="Y832" s="168">
        <f>IF(BetTable[Outcome]="","",BetTable[WBA1]+BetTable[WBA2]+BetTable[WBA3]-BetTable[TS])</f>
        <v>-71</v>
      </c>
      <c r="Z832" s="164">
        <f>(((BetTable[Odds]-1)*BetTable[Stake])*(1-(BetTable[Comm %]))+BetTable[Stake])</f>
        <v>116.44</v>
      </c>
      <c r="AA832" s="164">
        <f>(((BetTable[O2]-1)*BetTable[S2])*(1-(BetTable[C% 2]))+BetTable[S2])</f>
        <v>0</v>
      </c>
      <c r="AB832" s="164">
        <f>(((BetTable[O3]-1)*BetTable[S3])*(1-(BetTable[C% 3]))+BetTable[S3])</f>
        <v>0</v>
      </c>
      <c r="AC832" s="165">
        <f>IFERROR(IF(BetTable[Sport]="","",BetTable[R1]/BetTable[TS]),"")</f>
        <v>0.64</v>
      </c>
      <c r="AD832" s="165" t="str">
        <f>IF(BetTable[O2]="","",#REF!/BetTable[TS])</f>
        <v/>
      </c>
      <c r="AE832" s="165" t="str">
        <f>IFERROR(IF(BetTable[Sport]="","",#REF!/BetTable[TS]),"")</f>
        <v/>
      </c>
      <c r="AF832" s="164">
        <f>IF(BetTable[Outcome]="Win",BetTable[WBA1-Commission],IF(BetTable[Outcome]="Win Half Stake",(BetTable[Stake]/2)+BetTable[WBA1-Commission]/2,IF(BetTable[Outcome]="Lose Half Stake",BetTable[Stake]/2,IF(BetTable[Outcome]="Lose",0,IF(BetTable[Outcome]="Void",BetTable[Stake],)))))</f>
        <v>0</v>
      </c>
      <c r="AG832" s="164">
        <f>IF(BetTable[Outcome2]="Win",BetTable[WBA2-Commission],IF(BetTable[Outcome2]="Win Half Stake",(BetTable[S2]/2)+BetTable[WBA2-Commission]/2,IF(BetTable[Outcome2]="Lose Half Stake",BetTable[S2]/2,IF(BetTable[Outcome2]="Lose",0,IF(BetTable[Outcome2]="Void",BetTable[S2],)))))</f>
        <v>0</v>
      </c>
      <c r="AH832" s="164">
        <f>IF(BetTable[Outcome3]="Win",BetTable[WBA3-Commission],IF(BetTable[Outcome3]="Win Half Stake",(BetTable[S3]/2)+BetTable[WBA3-Commission]/2,IF(BetTable[Outcome3]="Lose Half Stake",BetTable[S3]/2,IF(BetTable[Outcome3]="Lose",0,IF(BetTable[Outcome3]="Void",BetTable[S3],)))))</f>
        <v>0</v>
      </c>
      <c r="AI832" s="168">
        <f>IF(BetTable[Outcome]="",AI831,BetTable[Result]+AI831)</f>
        <v>1465.199250000001</v>
      </c>
      <c r="AJ832" s="160"/>
    </row>
    <row r="833" spans="1:36" x14ac:dyDescent="0.2">
      <c r="A833" s="159" t="s">
        <v>2094</v>
      </c>
      <c r="B833" s="160" t="s">
        <v>200</v>
      </c>
      <c r="C833" s="161" t="s">
        <v>1714</v>
      </c>
      <c r="D833" s="161"/>
      <c r="E833" s="161"/>
      <c r="F833" s="162"/>
      <c r="G833" s="162"/>
      <c r="H833" s="162"/>
      <c r="I833" s="160" t="s">
        <v>2190</v>
      </c>
      <c r="J833" s="163">
        <v>1.86</v>
      </c>
      <c r="K833" s="163"/>
      <c r="L833" s="163"/>
      <c r="M833" s="164">
        <v>61</v>
      </c>
      <c r="N833" s="164"/>
      <c r="O833" s="164"/>
      <c r="P833" s="159" t="s">
        <v>864</v>
      </c>
      <c r="Q833" s="159" t="s">
        <v>703</v>
      </c>
      <c r="R833" s="159" t="s">
        <v>2191</v>
      </c>
      <c r="S833" s="165">
        <v>3.3877822078152799E-2</v>
      </c>
      <c r="T833" s="166" t="s">
        <v>382</v>
      </c>
      <c r="U833" s="166"/>
      <c r="V833" s="166"/>
      <c r="W833" s="167">
        <f>IF(BetTable[Sport]="","",BetTable[Stake]+BetTable[S2]+BetTable[S3])</f>
        <v>61</v>
      </c>
      <c r="X833" s="164">
        <f>IF(BetTable[Odds]="","",(BetTable[WBA1-Commission])-BetTable[TS])</f>
        <v>52.460000000000008</v>
      </c>
      <c r="Y833" s="168">
        <f>IF(BetTable[Outcome]="","",BetTable[WBA1]+BetTable[WBA2]+BetTable[WBA3]-BetTable[TS])</f>
        <v>-61</v>
      </c>
      <c r="Z833" s="164">
        <f>(((BetTable[Odds]-1)*BetTable[Stake])*(1-(BetTable[Comm %]))+BetTable[Stake])</f>
        <v>113.46000000000001</v>
      </c>
      <c r="AA833" s="164">
        <f>(((BetTable[O2]-1)*BetTable[S2])*(1-(BetTable[C% 2]))+BetTable[S2])</f>
        <v>0</v>
      </c>
      <c r="AB833" s="164">
        <f>(((BetTable[O3]-1)*BetTable[S3])*(1-(BetTable[C% 3]))+BetTable[S3])</f>
        <v>0</v>
      </c>
      <c r="AC833" s="165">
        <f>IFERROR(IF(BetTable[Sport]="","",BetTable[R1]/BetTable[TS]),"")</f>
        <v>0.8600000000000001</v>
      </c>
      <c r="AD833" s="165" t="str">
        <f>IF(BetTable[O2]="","",#REF!/BetTable[TS])</f>
        <v/>
      </c>
      <c r="AE833" s="165" t="str">
        <f>IFERROR(IF(BetTable[Sport]="","",#REF!/BetTable[TS]),"")</f>
        <v/>
      </c>
      <c r="AF833" s="164">
        <f>IF(BetTable[Outcome]="Win",BetTable[WBA1-Commission],IF(BetTable[Outcome]="Win Half Stake",(BetTable[Stake]/2)+BetTable[WBA1-Commission]/2,IF(BetTable[Outcome]="Lose Half Stake",BetTable[Stake]/2,IF(BetTable[Outcome]="Lose",0,IF(BetTable[Outcome]="Void",BetTable[Stake],)))))</f>
        <v>0</v>
      </c>
      <c r="AG833" s="164">
        <f>IF(BetTable[Outcome2]="Win",BetTable[WBA2-Commission],IF(BetTable[Outcome2]="Win Half Stake",(BetTable[S2]/2)+BetTable[WBA2-Commission]/2,IF(BetTable[Outcome2]="Lose Half Stake",BetTable[S2]/2,IF(BetTable[Outcome2]="Lose",0,IF(BetTable[Outcome2]="Void",BetTable[S2],)))))</f>
        <v>0</v>
      </c>
      <c r="AH833" s="164">
        <f>IF(BetTable[Outcome3]="Win",BetTable[WBA3-Commission],IF(BetTable[Outcome3]="Win Half Stake",(BetTable[S3]/2)+BetTable[WBA3-Commission]/2,IF(BetTable[Outcome3]="Lose Half Stake",BetTable[S3]/2,IF(BetTable[Outcome3]="Lose",0,IF(BetTable[Outcome3]="Void",BetTable[S3],)))))</f>
        <v>0</v>
      </c>
      <c r="AI833" s="168">
        <f>IF(BetTable[Outcome]="",AI832,BetTable[Result]+AI832)</f>
        <v>1404.199250000001</v>
      </c>
      <c r="AJ833" s="160"/>
    </row>
    <row r="834" spans="1:36" x14ac:dyDescent="0.2">
      <c r="A834" s="159" t="s">
        <v>2094</v>
      </c>
      <c r="B834" s="160" t="s">
        <v>7</v>
      </c>
      <c r="C834" s="161" t="s">
        <v>91</v>
      </c>
      <c r="D834" s="161"/>
      <c r="E834" s="161"/>
      <c r="F834" s="162"/>
      <c r="G834" s="162"/>
      <c r="H834" s="162"/>
      <c r="I834" s="160" t="s">
        <v>2192</v>
      </c>
      <c r="J834" s="163">
        <v>1.94</v>
      </c>
      <c r="K834" s="163"/>
      <c r="L834" s="163"/>
      <c r="M834" s="164">
        <v>39</v>
      </c>
      <c r="N834" s="164"/>
      <c r="O834" s="164"/>
      <c r="P834" s="159" t="s">
        <v>2193</v>
      </c>
      <c r="Q834" s="159" t="s">
        <v>581</v>
      </c>
      <c r="R834" s="159" t="s">
        <v>2194</v>
      </c>
      <c r="S834" s="165">
        <v>2.3601674997697799E-2</v>
      </c>
      <c r="T834" s="166" t="s">
        <v>372</v>
      </c>
      <c r="U834" s="166"/>
      <c r="V834" s="166"/>
      <c r="W834" s="167">
        <f>IF(BetTable[Sport]="","",BetTable[Stake]+BetTable[S2]+BetTable[S3])</f>
        <v>39</v>
      </c>
      <c r="X834" s="164">
        <f>IF(BetTable[Odds]="","",(BetTable[WBA1-Commission])-BetTable[TS])</f>
        <v>36.659999999999997</v>
      </c>
      <c r="Y834" s="168">
        <f>IF(BetTable[Outcome]="","",BetTable[WBA1]+BetTable[WBA2]+BetTable[WBA3]-BetTable[TS])</f>
        <v>36.659999999999997</v>
      </c>
      <c r="Z834" s="164">
        <f>(((BetTable[Odds]-1)*BetTable[Stake])*(1-(BetTable[Comm %]))+BetTable[Stake])</f>
        <v>75.66</v>
      </c>
      <c r="AA834" s="164">
        <f>(((BetTable[O2]-1)*BetTable[S2])*(1-(BetTable[C% 2]))+BetTable[S2])</f>
        <v>0</v>
      </c>
      <c r="AB834" s="164">
        <f>(((BetTable[O3]-1)*BetTable[S3])*(1-(BetTable[C% 3]))+BetTable[S3])</f>
        <v>0</v>
      </c>
      <c r="AC834" s="165">
        <f>IFERROR(IF(BetTable[Sport]="","",BetTable[R1]/BetTable[TS]),"")</f>
        <v>0.94</v>
      </c>
      <c r="AD834" s="165" t="str">
        <f>IF(BetTable[O2]="","",#REF!/BetTable[TS])</f>
        <v/>
      </c>
      <c r="AE834" s="165" t="str">
        <f>IFERROR(IF(BetTable[Sport]="","",#REF!/BetTable[TS]),"")</f>
        <v/>
      </c>
      <c r="AF834" s="164">
        <f>IF(BetTable[Outcome]="Win",BetTable[WBA1-Commission],IF(BetTable[Outcome]="Win Half Stake",(BetTable[Stake]/2)+BetTable[WBA1-Commission]/2,IF(BetTable[Outcome]="Lose Half Stake",BetTable[Stake]/2,IF(BetTable[Outcome]="Lose",0,IF(BetTable[Outcome]="Void",BetTable[Stake],)))))</f>
        <v>75.66</v>
      </c>
      <c r="AG834" s="164">
        <f>IF(BetTable[Outcome2]="Win",BetTable[WBA2-Commission],IF(BetTable[Outcome2]="Win Half Stake",(BetTable[S2]/2)+BetTable[WBA2-Commission]/2,IF(BetTable[Outcome2]="Lose Half Stake",BetTable[S2]/2,IF(BetTable[Outcome2]="Lose",0,IF(BetTable[Outcome2]="Void",BetTable[S2],)))))</f>
        <v>0</v>
      </c>
      <c r="AH834" s="164">
        <f>IF(BetTable[Outcome3]="Win",BetTable[WBA3-Commission],IF(BetTable[Outcome3]="Win Half Stake",(BetTable[S3]/2)+BetTable[WBA3-Commission]/2,IF(BetTable[Outcome3]="Lose Half Stake",BetTable[S3]/2,IF(BetTable[Outcome3]="Lose",0,IF(BetTable[Outcome3]="Void",BetTable[S3],)))))</f>
        <v>0</v>
      </c>
      <c r="AI834" s="168">
        <f>IF(BetTable[Outcome]="",AI833,BetTable[Result]+AI833)</f>
        <v>1440.8592500000011</v>
      </c>
      <c r="AJ834" s="160"/>
    </row>
    <row r="835" spans="1:36" x14ac:dyDescent="0.2">
      <c r="A835" s="159" t="s">
        <v>2094</v>
      </c>
      <c r="B835" s="160" t="s">
        <v>200</v>
      </c>
      <c r="C835" s="161" t="s">
        <v>1714</v>
      </c>
      <c r="D835" s="161"/>
      <c r="E835" s="161"/>
      <c r="F835" s="162"/>
      <c r="G835" s="162"/>
      <c r="H835" s="162"/>
      <c r="I835" s="160" t="s">
        <v>2195</v>
      </c>
      <c r="J835" s="163">
        <v>1.39</v>
      </c>
      <c r="K835" s="163"/>
      <c r="L835" s="163"/>
      <c r="M835" s="164">
        <v>74</v>
      </c>
      <c r="N835" s="164"/>
      <c r="O835" s="164"/>
      <c r="P835" s="159" t="s">
        <v>435</v>
      </c>
      <c r="Q835" s="159" t="s">
        <v>461</v>
      </c>
      <c r="R835" s="159" t="s">
        <v>2196</v>
      </c>
      <c r="S835" s="165">
        <v>1.86139204379045E-2</v>
      </c>
      <c r="T835" s="166" t="s">
        <v>372</v>
      </c>
      <c r="U835" s="166"/>
      <c r="V835" s="166"/>
      <c r="W835" s="167">
        <f>IF(BetTable[Sport]="","",BetTable[Stake]+BetTable[S2]+BetTable[S3])</f>
        <v>74</v>
      </c>
      <c r="X835" s="164">
        <f>IF(BetTable[Odds]="","",(BetTable[WBA1-Commission])-BetTable[TS])</f>
        <v>28.859999999999985</v>
      </c>
      <c r="Y835" s="168">
        <f>IF(BetTable[Outcome]="","",BetTable[WBA1]+BetTable[WBA2]+BetTable[WBA3]-BetTable[TS])</f>
        <v>28.859999999999985</v>
      </c>
      <c r="Z835" s="164">
        <f>(((BetTable[Odds]-1)*BetTable[Stake])*(1-(BetTable[Comm %]))+BetTable[Stake])</f>
        <v>102.85999999999999</v>
      </c>
      <c r="AA835" s="164">
        <f>(((BetTable[O2]-1)*BetTable[S2])*(1-(BetTable[C% 2]))+BetTable[S2])</f>
        <v>0</v>
      </c>
      <c r="AB835" s="164">
        <f>(((BetTable[O3]-1)*BetTable[S3])*(1-(BetTable[C% 3]))+BetTable[S3])</f>
        <v>0</v>
      </c>
      <c r="AC835" s="165">
        <f>IFERROR(IF(BetTable[Sport]="","",BetTable[R1]/BetTable[TS]),"")</f>
        <v>0.38999999999999979</v>
      </c>
      <c r="AD835" s="165" t="str">
        <f>IF(BetTable[O2]="","",#REF!/BetTable[TS])</f>
        <v/>
      </c>
      <c r="AE835" s="165" t="str">
        <f>IFERROR(IF(BetTable[Sport]="","",#REF!/BetTable[TS]),"")</f>
        <v/>
      </c>
      <c r="AF835" s="164">
        <f>IF(BetTable[Outcome]="Win",BetTable[WBA1-Commission],IF(BetTable[Outcome]="Win Half Stake",(BetTable[Stake]/2)+BetTable[WBA1-Commission]/2,IF(BetTable[Outcome]="Lose Half Stake",BetTable[Stake]/2,IF(BetTable[Outcome]="Lose",0,IF(BetTable[Outcome]="Void",BetTable[Stake],)))))</f>
        <v>102.85999999999999</v>
      </c>
      <c r="AG835" s="164">
        <f>IF(BetTable[Outcome2]="Win",BetTable[WBA2-Commission],IF(BetTable[Outcome2]="Win Half Stake",(BetTable[S2]/2)+BetTable[WBA2-Commission]/2,IF(BetTable[Outcome2]="Lose Half Stake",BetTable[S2]/2,IF(BetTable[Outcome2]="Lose",0,IF(BetTable[Outcome2]="Void",BetTable[S2],)))))</f>
        <v>0</v>
      </c>
      <c r="AH835" s="164">
        <f>IF(BetTable[Outcome3]="Win",BetTable[WBA3-Commission],IF(BetTable[Outcome3]="Win Half Stake",(BetTable[S3]/2)+BetTable[WBA3-Commission]/2,IF(BetTable[Outcome3]="Lose Half Stake",BetTable[S3]/2,IF(BetTable[Outcome3]="Lose",0,IF(BetTable[Outcome3]="Void",BetTable[S3],)))))</f>
        <v>0</v>
      </c>
      <c r="AI835" s="168">
        <f>IF(BetTable[Outcome]="",AI834,BetTable[Result]+AI834)</f>
        <v>1469.719250000001</v>
      </c>
      <c r="AJ835" s="160"/>
    </row>
    <row r="836" spans="1:36" x14ac:dyDescent="0.2">
      <c r="A836" s="159" t="s">
        <v>2094</v>
      </c>
      <c r="B836" s="160" t="s">
        <v>200</v>
      </c>
      <c r="C836" s="161" t="s">
        <v>1714</v>
      </c>
      <c r="D836" s="161"/>
      <c r="E836" s="161"/>
      <c r="F836" s="162"/>
      <c r="G836" s="162"/>
      <c r="H836" s="162"/>
      <c r="I836" s="160" t="s">
        <v>2152</v>
      </c>
      <c r="J836" s="163">
        <v>1.7</v>
      </c>
      <c r="K836" s="163"/>
      <c r="L836" s="163"/>
      <c r="M836" s="164">
        <v>41</v>
      </c>
      <c r="N836" s="164"/>
      <c r="O836" s="164"/>
      <c r="P836" s="159" t="s">
        <v>351</v>
      </c>
      <c r="Q836" s="159" t="s">
        <v>703</v>
      </c>
      <c r="R836" s="159" t="s">
        <v>2197</v>
      </c>
      <c r="S836" s="165">
        <v>1.8379912196166599E-2</v>
      </c>
      <c r="T836" s="166" t="s">
        <v>372</v>
      </c>
      <c r="U836" s="166"/>
      <c r="V836" s="166"/>
      <c r="W836" s="167">
        <f>IF(BetTable[Sport]="","",BetTable[Stake]+BetTable[S2]+BetTable[S3])</f>
        <v>41</v>
      </c>
      <c r="X836" s="164">
        <f>IF(BetTable[Odds]="","",(BetTable[WBA1-Commission])-BetTable[TS])</f>
        <v>28.700000000000003</v>
      </c>
      <c r="Y836" s="168">
        <f>IF(BetTable[Outcome]="","",BetTable[WBA1]+BetTable[WBA2]+BetTable[WBA3]-BetTable[TS])</f>
        <v>28.700000000000003</v>
      </c>
      <c r="Z836" s="164">
        <f>(((BetTable[Odds]-1)*BetTable[Stake])*(1-(BetTable[Comm %]))+BetTable[Stake])</f>
        <v>69.7</v>
      </c>
      <c r="AA836" s="164">
        <f>(((BetTable[O2]-1)*BetTable[S2])*(1-(BetTable[C% 2]))+BetTable[S2])</f>
        <v>0</v>
      </c>
      <c r="AB836" s="164">
        <f>(((BetTable[O3]-1)*BetTable[S3])*(1-(BetTable[C% 3]))+BetTable[S3])</f>
        <v>0</v>
      </c>
      <c r="AC836" s="165">
        <f>IFERROR(IF(BetTable[Sport]="","",BetTable[R1]/BetTable[TS]),"")</f>
        <v>0.70000000000000007</v>
      </c>
      <c r="AD836" s="165" t="str">
        <f>IF(BetTable[O2]="","",#REF!/BetTable[TS])</f>
        <v/>
      </c>
      <c r="AE836" s="165" t="str">
        <f>IFERROR(IF(BetTable[Sport]="","",#REF!/BetTable[TS]),"")</f>
        <v/>
      </c>
      <c r="AF836" s="164">
        <f>IF(BetTable[Outcome]="Win",BetTable[WBA1-Commission],IF(BetTable[Outcome]="Win Half Stake",(BetTable[Stake]/2)+BetTable[WBA1-Commission]/2,IF(BetTable[Outcome]="Lose Half Stake",BetTable[Stake]/2,IF(BetTable[Outcome]="Lose",0,IF(BetTable[Outcome]="Void",BetTable[Stake],)))))</f>
        <v>69.7</v>
      </c>
      <c r="AG836" s="164">
        <f>IF(BetTable[Outcome2]="Win",BetTable[WBA2-Commission],IF(BetTable[Outcome2]="Win Half Stake",(BetTable[S2]/2)+BetTable[WBA2-Commission]/2,IF(BetTable[Outcome2]="Lose Half Stake",BetTable[S2]/2,IF(BetTable[Outcome2]="Lose",0,IF(BetTable[Outcome2]="Void",BetTable[S2],)))))</f>
        <v>0</v>
      </c>
      <c r="AH836" s="164">
        <f>IF(BetTable[Outcome3]="Win",BetTable[WBA3-Commission],IF(BetTable[Outcome3]="Win Half Stake",(BetTable[S3]/2)+BetTable[WBA3-Commission]/2,IF(BetTable[Outcome3]="Lose Half Stake",BetTable[S3]/2,IF(BetTable[Outcome3]="Lose",0,IF(BetTable[Outcome3]="Void",BetTable[S3],)))))</f>
        <v>0</v>
      </c>
      <c r="AI836" s="168">
        <f>IF(BetTable[Outcome]="",AI835,BetTable[Result]+AI835)</f>
        <v>1498.4192500000011</v>
      </c>
      <c r="AJ836" s="160"/>
    </row>
    <row r="837" spans="1:36" x14ac:dyDescent="0.2">
      <c r="A837" s="159" t="s">
        <v>2094</v>
      </c>
      <c r="B837" s="160" t="s">
        <v>200</v>
      </c>
      <c r="C837" s="161" t="s">
        <v>1714</v>
      </c>
      <c r="D837" s="161"/>
      <c r="E837" s="161"/>
      <c r="F837" s="162"/>
      <c r="G837" s="162"/>
      <c r="H837" s="162"/>
      <c r="I837" s="160" t="s">
        <v>2198</v>
      </c>
      <c r="J837" s="163">
        <v>1.76</v>
      </c>
      <c r="K837" s="163"/>
      <c r="L837" s="163"/>
      <c r="M837" s="164">
        <v>41</v>
      </c>
      <c r="N837" s="164"/>
      <c r="O837" s="164"/>
      <c r="P837" s="159" t="s">
        <v>791</v>
      </c>
      <c r="Q837" s="159" t="s">
        <v>677</v>
      </c>
      <c r="R837" s="159" t="s">
        <v>2199</v>
      </c>
      <c r="S837" s="165">
        <v>2.0333745764226498E-2</v>
      </c>
      <c r="T837" s="166" t="s">
        <v>372</v>
      </c>
      <c r="U837" s="166"/>
      <c r="V837" s="166"/>
      <c r="W837" s="167">
        <f>IF(BetTable[Sport]="","",BetTable[Stake]+BetTable[S2]+BetTable[S3])</f>
        <v>41</v>
      </c>
      <c r="X837" s="164">
        <f>IF(BetTable[Odds]="","",(BetTable[WBA1-Commission])-BetTable[TS])</f>
        <v>31.159999999999997</v>
      </c>
      <c r="Y837" s="168">
        <f>IF(BetTable[Outcome]="","",BetTable[WBA1]+BetTable[WBA2]+BetTable[WBA3]-BetTable[TS])</f>
        <v>31.159999999999997</v>
      </c>
      <c r="Z837" s="164">
        <f>(((BetTable[Odds]-1)*BetTable[Stake])*(1-(BetTable[Comm %]))+BetTable[Stake])</f>
        <v>72.16</v>
      </c>
      <c r="AA837" s="164">
        <f>(((BetTable[O2]-1)*BetTable[S2])*(1-(BetTable[C% 2]))+BetTable[S2])</f>
        <v>0</v>
      </c>
      <c r="AB837" s="164">
        <f>(((BetTable[O3]-1)*BetTable[S3])*(1-(BetTable[C% 3]))+BetTable[S3])</f>
        <v>0</v>
      </c>
      <c r="AC837" s="165">
        <f>IFERROR(IF(BetTable[Sport]="","",BetTable[R1]/BetTable[TS]),"")</f>
        <v>0.7599999999999999</v>
      </c>
      <c r="AD837" s="165" t="str">
        <f>IF(BetTable[O2]="","",#REF!/BetTable[TS])</f>
        <v/>
      </c>
      <c r="AE837" s="165" t="str">
        <f>IFERROR(IF(BetTable[Sport]="","",#REF!/BetTable[TS]),"")</f>
        <v/>
      </c>
      <c r="AF837" s="164">
        <f>IF(BetTable[Outcome]="Win",BetTable[WBA1-Commission],IF(BetTable[Outcome]="Win Half Stake",(BetTable[Stake]/2)+BetTable[WBA1-Commission]/2,IF(BetTable[Outcome]="Lose Half Stake",BetTable[Stake]/2,IF(BetTable[Outcome]="Lose",0,IF(BetTable[Outcome]="Void",BetTable[Stake],)))))</f>
        <v>72.16</v>
      </c>
      <c r="AG837" s="164">
        <f>IF(BetTable[Outcome2]="Win",BetTable[WBA2-Commission],IF(BetTable[Outcome2]="Win Half Stake",(BetTable[S2]/2)+BetTable[WBA2-Commission]/2,IF(BetTable[Outcome2]="Lose Half Stake",BetTable[S2]/2,IF(BetTable[Outcome2]="Lose",0,IF(BetTable[Outcome2]="Void",BetTable[S2],)))))</f>
        <v>0</v>
      </c>
      <c r="AH837" s="164">
        <f>IF(BetTable[Outcome3]="Win",BetTable[WBA3-Commission],IF(BetTable[Outcome3]="Win Half Stake",(BetTable[S3]/2)+BetTable[WBA3-Commission]/2,IF(BetTable[Outcome3]="Lose Half Stake",BetTable[S3]/2,IF(BetTable[Outcome3]="Lose",0,IF(BetTable[Outcome3]="Void",BetTable[S3],)))))</f>
        <v>0</v>
      </c>
      <c r="AI837" s="168">
        <f>IF(BetTable[Outcome]="",AI836,BetTable[Result]+AI836)</f>
        <v>1529.5792500000011</v>
      </c>
      <c r="AJ837" s="160"/>
    </row>
    <row r="838" spans="1:36" x14ac:dyDescent="0.2">
      <c r="A838" s="159" t="s">
        <v>2094</v>
      </c>
      <c r="B838" s="160" t="s">
        <v>200</v>
      </c>
      <c r="C838" s="161" t="s">
        <v>1714</v>
      </c>
      <c r="D838" s="161"/>
      <c r="E838" s="161"/>
      <c r="F838" s="162"/>
      <c r="G838" s="162"/>
      <c r="H838" s="162"/>
      <c r="I838" s="160" t="s">
        <v>2200</v>
      </c>
      <c r="J838" s="163">
        <v>1.74</v>
      </c>
      <c r="K838" s="163"/>
      <c r="L838" s="163"/>
      <c r="M838" s="164">
        <v>34</v>
      </c>
      <c r="N838" s="164"/>
      <c r="O838" s="164"/>
      <c r="P838" s="159" t="s">
        <v>688</v>
      </c>
      <c r="Q838" s="159" t="s">
        <v>703</v>
      </c>
      <c r="R838" s="159" t="s">
        <v>2201</v>
      </c>
      <c r="S838" s="165">
        <v>1.6215336534818998E-2</v>
      </c>
      <c r="T838" s="166" t="s">
        <v>382</v>
      </c>
      <c r="U838" s="166"/>
      <c r="V838" s="166"/>
      <c r="W838" s="167">
        <f>IF(BetTable[Sport]="","",BetTable[Stake]+BetTable[S2]+BetTable[S3])</f>
        <v>34</v>
      </c>
      <c r="X838" s="164">
        <f>IF(BetTable[Odds]="","",(BetTable[WBA1-Commission])-BetTable[TS])</f>
        <v>25.159999999999997</v>
      </c>
      <c r="Y838" s="168">
        <f>IF(BetTable[Outcome]="","",BetTable[WBA1]+BetTable[WBA2]+BetTable[WBA3]-BetTable[TS])</f>
        <v>-34</v>
      </c>
      <c r="Z838" s="164">
        <f>(((BetTable[Odds]-1)*BetTable[Stake])*(1-(BetTable[Comm %]))+BetTable[Stake])</f>
        <v>59.16</v>
      </c>
      <c r="AA838" s="164">
        <f>(((BetTable[O2]-1)*BetTable[S2])*(1-(BetTable[C% 2]))+BetTable[S2])</f>
        <v>0</v>
      </c>
      <c r="AB838" s="164">
        <f>(((BetTable[O3]-1)*BetTable[S3])*(1-(BetTable[C% 3]))+BetTable[S3])</f>
        <v>0</v>
      </c>
      <c r="AC838" s="165">
        <f>IFERROR(IF(BetTable[Sport]="","",BetTable[R1]/BetTable[TS]),"")</f>
        <v>0.73999999999999988</v>
      </c>
      <c r="AD838" s="165" t="str">
        <f>IF(BetTable[O2]="","",#REF!/BetTable[TS])</f>
        <v/>
      </c>
      <c r="AE838" s="165" t="str">
        <f>IFERROR(IF(BetTable[Sport]="","",#REF!/BetTable[TS]),"")</f>
        <v/>
      </c>
      <c r="AF838" s="164">
        <f>IF(BetTable[Outcome]="Win",BetTable[WBA1-Commission],IF(BetTable[Outcome]="Win Half Stake",(BetTable[Stake]/2)+BetTable[WBA1-Commission]/2,IF(BetTable[Outcome]="Lose Half Stake",BetTable[Stake]/2,IF(BetTable[Outcome]="Lose",0,IF(BetTable[Outcome]="Void",BetTable[Stake],)))))</f>
        <v>0</v>
      </c>
      <c r="AG838" s="164">
        <f>IF(BetTable[Outcome2]="Win",BetTable[WBA2-Commission],IF(BetTable[Outcome2]="Win Half Stake",(BetTable[S2]/2)+BetTable[WBA2-Commission]/2,IF(BetTable[Outcome2]="Lose Half Stake",BetTable[S2]/2,IF(BetTable[Outcome2]="Lose",0,IF(BetTable[Outcome2]="Void",BetTable[S2],)))))</f>
        <v>0</v>
      </c>
      <c r="AH838" s="164">
        <f>IF(BetTable[Outcome3]="Win",BetTable[WBA3-Commission],IF(BetTable[Outcome3]="Win Half Stake",(BetTable[S3]/2)+BetTable[WBA3-Commission]/2,IF(BetTable[Outcome3]="Lose Half Stake",BetTable[S3]/2,IF(BetTable[Outcome3]="Lose",0,IF(BetTable[Outcome3]="Void",BetTable[S3],)))))</f>
        <v>0</v>
      </c>
      <c r="AI838" s="168">
        <f>IF(BetTable[Outcome]="",AI837,BetTable[Result]+AI837)</f>
        <v>1495.5792500000011</v>
      </c>
      <c r="AJ838" s="160"/>
    </row>
    <row r="839" spans="1:36" x14ac:dyDescent="0.2">
      <c r="A839" s="159" t="s">
        <v>2094</v>
      </c>
      <c r="B839" s="160" t="s">
        <v>200</v>
      </c>
      <c r="C839" s="161" t="s">
        <v>1714</v>
      </c>
      <c r="D839" s="161"/>
      <c r="E839" s="161"/>
      <c r="F839" s="162"/>
      <c r="G839" s="162"/>
      <c r="H839" s="162"/>
      <c r="I839" s="160" t="s">
        <v>2202</v>
      </c>
      <c r="J839" s="163">
        <v>1.8</v>
      </c>
      <c r="K839" s="163"/>
      <c r="L839" s="163"/>
      <c r="M839" s="164">
        <v>53</v>
      </c>
      <c r="N839" s="164"/>
      <c r="O839" s="164"/>
      <c r="P839" s="159" t="s">
        <v>646</v>
      </c>
      <c r="Q839" s="159" t="s">
        <v>2203</v>
      </c>
      <c r="R839" s="159" t="s">
        <v>2204</v>
      </c>
      <c r="S839" s="165">
        <v>2.7561490214950399E-2</v>
      </c>
      <c r="T839" s="166" t="s">
        <v>549</v>
      </c>
      <c r="U839" s="166"/>
      <c r="V839" s="166"/>
      <c r="W839" s="167">
        <f>IF(BetTable[Sport]="","",BetTable[Stake]+BetTable[S2]+BetTable[S3])</f>
        <v>53</v>
      </c>
      <c r="X839" s="164">
        <f>IF(BetTable[Odds]="","",(BetTable[WBA1-Commission])-BetTable[TS])</f>
        <v>42.400000000000006</v>
      </c>
      <c r="Y839" s="168">
        <f>IF(BetTable[Outcome]="","",BetTable[WBA1]+BetTable[WBA2]+BetTable[WBA3]-BetTable[TS])</f>
        <v>-26.5</v>
      </c>
      <c r="Z839" s="164">
        <f>(((BetTable[Odds]-1)*BetTable[Stake])*(1-(BetTable[Comm %]))+BetTable[Stake])</f>
        <v>95.4</v>
      </c>
      <c r="AA839" s="164">
        <f>(((BetTable[O2]-1)*BetTable[S2])*(1-(BetTable[C% 2]))+BetTable[S2])</f>
        <v>0</v>
      </c>
      <c r="AB839" s="164">
        <f>(((BetTable[O3]-1)*BetTable[S3])*(1-(BetTable[C% 3]))+BetTable[S3])</f>
        <v>0</v>
      </c>
      <c r="AC839" s="165">
        <f>IFERROR(IF(BetTable[Sport]="","",BetTable[R1]/BetTable[TS]),"")</f>
        <v>0.80000000000000016</v>
      </c>
      <c r="AD839" s="165" t="str">
        <f>IF(BetTable[O2]="","",#REF!/BetTable[TS])</f>
        <v/>
      </c>
      <c r="AE839" s="165" t="str">
        <f>IFERROR(IF(BetTable[Sport]="","",#REF!/BetTable[TS]),"")</f>
        <v/>
      </c>
      <c r="AF839" s="164">
        <f>IF(BetTable[Outcome]="Win",BetTable[WBA1-Commission],IF(BetTable[Outcome]="Win Half Stake",(BetTable[Stake]/2)+BetTable[WBA1-Commission]/2,IF(BetTable[Outcome]="Lose Half Stake",BetTable[Stake]/2,IF(BetTable[Outcome]="Lose",0,IF(BetTable[Outcome]="Void",BetTable[Stake],)))))</f>
        <v>26.5</v>
      </c>
      <c r="AG839" s="164">
        <f>IF(BetTable[Outcome2]="Win",BetTable[WBA2-Commission],IF(BetTable[Outcome2]="Win Half Stake",(BetTable[S2]/2)+BetTable[WBA2-Commission]/2,IF(BetTable[Outcome2]="Lose Half Stake",BetTable[S2]/2,IF(BetTable[Outcome2]="Lose",0,IF(BetTable[Outcome2]="Void",BetTable[S2],)))))</f>
        <v>0</v>
      </c>
      <c r="AH839" s="164">
        <f>IF(BetTable[Outcome3]="Win",BetTable[WBA3-Commission],IF(BetTable[Outcome3]="Win Half Stake",(BetTable[S3]/2)+BetTable[WBA3-Commission]/2,IF(BetTable[Outcome3]="Lose Half Stake",BetTable[S3]/2,IF(BetTable[Outcome3]="Lose",0,IF(BetTable[Outcome3]="Void",BetTable[S3],)))))</f>
        <v>0</v>
      </c>
      <c r="AI839" s="168">
        <f>IF(BetTable[Outcome]="",AI838,BetTable[Result]+AI838)</f>
        <v>1469.0792500000011</v>
      </c>
      <c r="AJ839" s="160"/>
    </row>
    <row r="840" spans="1:36" x14ac:dyDescent="0.2">
      <c r="A840" s="159" t="s">
        <v>2094</v>
      </c>
      <c r="B840" s="160" t="s">
        <v>7</v>
      </c>
      <c r="C840" s="161" t="s">
        <v>91</v>
      </c>
      <c r="D840" s="161"/>
      <c r="E840" s="161"/>
      <c r="F840" s="162"/>
      <c r="G840" s="162"/>
      <c r="H840" s="162"/>
      <c r="I840" s="160" t="s">
        <v>2192</v>
      </c>
      <c r="J840" s="163">
        <v>1.88</v>
      </c>
      <c r="K840" s="163"/>
      <c r="L840" s="163"/>
      <c r="M840" s="164">
        <v>29</v>
      </c>
      <c r="N840" s="164"/>
      <c r="O840" s="164"/>
      <c r="P840" s="159" t="s">
        <v>1153</v>
      </c>
      <c r="Q840" s="159" t="s">
        <v>581</v>
      </c>
      <c r="R840" s="159" t="s">
        <v>2205</v>
      </c>
      <c r="S840" s="165">
        <v>1.6724591890468599E-2</v>
      </c>
      <c r="T840" s="166" t="s">
        <v>382</v>
      </c>
      <c r="U840" s="166"/>
      <c r="V840" s="166"/>
      <c r="W840" s="167">
        <f>IF(BetTable[Sport]="","",BetTable[Stake]+BetTable[S2]+BetTable[S3])</f>
        <v>29</v>
      </c>
      <c r="X840" s="164">
        <f>IF(BetTable[Odds]="","",(BetTable[WBA1-Commission])-BetTable[TS])</f>
        <v>25.519999999999996</v>
      </c>
      <c r="Y840" s="168">
        <f>IF(BetTable[Outcome]="","",BetTable[WBA1]+BetTable[WBA2]+BetTable[WBA3]-BetTable[TS])</f>
        <v>-29</v>
      </c>
      <c r="Z840" s="164">
        <f>(((BetTable[Odds]-1)*BetTable[Stake])*(1-(BetTable[Comm %]))+BetTable[Stake])</f>
        <v>54.519999999999996</v>
      </c>
      <c r="AA840" s="164">
        <f>(((BetTable[O2]-1)*BetTable[S2])*(1-(BetTable[C% 2]))+BetTable[S2])</f>
        <v>0</v>
      </c>
      <c r="AB840" s="164">
        <f>(((BetTable[O3]-1)*BetTable[S3])*(1-(BetTable[C% 3]))+BetTable[S3])</f>
        <v>0</v>
      </c>
      <c r="AC840" s="165">
        <f>IFERROR(IF(BetTable[Sport]="","",BetTable[R1]/BetTable[TS]),"")</f>
        <v>0.87999999999999989</v>
      </c>
      <c r="AD840" s="165" t="str">
        <f>IF(BetTable[O2]="","",#REF!/BetTable[TS])</f>
        <v/>
      </c>
      <c r="AE840" s="165" t="str">
        <f>IFERROR(IF(BetTable[Sport]="","",#REF!/BetTable[TS]),"")</f>
        <v/>
      </c>
      <c r="AF840" s="164">
        <f>IF(BetTable[Outcome]="Win",BetTable[WBA1-Commission],IF(BetTable[Outcome]="Win Half Stake",(BetTable[Stake]/2)+BetTable[WBA1-Commission]/2,IF(BetTable[Outcome]="Lose Half Stake",BetTable[Stake]/2,IF(BetTable[Outcome]="Lose",0,IF(BetTable[Outcome]="Void",BetTable[Stake],)))))</f>
        <v>0</v>
      </c>
      <c r="AG840" s="164">
        <f>IF(BetTable[Outcome2]="Win",BetTable[WBA2-Commission],IF(BetTable[Outcome2]="Win Half Stake",(BetTable[S2]/2)+BetTable[WBA2-Commission]/2,IF(BetTable[Outcome2]="Lose Half Stake",BetTable[S2]/2,IF(BetTable[Outcome2]="Lose",0,IF(BetTable[Outcome2]="Void",BetTable[S2],)))))</f>
        <v>0</v>
      </c>
      <c r="AH840" s="164">
        <f>IF(BetTable[Outcome3]="Win",BetTable[WBA3-Commission],IF(BetTable[Outcome3]="Win Half Stake",(BetTable[S3]/2)+BetTable[WBA3-Commission]/2,IF(BetTable[Outcome3]="Lose Half Stake",BetTable[S3]/2,IF(BetTable[Outcome3]="Lose",0,IF(BetTable[Outcome3]="Void",BetTable[S3],)))))</f>
        <v>0</v>
      </c>
      <c r="AI840" s="168">
        <f>IF(BetTable[Outcome]="",AI839,BetTable[Result]+AI839)</f>
        <v>1440.0792500000011</v>
      </c>
      <c r="AJ840" s="160"/>
    </row>
    <row r="841" spans="1:36" x14ac:dyDescent="0.2">
      <c r="A841" s="159" t="s">
        <v>2094</v>
      </c>
      <c r="B841" s="160" t="s">
        <v>7</v>
      </c>
      <c r="C841" s="161" t="s">
        <v>91</v>
      </c>
      <c r="D841" s="161"/>
      <c r="E841" s="161"/>
      <c r="F841" s="162"/>
      <c r="G841" s="162"/>
      <c r="H841" s="162"/>
      <c r="I841" s="160" t="s">
        <v>2206</v>
      </c>
      <c r="J841" s="163">
        <v>1.96</v>
      </c>
      <c r="K841" s="163"/>
      <c r="L841" s="163"/>
      <c r="M841" s="164">
        <v>28</v>
      </c>
      <c r="N841" s="164"/>
      <c r="O841" s="164"/>
      <c r="P841" s="159" t="s">
        <v>2207</v>
      </c>
      <c r="Q841" s="159" t="s">
        <v>1842</v>
      </c>
      <c r="R841" s="159" t="s">
        <v>2208</v>
      </c>
      <c r="S841" s="165">
        <v>1.7658272914071099E-2</v>
      </c>
      <c r="T841" s="166" t="s">
        <v>382</v>
      </c>
      <c r="U841" s="166"/>
      <c r="V841" s="166"/>
      <c r="W841" s="167">
        <f>IF(BetTable[Sport]="","",BetTable[Stake]+BetTable[S2]+BetTable[S3])</f>
        <v>28</v>
      </c>
      <c r="X841" s="164">
        <f>IF(BetTable[Odds]="","",(BetTable[WBA1-Commission])-BetTable[TS])</f>
        <v>26.879999999999995</v>
      </c>
      <c r="Y841" s="168">
        <f>IF(BetTable[Outcome]="","",BetTable[WBA1]+BetTable[WBA2]+BetTable[WBA3]-BetTable[TS])</f>
        <v>-28</v>
      </c>
      <c r="Z841" s="164">
        <f>(((BetTable[Odds]-1)*BetTable[Stake])*(1-(BetTable[Comm %]))+BetTable[Stake])</f>
        <v>54.879999999999995</v>
      </c>
      <c r="AA841" s="164">
        <f>(((BetTable[O2]-1)*BetTable[S2])*(1-(BetTable[C% 2]))+BetTable[S2])</f>
        <v>0</v>
      </c>
      <c r="AB841" s="164">
        <f>(((BetTable[O3]-1)*BetTable[S3])*(1-(BetTable[C% 3]))+BetTable[S3])</f>
        <v>0</v>
      </c>
      <c r="AC841" s="165">
        <f>IFERROR(IF(BetTable[Sport]="","",BetTable[R1]/BetTable[TS]),"")</f>
        <v>0.95999999999999985</v>
      </c>
      <c r="AD841" s="165" t="str">
        <f>IF(BetTable[O2]="","",#REF!/BetTable[TS])</f>
        <v/>
      </c>
      <c r="AE841" s="165" t="str">
        <f>IFERROR(IF(BetTable[Sport]="","",#REF!/BetTable[TS]),"")</f>
        <v/>
      </c>
      <c r="AF841" s="164">
        <f>IF(BetTable[Outcome]="Win",BetTable[WBA1-Commission],IF(BetTable[Outcome]="Win Half Stake",(BetTable[Stake]/2)+BetTable[WBA1-Commission]/2,IF(BetTable[Outcome]="Lose Half Stake",BetTable[Stake]/2,IF(BetTable[Outcome]="Lose",0,IF(BetTable[Outcome]="Void",BetTable[Stake],)))))</f>
        <v>0</v>
      </c>
      <c r="AG841" s="164">
        <f>IF(BetTable[Outcome2]="Win",BetTable[WBA2-Commission],IF(BetTable[Outcome2]="Win Half Stake",(BetTable[S2]/2)+BetTable[WBA2-Commission]/2,IF(BetTable[Outcome2]="Lose Half Stake",BetTable[S2]/2,IF(BetTable[Outcome2]="Lose",0,IF(BetTable[Outcome2]="Void",BetTable[S2],)))))</f>
        <v>0</v>
      </c>
      <c r="AH841" s="164">
        <f>IF(BetTable[Outcome3]="Win",BetTable[WBA3-Commission],IF(BetTable[Outcome3]="Win Half Stake",(BetTable[S3]/2)+BetTable[WBA3-Commission]/2,IF(BetTable[Outcome3]="Lose Half Stake",BetTable[S3]/2,IF(BetTable[Outcome3]="Lose",0,IF(BetTable[Outcome3]="Void",BetTable[S3],)))))</f>
        <v>0</v>
      </c>
      <c r="AI841" s="168">
        <f>IF(BetTable[Outcome]="",AI840,BetTable[Result]+AI840)</f>
        <v>1412.0792500000011</v>
      </c>
      <c r="AJ841" s="160"/>
    </row>
    <row r="842" spans="1:36" x14ac:dyDescent="0.2">
      <c r="A842" s="159" t="s">
        <v>2094</v>
      </c>
      <c r="B842" s="160" t="s">
        <v>7</v>
      </c>
      <c r="C842" s="161" t="s">
        <v>91</v>
      </c>
      <c r="D842" s="161"/>
      <c r="E842" s="161"/>
      <c r="F842" s="162"/>
      <c r="G842" s="162"/>
      <c r="H842" s="162"/>
      <c r="I842" s="160" t="s">
        <v>2209</v>
      </c>
      <c r="J842" s="163">
        <v>1.99</v>
      </c>
      <c r="K842" s="163"/>
      <c r="L842" s="163"/>
      <c r="M842" s="164">
        <v>31</v>
      </c>
      <c r="N842" s="164"/>
      <c r="O842" s="164"/>
      <c r="P842" s="159" t="s">
        <v>2210</v>
      </c>
      <c r="Q842" s="159" t="s">
        <v>503</v>
      </c>
      <c r="R842" s="159" t="s">
        <v>2211</v>
      </c>
      <c r="S842" s="165">
        <v>2.75475711036176E-2</v>
      </c>
      <c r="T842" s="166" t="s">
        <v>382</v>
      </c>
      <c r="U842" s="166"/>
      <c r="V842" s="166"/>
      <c r="W842" s="167">
        <f>IF(BetTable[Sport]="","",BetTable[Stake]+BetTable[S2]+BetTable[S3])</f>
        <v>31</v>
      </c>
      <c r="X842" s="164">
        <f>IF(BetTable[Odds]="","",(BetTable[WBA1-Commission])-BetTable[TS])</f>
        <v>30.689999999999998</v>
      </c>
      <c r="Y842" s="168">
        <f>IF(BetTable[Outcome]="","",BetTable[WBA1]+BetTable[WBA2]+BetTable[WBA3]-BetTable[TS])</f>
        <v>-31</v>
      </c>
      <c r="Z842" s="164">
        <f>(((BetTable[Odds]-1)*BetTable[Stake])*(1-(BetTable[Comm %]))+BetTable[Stake])</f>
        <v>61.69</v>
      </c>
      <c r="AA842" s="164">
        <f>(((BetTable[O2]-1)*BetTable[S2])*(1-(BetTable[C% 2]))+BetTable[S2])</f>
        <v>0</v>
      </c>
      <c r="AB842" s="164">
        <f>(((BetTable[O3]-1)*BetTable[S3])*(1-(BetTable[C% 3]))+BetTable[S3])</f>
        <v>0</v>
      </c>
      <c r="AC842" s="165">
        <f>IFERROR(IF(BetTable[Sport]="","",BetTable[R1]/BetTable[TS]),"")</f>
        <v>0.98999999999999988</v>
      </c>
      <c r="AD842" s="165" t="str">
        <f>IF(BetTable[O2]="","",#REF!/BetTable[TS])</f>
        <v/>
      </c>
      <c r="AE842" s="165" t="str">
        <f>IFERROR(IF(BetTable[Sport]="","",#REF!/BetTable[TS]),"")</f>
        <v/>
      </c>
      <c r="AF842" s="164">
        <f>IF(BetTable[Outcome]="Win",BetTable[WBA1-Commission],IF(BetTable[Outcome]="Win Half Stake",(BetTable[Stake]/2)+BetTable[WBA1-Commission]/2,IF(BetTable[Outcome]="Lose Half Stake",BetTable[Stake]/2,IF(BetTable[Outcome]="Lose",0,IF(BetTable[Outcome]="Void",BetTable[Stake],)))))</f>
        <v>0</v>
      </c>
      <c r="AG842" s="164">
        <f>IF(BetTable[Outcome2]="Win",BetTable[WBA2-Commission],IF(BetTable[Outcome2]="Win Half Stake",(BetTable[S2]/2)+BetTable[WBA2-Commission]/2,IF(BetTable[Outcome2]="Lose Half Stake",BetTable[S2]/2,IF(BetTable[Outcome2]="Lose",0,IF(BetTable[Outcome2]="Void",BetTable[S2],)))))</f>
        <v>0</v>
      </c>
      <c r="AH842" s="164">
        <f>IF(BetTable[Outcome3]="Win",BetTable[WBA3-Commission],IF(BetTable[Outcome3]="Win Half Stake",(BetTable[S3]/2)+BetTable[WBA3-Commission]/2,IF(BetTable[Outcome3]="Lose Half Stake",BetTable[S3]/2,IF(BetTable[Outcome3]="Lose",0,IF(BetTable[Outcome3]="Void",BetTable[S3],)))))</f>
        <v>0</v>
      </c>
      <c r="AI842" s="168">
        <f>IF(BetTable[Outcome]="",AI841,BetTable[Result]+AI841)</f>
        <v>1381.0792500000011</v>
      </c>
      <c r="AJ842" s="160"/>
    </row>
    <row r="843" spans="1:36" x14ac:dyDescent="0.2">
      <c r="A843" s="159" t="s">
        <v>2094</v>
      </c>
      <c r="B843" s="160" t="s">
        <v>200</v>
      </c>
      <c r="C843" s="161" t="s">
        <v>1714</v>
      </c>
      <c r="D843" s="161"/>
      <c r="E843" s="161"/>
      <c r="F843" s="162"/>
      <c r="G843" s="162"/>
      <c r="H843" s="162"/>
      <c r="I843" s="160" t="s">
        <v>2212</v>
      </c>
      <c r="J843" s="163">
        <v>2</v>
      </c>
      <c r="K843" s="163"/>
      <c r="L843" s="163"/>
      <c r="M843" s="164">
        <v>35</v>
      </c>
      <c r="N843" s="164"/>
      <c r="O843" s="164"/>
      <c r="P843" s="159" t="s">
        <v>668</v>
      </c>
      <c r="Q843" s="159" t="s">
        <v>703</v>
      </c>
      <c r="R843" s="159" t="s">
        <v>2213</v>
      </c>
      <c r="S843" s="165">
        <v>2.2474631036900401E-2</v>
      </c>
      <c r="T843" s="166" t="s">
        <v>382</v>
      </c>
      <c r="U843" s="166"/>
      <c r="V843" s="166"/>
      <c r="W843" s="167">
        <f>IF(BetTable[Sport]="","",BetTable[Stake]+BetTable[S2]+BetTable[S3])</f>
        <v>35</v>
      </c>
      <c r="X843" s="164">
        <f>IF(BetTable[Odds]="","",(BetTable[WBA1-Commission])-BetTable[TS])</f>
        <v>35</v>
      </c>
      <c r="Y843" s="168">
        <f>IF(BetTable[Outcome]="","",BetTable[WBA1]+BetTable[WBA2]+BetTable[WBA3]-BetTable[TS])</f>
        <v>-35</v>
      </c>
      <c r="Z843" s="164">
        <f>(((BetTable[Odds]-1)*BetTable[Stake])*(1-(BetTable[Comm %]))+BetTable[Stake])</f>
        <v>70</v>
      </c>
      <c r="AA843" s="164">
        <f>(((BetTable[O2]-1)*BetTable[S2])*(1-(BetTable[C% 2]))+BetTable[S2])</f>
        <v>0</v>
      </c>
      <c r="AB843" s="164">
        <f>(((BetTable[O3]-1)*BetTable[S3])*(1-(BetTable[C% 3]))+BetTable[S3])</f>
        <v>0</v>
      </c>
      <c r="AC843" s="165">
        <f>IFERROR(IF(BetTable[Sport]="","",BetTable[R1]/BetTable[TS]),"")</f>
        <v>1</v>
      </c>
      <c r="AD843" s="165" t="str">
        <f>IF(BetTable[O2]="","",#REF!/BetTable[TS])</f>
        <v/>
      </c>
      <c r="AE843" s="165" t="str">
        <f>IFERROR(IF(BetTable[Sport]="","",#REF!/BetTable[TS]),"")</f>
        <v/>
      </c>
      <c r="AF843" s="164">
        <f>IF(BetTable[Outcome]="Win",BetTable[WBA1-Commission],IF(BetTable[Outcome]="Win Half Stake",(BetTable[Stake]/2)+BetTable[WBA1-Commission]/2,IF(BetTable[Outcome]="Lose Half Stake",BetTable[Stake]/2,IF(BetTable[Outcome]="Lose",0,IF(BetTable[Outcome]="Void",BetTable[Stake],)))))</f>
        <v>0</v>
      </c>
      <c r="AG843" s="164">
        <f>IF(BetTable[Outcome2]="Win",BetTable[WBA2-Commission],IF(BetTable[Outcome2]="Win Half Stake",(BetTable[S2]/2)+BetTable[WBA2-Commission]/2,IF(BetTable[Outcome2]="Lose Half Stake",BetTable[S2]/2,IF(BetTable[Outcome2]="Lose",0,IF(BetTable[Outcome2]="Void",BetTable[S2],)))))</f>
        <v>0</v>
      </c>
      <c r="AH843" s="164">
        <f>IF(BetTable[Outcome3]="Win",BetTable[WBA3-Commission],IF(BetTable[Outcome3]="Win Half Stake",(BetTable[S3]/2)+BetTable[WBA3-Commission]/2,IF(BetTable[Outcome3]="Lose Half Stake",BetTable[S3]/2,IF(BetTable[Outcome3]="Lose",0,IF(BetTable[Outcome3]="Void",BetTable[S3],)))))</f>
        <v>0</v>
      </c>
      <c r="AI843" s="168">
        <f>IF(BetTable[Outcome]="",AI842,BetTable[Result]+AI842)</f>
        <v>1346.0792500000011</v>
      </c>
      <c r="AJ843" s="160"/>
    </row>
    <row r="844" spans="1:36" x14ac:dyDescent="0.2">
      <c r="A844" s="159" t="s">
        <v>2094</v>
      </c>
      <c r="B844" s="160" t="s">
        <v>200</v>
      </c>
      <c r="C844" s="161" t="s">
        <v>1714</v>
      </c>
      <c r="D844" s="161"/>
      <c r="E844" s="161"/>
      <c r="F844" s="162"/>
      <c r="G844" s="162"/>
      <c r="H844" s="162"/>
      <c r="I844" s="160" t="s">
        <v>2214</v>
      </c>
      <c r="J844" s="163">
        <v>3.1</v>
      </c>
      <c r="K844" s="163"/>
      <c r="L844" s="163"/>
      <c r="M844" s="164">
        <v>26</v>
      </c>
      <c r="N844" s="164"/>
      <c r="O844" s="164"/>
      <c r="P844" s="159" t="s">
        <v>494</v>
      </c>
      <c r="Q844" s="159" t="s">
        <v>839</v>
      </c>
      <c r="R844" s="159" t="s">
        <v>2215</v>
      </c>
      <c r="S844" s="165">
        <v>4.5724616359009498E-2</v>
      </c>
      <c r="T844" s="166" t="s">
        <v>382</v>
      </c>
      <c r="U844" s="166"/>
      <c r="V844" s="166"/>
      <c r="W844" s="167">
        <f>IF(BetTable[Sport]="","",BetTable[Stake]+BetTable[S2]+BetTable[S3])</f>
        <v>26</v>
      </c>
      <c r="X844" s="164">
        <f>IF(BetTable[Odds]="","",(BetTable[WBA1-Commission])-BetTable[TS])</f>
        <v>54.599999999999994</v>
      </c>
      <c r="Y844" s="168">
        <f>IF(BetTable[Outcome]="","",BetTable[WBA1]+BetTable[WBA2]+BetTable[WBA3]-BetTable[TS])</f>
        <v>-26</v>
      </c>
      <c r="Z844" s="164">
        <f>(((BetTable[Odds]-1)*BetTable[Stake])*(1-(BetTable[Comm %]))+BetTable[Stake])</f>
        <v>80.599999999999994</v>
      </c>
      <c r="AA844" s="164">
        <f>(((BetTable[O2]-1)*BetTable[S2])*(1-(BetTable[C% 2]))+BetTable[S2])</f>
        <v>0</v>
      </c>
      <c r="AB844" s="164">
        <f>(((BetTable[O3]-1)*BetTable[S3])*(1-(BetTable[C% 3]))+BetTable[S3])</f>
        <v>0</v>
      </c>
      <c r="AC844" s="165">
        <f>IFERROR(IF(BetTable[Sport]="","",BetTable[R1]/BetTable[TS]),"")</f>
        <v>2.0999999999999996</v>
      </c>
      <c r="AD844" s="165" t="str">
        <f>IF(BetTable[O2]="","",#REF!/BetTable[TS])</f>
        <v/>
      </c>
      <c r="AE844" s="165" t="str">
        <f>IFERROR(IF(BetTable[Sport]="","",#REF!/BetTable[TS]),"")</f>
        <v/>
      </c>
      <c r="AF844" s="164">
        <f>IF(BetTable[Outcome]="Win",BetTable[WBA1-Commission],IF(BetTable[Outcome]="Win Half Stake",(BetTable[Stake]/2)+BetTable[WBA1-Commission]/2,IF(BetTable[Outcome]="Lose Half Stake",BetTable[Stake]/2,IF(BetTable[Outcome]="Lose",0,IF(BetTable[Outcome]="Void",BetTable[Stake],)))))</f>
        <v>0</v>
      </c>
      <c r="AG844" s="164">
        <f>IF(BetTable[Outcome2]="Win",BetTable[WBA2-Commission],IF(BetTable[Outcome2]="Win Half Stake",(BetTable[S2]/2)+BetTable[WBA2-Commission]/2,IF(BetTable[Outcome2]="Lose Half Stake",BetTable[S2]/2,IF(BetTable[Outcome2]="Lose",0,IF(BetTable[Outcome2]="Void",BetTable[S2],)))))</f>
        <v>0</v>
      </c>
      <c r="AH844" s="164">
        <f>IF(BetTable[Outcome3]="Win",BetTable[WBA3-Commission],IF(BetTable[Outcome3]="Win Half Stake",(BetTable[S3]/2)+BetTable[WBA3-Commission]/2,IF(BetTable[Outcome3]="Lose Half Stake",BetTable[S3]/2,IF(BetTable[Outcome3]="Lose",0,IF(BetTable[Outcome3]="Void",BetTable[S3],)))))</f>
        <v>0</v>
      </c>
      <c r="AI844" s="168">
        <f>IF(BetTable[Outcome]="",AI843,BetTable[Result]+AI843)</f>
        <v>1320.0792500000011</v>
      </c>
      <c r="AJ844" s="160"/>
    </row>
    <row r="845" spans="1:36" x14ac:dyDescent="0.2">
      <c r="A845" s="159" t="s">
        <v>2094</v>
      </c>
      <c r="B845" s="160" t="s">
        <v>200</v>
      </c>
      <c r="C845" s="161" t="s">
        <v>216</v>
      </c>
      <c r="D845" s="161"/>
      <c r="E845" s="161"/>
      <c r="F845" s="162"/>
      <c r="G845" s="162"/>
      <c r="H845" s="162"/>
      <c r="I845" s="160" t="s">
        <v>1959</v>
      </c>
      <c r="J845" s="163">
        <v>1.69</v>
      </c>
      <c r="K845" s="163"/>
      <c r="L845" s="163"/>
      <c r="M845" s="164">
        <v>31</v>
      </c>
      <c r="N845" s="164"/>
      <c r="O845" s="164"/>
      <c r="P845" s="159" t="s">
        <v>351</v>
      </c>
      <c r="Q845" s="159" t="s">
        <v>461</v>
      </c>
      <c r="R845" s="159" t="s">
        <v>2216</v>
      </c>
      <c r="S845" s="165">
        <v>2.6413053996668E-2</v>
      </c>
      <c r="T845" s="166" t="s">
        <v>382</v>
      </c>
      <c r="U845" s="166"/>
      <c r="V845" s="166"/>
      <c r="W845" s="167">
        <f>IF(BetTable[Sport]="","",BetTable[Stake]+BetTable[S2]+BetTable[S3])</f>
        <v>31</v>
      </c>
      <c r="X845" s="164">
        <f>IF(BetTable[Odds]="","",(BetTable[WBA1-Commission])-BetTable[TS])</f>
        <v>21.39</v>
      </c>
      <c r="Y845" s="168">
        <f>IF(BetTable[Outcome]="","",BetTable[WBA1]+BetTable[WBA2]+BetTable[WBA3]-BetTable[TS])</f>
        <v>-31</v>
      </c>
      <c r="Z845" s="164">
        <f>(((BetTable[Odds]-1)*BetTable[Stake])*(1-(BetTable[Comm %]))+BetTable[Stake])</f>
        <v>52.39</v>
      </c>
      <c r="AA845" s="164">
        <f>(((BetTable[O2]-1)*BetTable[S2])*(1-(BetTable[C% 2]))+BetTable[S2])</f>
        <v>0</v>
      </c>
      <c r="AB845" s="164">
        <f>(((BetTable[O3]-1)*BetTable[S3])*(1-(BetTable[C% 3]))+BetTable[S3])</f>
        <v>0</v>
      </c>
      <c r="AC845" s="165">
        <f>IFERROR(IF(BetTable[Sport]="","",BetTable[R1]/BetTable[TS]),"")</f>
        <v>0.69000000000000006</v>
      </c>
      <c r="AD845" s="165" t="str">
        <f>IF(BetTable[O2]="","",#REF!/BetTable[TS])</f>
        <v/>
      </c>
      <c r="AE845" s="165" t="str">
        <f>IFERROR(IF(BetTable[Sport]="","",#REF!/BetTable[TS]),"")</f>
        <v/>
      </c>
      <c r="AF845" s="164">
        <f>IF(BetTable[Outcome]="Win",BetTable[WBA1-Commission],IF(BetTable[Outcome]="Win Half Stake",(BetTable[Stake]/2)+BetTable[WBA1-Commission]/2,IF(BetTable[Outcome]="Lose Half Stake",BetTable[Stake]/2,IF(BetTable[Outcome]="Lose",0,IF(BetTable[Outcome]="Void",BetTable[Stake],)))))</f>
        <v>0</v>
      </c>
      <c r="AG845" s="164">
        <f>IF(BetTable[Outcome2]="Win",BetTable[WBA2-Commission],IF(BetTable[Outcome2]="Win Half Stake",(BetTable[S2]/2)+BetTable[WBA2-Commission]/2,IF(BetTable[Outcome2]="Lose Half Stake",BetTable[S2]/2,IF(BetTable[Outcome2]="Lose",0,IF(BetTable[Outcome2]="Void",BetTable[S2],)))))</f>
        <v>0</v>
      </c>
      <c r="AH845" s="164">
        <f>IF(BetTable[Outcome3]="Win",BetTable[WBA3-Commission],IF(BetTable[Outcome3]="Win Half Stake",(BetTable[S3]/2)+BetTable[WBA3-Commission]/2,IF(BetTable[Outcome3]="Lose Half Stake",BetTable[S3]/2,IF(BetTable[Outcome3]="Lose",0,IF(BetTable[Outcome3]="Void",BetTable[S3],)))))</f>
        <v>0</v>
      </c>
      <c r="AI845" s="168">
        <f>IF(BetTable[Outcome]="",AI844,BetTable[Result]+AI844)</f>
        <v>1289.0792500000011</v>
      </c>
      <c r="AJ845" s="160"/>
    </row>
    <row r="846" spans="1:36" x14ac:dyDescent="0.2">
      <c r="A846" s="159" t="s">
        <v>2094</v>
      </c>
      <c r="B846" s="160" t="s">
        <v>200</v>
      </c>
      <c r="C846" s="161" t="s">
        <v>1714</v>
      </c>
      <c r="D846" s="161"/>
      <c r="E846" s="161"/>
      <c r="F846" s="162"/>
      <c r="G846" s="162"/>
      <c r="H846" s="162"/>
      <c r="I846" s="160" t="s">
        <v>2217</v>
      </c>
      <c r="J846" s="163">
        <v>1.77</v>
      </c>
      <c r="K846" s="163"/>
      <c r="L846" s="163"/>
      <c r="M846" s="164">
        <v>63</v>
      </c>
      <c r="N846" s="164"/>
      <c r="O846" s="164"/>
      <c r="P846" s="159" t="s">
        <v>791</v>
      </c>
      <c r="Q846" s="159" t="s">
        <v>495</v>
      </c>
      <c r="R846" s="159" t="s">
        <v>2218</v>
      </c>
      <c r="S846" s="165">
        <v>3.1329805753020197E-2</v>
      </c>
      <c r="T846" s="166" t="s">
        <v>382</v>
      </c>
      <c r="U846" s="166"/>
      <c r="V846" s="166"/>
      <c r="W846" s="167">
        <f>IF(BetTable[Sport]="","",BetTable[Stake]+BetTable[S2]+BetTable[S3])</f>
        <v>63</v>
      </c>
      <c r="X846" s="164">
        <f>IF(BetTable[Odds]="","",(BetTable[WBA1-Commission])-BetTable[TS])</f>
        <v>48.509999999999991</v>
      </c>
      <c r="Y846" s="168">
        <f>IF(BetTable[Outcome]="","",BetTable[WBA1]+BetTable[WBA2]+BetTable[WBA3]-BetTable[TS])</f>
        <v>-63</v>
      </c>
      <c r="Z846" s="164">
        <f>(((BetTable[Odds]-1)*BetTable[Stake])*(1-(BetTable[Comm %]))+BetTable[Stake])</f>
        <v>111.50999999999999</v>
      </c>
      <c r="AA846" s="164">
        <f>(((BetTable[O2]-1)*BetTable[S2])*(1-(BetTable[C% 2]))+BetTable[S2])</f>
        <v>0</v>
      </c>
      <c r="AB846" s="164">
        <f>(((BetTable[O3]-1)*BetTable[S3])*(1-(BetTable[C% 3]))+BetTable[S3])</f>
        <v>0</v>
      </c>
      <c r="AC846" s="165">
        <f>IFERROR(IF(BetTable[Sport]="","",BetTable[R1]/BetTable[TS]),"")</f>
        <v>0.76999999999999991</v>
      </c>
      <c r="AD846" s="165" t="str">
        <f>IF(BetTable[O2]="","",#REF!/BetTable[TS])</f>
        <v/>
      </c>
      <c r="AE846" s="165" t="str">
        <f>IFERROR(IF(BetTable[Sport]="","",#REF!/BetTable[TS]),"")</f>
        <v/>
      </c>
      <c r="AF846" s="164">
        <f>IF(BetTable[Outcome]="Win",BetTable[WBA1-Commission],IF(BetTable[Outcome]="Win Half Stake",(BetTable[Stake]/2)+BetTable[WBA1-Commission]/2,IF(BetTable[Outcome]="Lose Half Stake",BetTable[Stake]/2,IF(BetTable[Outcome]="Lose",0,IF(BetTable[Outcome]="Void",BetTable[Stake],)))))</f>
        <v>0</v>
      </c>
      <c r="AG846" s="164">
        <f>IF(BetTable[Outcome2]="Win",BetTable[WBA2-Commission],IF(BetTable[Outcome2]="Win Half Stake",(BetTable[S2]/2)+BetTable[WBA2-Commission]/2,IF(BetTable[Outcome2]="Lose Half Stake",BetTable[S2]/2,IF(BetTable[Outcome2]="Lose",0,IF(BetTable[Outcome2]="Void",BetTable[S2],)))))</f>
        <v>0</v>
      </c>
      <c r="AH846" s="164">
        <f>IF(BetTable[Outcome3]="Win",BetTable[WBA3-Commission],IF(BetTable[Outcome3]="Win Half Stake",(BetTable[S3]/2)+BetTable[WBA3-Commission]/2,IF(BetTable[Outcome3]="Lose Half Stake",BetTable[S3]/2,IF(BetTable[Outcome3]="Lose",0,IF(BetTable[Outcome3]="Void",BetTable[S3],)))))</f>
        <v>0</v>
      </c>
      <c r="AI846" s="168">
        <f>IF(BetTable[Outcome]="",AI845,BetTable[Result]+AI845)</f>
        <v>1226.0792500000011</v>
      </c>
      <c r="AJ846" s="160"/>
    </row>
    <row r="847" spans="1:36" x14ac:dyDescent="0.2">
      <c r="A847" s="159" t="s">
        <v>2094</v>
      </c>
      <c r="B847" s="160" t="s">
        <v>200</v>
      </c>
      <c r="C847" s="161" t="s">
        <v>1714</v>
      </c>
      <c r="D847" s="161"/>
      <c r="E847" s="161"/>
      <c r="F847" s="162"/>
      <c r="G847" s="162"/>
      <c r="H847" s="162"/>
      <c r="I847" s="160" t="s">
        <v>2219</v>
      </c>
      <c r="J847" s="163">
        <v>1.62</v>
      </c>
      <c r="K847" s="163"/>
      <c r="L847" s="163"/>
      <c r="M847" s="164">
        <v>53</v>
      </c>
      <c r="N847" s="164"/>
      <c r="O847" s="164"/>
      <c r="P847" s="159" t="s">
        <v>351</v>
      </c>
      <c r="Q847" s="159" t="s">
        <v>461</v>
      </c>
      <c r="R847" s="159" t="s">
        <v>2220</v>
      </c>
      <c r="S847" s="165">
        <v>2.11626868260417E-2</v>
      </c>
      <c r="T847" s="166" t="s">
        <v>372</v>
      </c>
      <c r="U847" s="166"/>
      <c r="V847" s="166"/>
      <c r="W847" s="167">
        <f>IF(BetTable[Sport]="","",BetTable[Stake]+BetTable[S2]+BetTable[S3])</f>
        <v>53</v>
      </c>
      <c r="X847" s="164">
        <f>IF(BetTable[Odds]="","",(BetTable[WBA1-Commission])-BetTable[TS])</f>
        <v>32.860000000000014</v>
      </c>
      <c r="Y847" s="168">
        <f>IF(BetTable[Outcome]="","",BetTable[WBA1]+BetTable[WBA2]+BetTable[WBA3]-BetTable[TS])</f>
        <v>32.860000000000014</v>
      </c>
      <c r="Z847" s="164">
        <f>(((BetTable[Odds]-1)*BetTable[Stake])*(1-(BetTable[Comm %]))+BetTable[Stake])</f>
        <v>85.860000000000014</v>
      </c>
      <c r="AA847" s="164">
        <f>(((BetTable[O2]-1)*BetTable[S2])*(1-(BetTable[C% 2]))+BetTable[S2])</f>
        <v>0</v>
      </c>
      <c r="AB847" s="164">
        <f>(((BetTable[O3]-1)*BetTable[S3])*(1-(BetTable[C% 3]))+BetTable[S3])</f>
        <v>0</v>
      </c>
      <c r="AC847" s="165">
        <f>IFERROR(IF(BetTable[Sport]="","",BetTable[R1]/BetTable[TS]),"")</f>
        <v>0.62000000000000022</v>
      </c>
      <c r="AD847" s="165" t="str">
        <f>IF(BetTable[O2]="","",#REF!/BetTable[TS])</f>
        <v/>
      </c>
      <c r="AE847" s="165" t="str">
        <f>IFERROR(IF(BetTable[Sport]="","",#REF!/BetTable[TS]),"")</f>
        <v/>
      </c>
      <c r="AF847" s="164">
        <f>IF(BetTable[Outcome]="Win",BetTable[WBA1-Commission],IF(BetTable[Outcome]="Win Half Stake",(BetTable[Stake]/2)+BetTable[WBA1-Commission]/2,IF(BetTable[Outcome]="Lose Half Stake",BetTable[Stake]/2,IF(BetTable[Outcome]="Lose",0,IF(BetTable[Outcome]="Void",BetTable[Stake],)))))</f>
        <v>85.860000000000014</v>
      </c>
      <c r="AG847" s="164">
        <f>IF(BetTable[Outcome2]="Win",BetTable[WBA2-Commission],IF(BetTable[Outcome2]="Win Half Stake",(BetTable[S2]/2)+BetTable[WBA2-Commission]/2,IF(BetTable[Outcome2]="Lose Half Stake",BetTable[S2]/2,IF(BetTable[Outcome2]="Lose",0,IF(BetTable[Outcome2]="Void",BetTable[S2],)))))</f>
        <v>0</v>
      </c>
      <c r="AH847" s="164">
        <f>IF(BetTable[Outcome3]="Win",BetTable[WBA3-Commission],IF(BetTable[Outcome3]="Win Half Stake",(BetTable[S3]/2)+BetTable[WBA3-Commission]/2,IF(BetTable[Outcome3]="Lose Half Stake",BetTable[S3]/2,IF(BetTable[Outcome3]="Lose",0,IF(BetTable[Outcome3]="Void",BetTable[S3],)))))</f>
        <v>0</v>
      </c>
      <c r="AI847" s="168">
        <f>IF(BetTable[Outcome]="",AI846,BetTable[Result]+AI846)</f>
        <v>1258.9392500000013</v>
      </c>
      <c r="AJ847" s="160"/>
    </row>
    <row r="848" spans="1:36" x14ac:dyDescent="0.2">
      <c r="A848" s="159" t="s">
        <v>2094</v>
      </c>
      <c r="B848" s="160" t="s">
        <v>200</v>
      </c>
      <c r="C848" s="161" t="s">
        <v>1714</v>
      </c>
      <c r="D848" s="161"/>
      <c r="E848" s="161"/>
      <c r="F848" s="162"/>
      <c r="G848" s="162"/>
      <c r="H848" s="162"/>
      <c r="I848" s="160" t="s">
        <v>2221</v>
      </c>
      <c r="J848" s="163">
        <v>1.88</v>
      </c>
      <c r="K848" s="163"/>
      <c r="L848" s="163"/>
      <c r="M848" s="164">
        <v>46</v>
      </c>
      <c r="N848" s="164"/>
      <c r="O848" s="164"/>
      <c r="P848" s="159" t="s">
        <v>469</v>
      </c>
      <c r="Q848" s="159" t="s">
        <v>503</v>
      </c>
      <c r="R848" s="159" t="s">
        <v>2222</v>
      </c>
      <c r="S848" s="165">
        <v>2.59116651511077E-2</v>
      </c>
      <c r="T848" s="166" t="s">
        <v>382</v>
      </c>
      <c r="U848" s="166"/>
      <c r="V848" s="166"/>
      <c r="W848" s="167">
        <f>IF(BetTable[Sport]="","",BetTable[Stake]+BetTable[S2]+BetTable[S3])</f>
        <v>46</v>
      </c>
      <c r="X848" s="164">
        <f>IF(BetTable[Odds]="","",(BetTable[WBA1-Commission])-BetTable[TS])</f>
        <v>40.47999999999999</v>
      </c>
      <c r="Y848" s="168">
        <f>IF(BetTable[Outcome]="","",BetTable[WBA1]+BetTable[WBA2]+BetTable[WBA3]-BetTable[TS])</f>
        <v>-46</v>
      </c>
      <c r="Z848" s="164">
        <f>(((BetTable[Odds]-1)*BetTable[Stake])*(1-(BetTable[Comm %]))+BetTable[Stake])</f>
        <v>86.47999999999999</v>
      </c>
      <c r="AA848" s="164">
        <f>(((BetTable[O2]-1)*BetTable[S2])*(1-(BetTable[C% 2]))+BetTable[S2])</f>
        <v>0</v>
      </c>
      <c r="AB848" s="164">
        <f>(((BetTable[O3]-1)*BetTable[S3])*(1-(BetTable[C% 3]))+BetTable[S3])</f>
        <v>0</v>
      </c>
      <c r="AC848" s="165">
        <f>IFERROR(IF(BetTable[Sport]="","",BetTable[R1]/BetTable[TS]),"")</f>
        <v>0.87999999999999978</v>
      </c>
      <c r="AD848" s="165" t="str">
        <f>IF(BetTable[O2]="","",#REF!/BetTable[TS])</f>
        <v/>
      </c>
      <c r="AE848" s="165" t="str">
        <f>IFERROR(IF(BetTable[Sport]="","",#REF!/BetTable[TS]),"")</f>
        <v/>
      </c>
      <c r="AF848" s="164">
        <f>IF(BetTable[Outcome]="Win",BetTable[WBA1-Commission],IF(BetTable[Outcome]="Win Half Stake",(BetTable[Stake]/2)+BetTable[WBA1-Commission]/2,IF(BetTable[Outcome]="Lose Half Stake",BetTable[Stake]/2,IF(BetTable[Outcome]="Lose",0,IF(BetTable[Outcome]="Void",BetTable[Stake],)))))</f>
        <v>0</v>
      </c>
      <c r="AG848" s="164">
        <f>IF(BetTable[Outcome2]="Win",BetTable[WBA2-Commission],IF(BetTable[Outcome2]="Win Half Stake",(BetTable[S2]/2)+BetTable[WBA2-Commission]/2,IF(BetTable[Outcome2]="Lose Half Stake",BetTable[S2]/2,IF(BetTable[Outcome2]="Lose",0,IF(BetTable[Outcome2]="Void",BetTable[S2],)))))</f>
        <v>0</v>
      </c>
      <c r="AH848" s="164">
        <f>IF(BetTable[Outcome3]="Win",BetTable[WBA3-Commission],IF(BetTable[Outcome3]="Win Half Stake",(BetTable[S3]/2)+BetTable[WBA3-Commission]/2,IF(BetTable[Outcome3]="Lose Half Stake",BetTable[S3]/2,IF(BetTable[Outcome3]="Lose",0,IF(BetTable[Outcome3]="Void",BetTable[S3],)))))</f>
        <v>0</v>
      </c>
      <c r="AI848" s="168">
        <f>IF(BetTable[Outcome]="",AI847,BetTable[Result]+AI847)</f>
        <v>1212.9392500000013</v>
      </c>
      <c r="AJ848" s="160"/>
    </row>
    <row r="849" spans="1:36" x14ac:dyDescent="0.2">
      <c r="A849" s="159" t="s">
        <v>2094</v>
      </c>
      <c r="B849" s="160" t="s">
        <v>200</v>
      </c>
      <c r="C849" s="161" t="s">
        <v>1714</v>
      </c>
      <c r="D849" s="161"/>
      <c r="E849" s="161"/>
      <c r="F849" s="162"/>
      <c r="G849" s="162"/>
      <c r="H849" s="162"/>
      <c r="I849" s="160" t="s">
        <v>2223</v>
      </c>
      <c r="J849" s="163">
        <v>1.85</v>
      </c>
      <c r="K849" s="163"/>
      <c r="L849" s="163"/>
      <c r="M849" s="164">
        <v>36</v>
      </c>
      <c r="N849" s="164"/>
      <c r="O849" s="164"/>
      <c r="P849" s="159" t="s">
        <v>435</v>
      </c>
      <c r="Q849" s="159" t="s">
        <v>703</v>
      </c>
      <c r="R849" s="159" t="s">
        <v>2224</v>
      </c>
      <c r="S849" s="165">
        <v>2.3867065391682998E-2</v>
      </c>
      <c r="T849" s="166" t="s">
        <v>382</v>
      </c>
      <c r="U849" s="166"/>
      <c r="V849" s="166"/>
      <c r="W849" s="167">
        <f>IF(BetTable[Sport]="","",BetTable[Stake]+BetTable[S2]+BetTable[S3])</f>
        <v>36</v>
      </c>
      <c r="X849" s="164">
        <f>IF(BetTable[Odds]="","",(BetTable[WBA1-Commission])-BetTable[TS])</f>
        <v>30.599999999999994</v>
      </c>
      <c r="Y849" s="168">
        <f>IF(BetTable[Outcome]="","",BetTable[WBA1]+BetTable[WBA2]+BetTable[WBA3]-BetTable[TS])</f>
        <v>-36</v>
      </c>
      <c r="Z849" s="164">
        <f>(((BetTable[Odds]-1)*BetTable[Stake])*(1-(BetTable[Comm %]))+BetTable[Stake])</f>
        <v>66.599999999999994</v>
      </c>
      <c r="AA849" s="164">
        <f>(((BetTable[O2]-1)*BetTable[S2])*(1-(BetTable[C% 2]))+BetTable[S2])</f>
        <v>0</v>
      </c>
      <c r="AB849" s="164">
        <f>(((BetTable[O3]-1)*BetTable[S3])*(1-(BetTable[C% 3]))+BetTable[S3])</f>
        <v>0</v>
      </c>
      <c r="AC849" s="165">
        <f>IFERROR(IF(BetTable[Sport]="","",BetTable[R1]/BetTable[TS]),"")</f>
        <v>0.84999999999999987</v>
      </c>
      <c r="AD849" s="165" t="str">
        <f>IF(BetTable[O2]="","",#REF!/BetTable[TS])</f>
        <v/>
      </c>
      <c r="AE849" s="165" t="str">
        <f>IFERROR(IF(BetTable[Sport]="","",#REF!/BetTable[TS]),"")</f>
        <v/>
      </c>
      <c r="AF849" s="164">
        <f>IF(BetTable[Outcome]="Win",BetTable[WBA1-Commission],IF(BetTable[Outcome]="Win Half Stake",(BetTable[Stake]/2)+BetTable[WBA1-Commission]/2,IF(BetTable[Outcome]="Lose Half Stake",BetTable[Stake]/2,IF(BetTable[Outcome]="Lose",0,IF(BetTable[Outcome]="Void",BetTable[Stake],)))))</f>
        <v>0</v>
      </c>
      <c r="AG849" s="164">
        <f>IF(BetTable[Outcome2]="Win",BetTable[WBA2-Commission],IF(BetTable[Outcome2]="Win Half Stake",(BetTable[S2]/2)+BetTable[WBA2-Commission]/2,IF(BetTable[Outcome2]="Lose Half Stake",BetTable[S2]/2,IF(BetTable[Outcome2]="Lose",0,IF(BetTable[Outcome2]="Void",BetTable[S2],)))))</f>
        <v>0</v>
      </c>
      <c r="AH849" s="164">
        <f>IF(BetTable[Outcome3]="Win",BetTable[WBA3-Commission],IF(BetTable[Outcome3]="Win Half Stake",(BetTable[S3]/2)+BetTable[WBA3-Commission]/2,IF(BetTable[Outcome3]="Lose Half Stake",BetTable[S3]/2,IF(BetTable[Outcome3]="Lose",0,IF(BetTable[Outcome3]="Void",BetTable[S3],)))))</f>
        <v>0</v>
      </c>
      <c r="AI849" s="168">
        <f>IF(BetTable[Outcome]="",AI848,BetTable[Result]+AI848)</f>
        <v>1176.9392500000013</v>
      </c>
      <c r="AJ849" s="160"/>
    </row>
    <row r="850" spans="1:36" x14ac:dyDescent="0.2">
      <c r="A850" s="159" t="s">
        <v>2094</v>
      </c>
      <c r="B850" s="160" t="s">
        <v>7</v>
      </c>
      <c r="C850" s="161" t="s">
        <v>91</v>
      </c>
      <c r="D850" s="161"/>
      <c r="E850" s="161"/>
      <c r="F850" s="162"/>
      <c r="G850" s="162"/>
      <c r="H850" s="162"/>
      <c r="I850" s="160" t="s">
        <v>2225</v>
      </c>
      <c r="J850" s="163">
        <v>1.98</v>
      </c>
      <c r="K850" s="163"/>
      <c r="L850" s="163"/>
      <c r="M850" s="164">
        <v>23</v>
      </c>
      <c r="N850" s="164"/>
      <c r="O850" s="164"/>
      <c r="P850" s="159" t="s">
        <v>2207</v>
      </c>
      <c r="Q850" s="159" t="s">
        <v>482</v>
      </c>
      <c r="R850" s="159" t="s">
        <v>2226</v>
      </c>
      <c r="S850" s="165">
        <v>2.0017317083515399E-2</v>
      </c>
      <c r="T850" s="166" t="s">
        <v>382</v>
      </c>
      <c r="U850" s="166"/>
      <c r="V850" s="166"/>
      <c r="W850" s="167">
        <f>IF(BetTable[Sport]="","",BetTable[Stake]+BetTable[S2]+BetTable[S3])</f>
        <v>23</v>
      </c>
      <c r="X850" s="164">
        <f>IF(BetTable[Odds]="","",(BetTable[WBA1-Commission])-BetTable[TS])</f>
        <v>22.54</v>
      </c>
      <c r="Y850" s="168">
        <f>IF(BetTable[Outcome]="","",BetTable[WBA1]+BetTable[WBA2]+BetTable[WBA3]-BetTable[TS])</f>
        <v>-23</v>
      </c>
      <c r="Z850" s="164">
        <f>(((BetTable[Odds]-1)*BetTable[Stake])*(1-(BetTable[Comm %]))+BetTable[Stake])</f>
        <v>45.54</v>
      </c>
      <c r="AA850" s="164">
        <f>(((BetTable[O2]-1)*BetTable[S2])*(1-(BetTable[C% 2]))+BetTable[S2])</f>
        <v>0</v>
      </c>
      <c r="AB850" s="164">
        <f>(((BetTable[O3]-1)*BetTable[S3])*(1-(BetTable[C% 3]))+BetTable[S3])</f>
        <v>0</v>
      </c>
      <c r="AC850" s="165">
        <f>IFERROR(IF(BetTable[Sport]="","",BetTable[R1]/BetTable[TS]),"")</f>
        <v>0.98</v>
      </c>
      <c r="AD850" s="165" t="str">
        <f>IF(BetTable[O2]="","",#REF!/BetTable[TS])</f>
        <v/>
      </c>
      <c r="AE850" s="165" t="str">
        <f>IFERROR(IF(BetTable[Sport]="","",#REF!/BetTable[TS]),"")</f>
        <v/>
      </c>
      <c r="AF850" s="164">
        <f>IF(BetTable[Outcome]="Win",BetTable[WBA1-Commission],IF(BetTable[Outcome]="Win Half Stake",(BetTable[Stake]/2)+BetTable[WBA1-Commission]/2,IF(BetTable[Outcome]="Lose Half Stake",BetTable[Stake]/2,IF(BetTable[Outcome]="Lose",0,IF(BetTable[Outcome]="Void",BetTable[Stake],)))))</f>
        <v>0</v>
      </c>
      <c r="AG850" s="164">
        <f>IF(BetTable[Outcome2]="Win",BetTable[WBA2-Commission],IF(BetTable[Outcome2]="Win Half Stake",(BetTable[S2]/2)+BetTable[WBA2-Commission]/2,IF(BetTable[Outcome2]="Lose Half Stake",BetTable[S2]/2,IF(BetTable[Outcome2]="Lose",0,IF(BetTable[Outcome2]="Void",BetTable[S2],)))))</f>
        <v>0</v>
      </c>
      <c r="AH850" s="164">
        <f>IF(BetTable[Outcome3]="Win",BetTable[WBA3-Commission],IF(BetTable[Outcome3]="Win Half Stake",(BetTable[S3]/2)+BetTable[WBA3-Commission]/2,IF(BetTable[Outcome3]="Lose Half Stake",BetTable[S3]/2,IF(BetTable[Outcome3]="Lose",0,IF(BetTable[Outcome3]="Void",BetTable[S3],)))))</f>
        <v>0</v>
      </c>
      <c r="AI850" s="168">
        <f>IF(BetTable[Outcome]="",AI849,BetTable[Result]+AI849)</f>
        <v>1153.9392500000013</v>
      </c>
      <c r="AJ850" s="160"/>
    </row>
    <row r="851" spans="1:36" x14ac:dyDescent="0.2">
      <c r="A851" s="159" t="s">
        <v>2094</v>
      </c>
      <c r="B851" s="160" t="s">
        <v>200</v>
      </c>
      <c r="C851" s="161" t="s">
        <v>1714</v>
      </c>
      <c r="D851" s="161"/>
      <c r="E851" s="161"/>
      <c r="F851" s="162"/>
      <c r="G851" s="162"/>
      <c r="H851" s="162"/>
      <c r="I851" s="160" t="s">
        <v>2227</v>
      </c>
      <c r="J851" s="163">
        <v>1.78</v>
      </c>
      <c r="K851" s="163"/>
      <c r="L851" s="163"/>
      <c r="M851" s="164">
        <v>38</v>
      </c>
      <c r="N851" s="164"/>
      <c r="O851" s="164"/>
      <c r="P851" s="159" t="s">
        <v>448</v>
      </c>
      <c r="Q851" s="159" t="s">
        <v>1763</v>
      </c>
      <c r="R851" s="159" t="s">
        <v>2228</v>
      </c>
      <c r="S851" s="165">
        <v>1.9026165915017199E-2</v>
      </c>
      <c r="T851" s="166" t="s">
        <v>372</v>
      </c>
      <c r="U851" s="166"/>
      <c r="V851" s="166"/>
      <c r="W851" s="167">
        <f>IF(BetTable[Sport]="","",BetTable[Stake]+BetTable[S2]+BetTable[S3])</f>
        <v>38</v>
      </c>
      <c r="X851" s="164">
        <f>IF(BetTable[Odds]="","",(BetTable[WBA1-Commission])-BetTable[TS])</f>
        <v>29.64</v>
      </c>
      <c r="Y851" s="168">
        <f>IF(BetTable[Outcome]="","",BetTable[WBA1]+BetTable[WBA2]+BetTable[WBA3]-BetTable[TS])</f>
        <v>29.64</v>
      </c>
      <c r="Z851" s="164">
        <f>(((BetTable[Odds]-1)*BetTable[Stake])*(1-(BetTable[Comm %]))+BetTable[Stake])</f>
        <v>67.64</v>
      </c>
      <c r="AA851" s="164">
        <f>(((BetTable[O2]-1)*BetTable[S2])*(1-(BetTable[C% 2]))+BetTable[S2])</f>
        <v>0</v>
      </c>
      <c r="AB851" s="164">
        <f>(((BetTable[O3]-1)*BetTable[S3])*(1-(BetTable[C% 3]))+BetTable[S3])</f>
        <v>0</v>
      </c>
      <c r="AC851" s="165">
        <f>IFERROR(IF(BetTable[Sport]="","",BetTable[R1]/BetTable[TS]),"")</f>
        <v>0.78</v>
      </c>
      <c r="AD851" s="165" t="str">
        <f>IF(BetTable[O2]="","",#REF!/BetTable[TS])</f>
        <v/>
      </c>
      <c r="AE851" s="165" t="str">
        <f>IFERROR(IF(BetTable[Sport]="","",#REF!/BetTable[TS]),"")</f>
        <v/>
      </c>
      <c r="AF851" s="164">
        <f>IF(BetTable[Outcome]="Win",BetTable[WBA1-Commission],IF(BetTable[Outcome]="Win Half Stake",(BetTable[Stake]/2)+BetTable[WBA1-Commission]/2,IF(BetTable[Outcome]="Lose Half Stake",BetTable[Stake]/2,IF(BetTable[Outcome]="Lose",0,IF(BetTable[Outcome]="Void",BetTable[Stake],)))))</f>
        <v>67.64</v>
      </c>
      <c r="AG851" s="164">
        <f>IF(BetTable[Outcome2]="Win",BetTable[WBA2-Commission],IF(BetTable[Outcome2]="Win Half Stake",(BetTable[S2]/2)+BetTable[WBA2-Commission]/2,IF(BetTable[Outcome2]="Lose Half Stake",BetTable[S2]/2,IF(BetTable[Outcome2]="Lose",0,IF(BetTable[Outcome2]="Void",BetTable[S2],)))))</f>
        <v>0</v>
      </c>
      <c r="AH851" s="164">
        <f>IF(BetTable[Outcome3]="Win",BetTable[WBA3-Commission],IF(BetTable[Outcome3]="Win Half Stake",(BetTable[S3]/2)+BetTable[WBA3-Commission]/2,IF(BetTable[Outcome3]="Lose Half Stake",BetTable[S3]/2,IF(BetTable[Outcome3]="Lose",0,IF(BetTable[Outcome3]="Void",BetTable[S3],)))))</f>
        <v>0</v>
      </c>
      <c r="AI851" s="168">
        <f>IF(BetTable[Outcome]="",AI850,BetTable[Result]+AI850)</f>
        <v>1183.5792500000014</v>
      </c>
      <c r="AJ851" s="160"/>
    </row>
    <row r="852" spans="1:36" x14ac:dyDescent="0.2">
      <c r="A852" s="159" t="s">
        <v>2094</v>
      </c>
      <c r="B852" s="160" t="s">
        <v>200</v>
      </c>
      <c r="C852" s="161" t="s">
        <v>1714</v>
      </c>
      <c r="D852" s="161"/>
      <c r="E852" s="161"/>
      <c r="F852" s="162"/>
      <c r="G852" s="162"/>
      <c r="H852" s="162"/>
      <c r="I852" s="160" t="s">
        <v>2229</v>
      </c>
      <c r="J852" s="163">
        <v>1.77</v>
      </c>
      <c r="K852" s="163"/>
      <c r="L852" s="163"/>
      <c r="M852" s="164">
        <v>36</v>
      </c>
      <c r="N852" s="164"/>
      <c r="O852" s="164"/>
      <c r="P852" s="159" t="s">
        <v>409</v>
      </c>
      <c r="Q852" s="159" t="s">
        <v>703</v>
      </c>
      <c r="R852" s="159" t="s">
        <v>2230</v>
      </c>
      <c r="S852" s="165">
        <v>1.7926445436348099E-2</v>
      </c>
      <c r="T852" s="166" t="s">
        <v>372</v>
      </c>
      <c r="U852" s="166"/>
      <c r="V852" s="166"/>
      <c r="W852" s="167">
        <f>IF(BetTable[Sport]="","",BetTable[Stake]+BetTable[S2]+BetTable[S3])</f>
        <v>36</v>
      </c>
      <c r="X852" s="164">
        <f>IF(BetTable[Odds]="","",(BetTable[WBA1-Commission])-BetTable[TS])</f>
        <v>27.72</v>
      </c>
      <c r="Y852" s="168">
        <f>IF(BetTable[Outcome]="","",BetTable[WBA1]+BetTable[WBA2]+BetTable[WBA3]-BetTable[TS])</f>
        <v>27.72</v>
      </c>
      <c r="Z852" s="164">
        <f>(((BetTable[Odds]-1)*BetTable[Stake])*(1-(BetTable[Comm %]))+BetTable[Stake])</f>
        <v>63.72</v>
      </c>
      <c r="AA852" s="164">
        <f>(((BetTable[O2]-1)*BetTable[S2])*(1-(BetTable[C% 2]))+BetTable[S2])</f>
        <v>0</v>
      </c>
      <c r="AB852" s="164">
        <f>(((BetTable[O3]-1)*BetTable[S3])*(1-(BetTable[C% 3]))+BetTable[S3])</f>
        <v>0</v>
      </c>
      <c r="AC852" s="165">
        <f>IFERROR(IF(BetTable[Sport]="","",BetTable[R1]/BetTable[TS]),"")</f>
        <v>0.77</v>
      </c>
      <c r="AD852" s="165" t="str">
        <f>IF(BetTable[O2]="","",#REF!/BetTable[TS])</f>
        <v/>
      </c>
      <c r="AE852" s="165" t="str">
        <f>IFERROR(IF(BetTable[Sport]="","",#REF!/BetTable[TS]),"")</f>
        <v/>
      </c>
      <c r="AF852" s="164">
        <f>IF(BetTable[Outcome]="Win",BetTable[WBA1-Commission],IF(BetTable[Outcome]="Win Half Stake",(BetTable[Stake]/2)+BetTable[WBA1-Commission]/2,IF(BetTable[Outcome]="Lose Half Stake",BetTable[Stake]/2,IF(BetTable[Outcome]="Lose",0,IF(BetTable[Outcome]="Void",BetTable[Stake],)))))</f>
        <v>63.72</v>
      </c>
      <c r="AG852" s="164">
        <f>IF(BetTable[Outcome2]="Win",BetTable[WBA2-Commission],IF(BetTable[Outcome2]="Win Half Stake",(BetTable[S2]/2)+BetTable[WBA2-Commission]/2,IF(BetTable[Outcome2]="Lose Half Stake",BetTable[S2]/2,IF(BetTable[Outcome2]="Lose",0,IF(BetTable[Outcome2]="Void",BetTable[S2],)))))</f>
        <v>0</v>
      </c>
      <c r="AH852" s="164">
        <f>IF(BetTable[Outcome3]="Win",BetTable[WBA3-Commission],IF(BetTable[Outcome3]="Win Half Stake",(BetTable[S3]/2)+BetTable[WBA3-Commission]/2,IF(BetTable[Outcome3]="Lose Half Stake",BetTable[S3]/2,IF(BetTable[Outcome3]="Lose",0,IF(BetTable[Outcome3]="Void",BetTable[S3],)))))</f>
        <v>0</v>
      </c>
      <c r="AI852" s="168">
        <f>IF(BetTable[Outcome]="",AI851,BetTable[Result]+AI851)</f>
        <v>1211.2992500000014</v>
      </c>
      <c r="AJ852" s="160"/>
    </row>
    <row r="853" spans="1:36" x14ac:dyDescent="0.2">
      <c r="A853" s="159" t="s">
        <v>2094</v>
      </c>
      <c r="B853" s="160" t="s">
        <v>200</v>
      </c>
      <c r="C853" s="161" t="s">
        <v>1714</v>
      </c>
      <c r="D853" s="161"/>
      <c r="E853" s="161"/>
      <c r="F853" s="162"/>
      <c r="G853" s="162"/>
      <c r="H853" s="162"/>
      <c r="I853" s="160" t="s">
        <v>2231</v>
      </c>
      <c r="J853" s="163">
        <v>1.94</v>
      </c>
      <c r="K853" s="163"/>
      <c r="L853" s="163"/>
      <c r="M853" s="164">
        <v>36</v>
      </c>
      <c r="N853" s="164"/>
      <c r="O853" s="164"/>
      <c r="P853" s="159" t="s">
        <v>852</v>
      </c>
      <c r="Q853" s="159" t="s">
        <v>1848</v>
      </c>
      <c r="R853" s="159" t="s">
        <v>2232</v>
      </c>
      <c r="S853" s="165">
        <v>2.1586322390981801E-2</v>
      </c>
      <c r="T853" s="166" t="s">
        <v>372</v>
      </c>
      <c r="U853" s="166"/>
      <c r="V853" s="166"/>
      <c r="W853" s="167">
        <f>IF(BetTable[Sport]="","",BetTable[Stake]+BetTable[S2]+BetTable[S3])</f>
        <v>36</v>
      </c>
      <c r="X853" s="164">
        <f>IF(BetTable[Odds]="","",(BetTable[WBA1-Commission])-BetTable[TS])</f>
        <v>33.840000000000003</v>
      </c>
      <c r="Y853" s="168">
        <f>IF(BetTable[Outcome]="","",BetTable[WBA1]+BetTable[WBA2]+BetTable[WBA3]-BetTable[TS])</f>
        <v>33.840000000000003</v>
      </c>
      <c r="Z853" s="164">
        <f>(((BetTable[Odds]-1)*BetTable[Stake])*(1-(BetTable[Comm %]))+BetTable[Stake])</f>
        <v>69.84</v>
      </c>
      <c r="AA853" s="164">
        <f>(((BetTable[O2]-1)*BetTable[S2])*(1-(BetTable[C% 2]))+BetTable[S2])</f>
        <v>0</v>
      </c>
      <c r="AB853" s="164">
        <f>(((BetTable[O3]-1)*BetTable[S3])*(1-(BetTable[C% 3]))+BetTable[S3])</f>
        <v>0</v>
      </c>
      <c r="AC853" s="165">
        <f>IFERROR(IF(BetTable[Sport]="","",BetTable[R1]/BetTable[TS]),"")</f>
        <v>0.94000000000000006</v>
      </c>
      <c r="AD853" s="165" t="str">
        <f>IF(BetTable[O2]="","",#REF!/BetTable[TS])</f>
        <v/>
      </c>
      <c r="AE853" s="165" t="str">
        <f>IFERROR(IF(BetTable[Sport]="","",#REF!/BetTable[TS]),"")</f>
        <v/>
      </c>
      <c r="AF853" s="164">
        <f>IF(BetTable[Outcome]="Win",BetTable[WBA1-Commission],IF(BetTable[Outcome]="Win Half Stake",(BetTable[Stake]/2)+BetTable[WBA1-Commission]/2,IF(BetTable[Outcome]="Lose Half Stake",BetTable[Stake]/2,IF(BetTable[Outcome]="Lose",0,IF(BetTable[Outcome]="Void",BetTable[Stake],)))))</f>
        <v>69.84</v>
      </c>
      <c r="AG853" s="164">
        <f>IF(BetTable[Outcome2]="Win",BetTable[WBA2-Commission],IF(BetTable[Outcome2]="Win Half Stake",(BetTable[S2]/2)+BetTable[WBA2-Commission]/2,IF(BetTable[Outcome2]="Lose Half Stake",BetTable[S2]/2,IF(BetTable[Outcome2]="Lose",0,IF(BetTable[Outcome2]="Void",BetTable[S2],)))))</f>
        <v>0</v>
      </c>
      <c r="AH853" s="164">
        <f>IF(BetTable[Outcome3]="Win",BetTable[WBA3-Commission],IF(BetTable[Outcome3]="Win Half Stake",(BetTable[S3]/2)+BetTable[WBA3-Commission]/2,IF(BetTable[Outcome3]="Lose Half Stake",BetTable[S3]/2,IF(BetTable[Outcome3]="Lose",0,IF(BetTable[Outcome3]="Void",BetTable[S3],)))))</f>
        <v>0</v>
      </c>
      <c r="AI853" s="168">
        <f>IF(BetTable[Outcome]="",AI852,BetTable[Result]+AI852)</f>
        <v>1245.1392500000013</v>
      </c>
      <c r="AJ853" s="160"/>
    </row>
    <row r="854" spans="1:36" x14ac:dyDescent="0.2">
      <c r="A854" s="159" t="s">
        <v>2094</v>
      </c>
      <c r="B854" s="160" t="s">
        <v>200</v>
      </c>
      <c r="C854" s="161" t="s">
        <v>1714</v>
      </c>
      <c r="D854" s="161"/>
      <c r="E854" s="161"/>
      <c r="F854" s="162"/>
      <c r="G854" s="162"/>
      <c r="H854" s="162"/>
      <c r="I854" s="160" t="s">
        <v>2233</v>
      </c>
      <c r="J854" s="163">
        <v>2.0099999999999998</v>
      </c>
      <c r="K854" s="163"/>
      <c r="L854" s="163"/>
      <c r="M854" s="164">
        <v>29</v>
      </c>
      <c r="N854" s="164"/>
      <c r="O854" s="164"/>
      <c r="P854" s="159" t="s">
        <v>368</v>
      </c>
      <c r="Q854" s="159" t="s">
        <v>1912</v>
      </c>
      <c r="R854" s="159" t="s">
        <v>2234</v>
      </c>
      <c r="S854" s="165">
        <v>1.8675209533954899E-2</v>
      </c>
      <c r="T854" s="166" t="s">
        <v>382</v>
      </c>
      <c r="U854" s="166"/>
      <c r="V854" s="166"/>
      <c r="W854" s="167">
        <f>IF(BetTable[Sport]="","",BetTable[Stake]+BetTable[S2]+BetTable[S3])</f>
        <v>29</v>
      </c>
      <c r="X854" s="164">
        <f>IF(BetTable[Odds]="","",(BetTable[WBA1-Commission])-BetTable[TS])</f>
        <v>29.289999999999992</v>
      </c>
      <c r="Y854" s="168">
        <f>IF(BetTable[Outcome]="","",BetTable[WBA1]+BetTable[WBA2]+BetTable[WBA3]-BetTable[TS])</f>
        <v>-29</v>
      </c>
      <c r="Z854" s="164">
        <f>(((BetTable[Odds]-1)*BetTable[Stake])*(1-(BetTable[Comm %]))+BetTable[Stake])</f>
        <v>58.289999999999992</v>
      </c>
      <c r="AA854" s="164">
        <f>(((BetTable[O2]-1)*BetTable[S2])*(1-(BetTable[C% 2]))+BetTable[S2])</f>
        <v>0</v>
      </c>
      <c r="AB854" s="164">
        <f>(((BetTable[O3]-1)*BetTable[S3])*(1-(BetTable[C% 3]))+BetTable[S3])</f>
        <v>0</v>
      </c>
      <c r="AC854" s="165">
        <f>IFERROR(IF(BetTable[Sport]="","",BetTable[R1]/BetTable[TS]),"")</f>
        <v>1.0099999999999998</v>
      </c>
      <c r="AD854" s="165" t="str">
        <f>IF(BetTable[O2]="","",#REF!/BetTable[TS])</f>
        <v/>
      </c>
      <c r="AE854" s="165" t="str">
        <f>IFERROR(IF(BetTable[Sport]="","",#REF!/BetTable[TS]),"")</f>
        <v/>
      </c>
      <c r="AF854" s="164">
        <f>IF(BetTable[Outcome]="Win",BetTable[WBA1-Commission],IF(BetTable[Outcome]="Win Half Stake",(BetTable[Stake]/2)+BetTable[WBA1-Commission]/2,IF(BetTable[Outcome]="Lose Half Stake",BetTable[Stake]/2,IF(BetTable[Outcome]="Lose",0,IF(BetTable[Outcome]="Void",BetTable[Stake],)))))</f>
        <v>0</v>
      </c>
      <c r="AG854" s="164">
        <f>IF(BetTable[Outcome2]="Win",BetTable[WBA2-Commission],IF(BetTable[Outcome2]="Win Half Stake",(BetTable[S2]/2)+BetTable[WBA2-Commission]/2,IF(BetTable[Outcome2]="Lose Half Stake",BetTable[S2]/2,IF(BetTable[Outcome2]="Lose",0,IF(BetTable[Outcome2]="Void",BetTable[S2],)))))</f>
        <v>0</v>
      </c>
      <c r="AH854" s="164">
        <f>IF(BetTable[Outcome3]="Win",BetTable[WBA3-Commission],IF(BetTable[Outcome3]="Win Half Stake",(BetTable[S3]/2)+BetTable[WBA3-Commission]/2,IF(BetTable[Outcome3]="Lose Half Stake",BetTable[S3]/2,IF(BetTable[Outcome3]="Lose",0,IF(BetTable[Outcome3]="Void",BetTable[S3],)))))</f>
        <v>0</v>
      </c>
      <c r="AI854" s="168">
        <f>IF(BetTable[Outcome]="",AI853,BetTable[Result]+AI853)</f>
        <v>1216.1392500000013</v>
      </c>
      <c r="AJ854" s="160"/>
    </row>
    <row r="855" spans="1:36" x14ac:dyDescent="0.2">
      <c r="A855" s="159" t="s">
        <v>2094</v>
      </c>
      <c r="B855" s="160" t="s">
        <v>200</v>
      </c>
      <c r="C855" s="161" t="s">
        <v>1714</v>
      </c>
      <c r="D855" s="161"/>
      <c r="E855" s="161"/>
      <c r="F855" s="162"/>
      <c r="G855" s="162"/>
      <c r="H855" s="162"/>
      <c r="I855" s="160" t="s">
        <v>2235</v>
      </c>
      <c r="J855" s="163">
        <v>1.86</v>
      </c>
      <c r="K855" s="163"/>
      <c r="L855" s="163"/>
      <c r="M855" s="164">
        <v>37</v>
      </c>
      <c r="N855" s="164"/>
      <c r="O855" s="164"/>
      <c r="P855" s="159" t="s">
        <v>688</v>
      </c>
      <c r="Q855" s="159" t="s">
        <v>632</v>
      </c>
      <c r="R855" s="159" t="s">
        <v>2236</v>
      </c>
      <c r="S855" s="165">
        <v>2.0782513792490898E-2</v>
      </c>
      <c r="T855" s="166" t="s">
        <v>382</v>
      </c>
      <c r="U855" s="166"/>
      <c r="V855" s="166"/>
      <c r="W855" s="167">
        <f>IF(BetTable[Sport]="","",BetTable[Stake]+BetTable[S2]+BetTable[S3])</f>
        <v>37</v>
      </c>
      <c r="X855" s="164">
        <f>IF(BetTable[Odds]="","",(BetTable[WBA1-Commission])-BetTable[TS])</f>
        <v>31.820000000000007</v>
      </c>
      <c r="Y855" s="168">
        <f>IF(BetTable[Outcome]="","",BetTable[WBA1]+BetTable[WBA2]+BetTable[WBA3]-BetTable[TS])</f>
        <v>-37</v>
      </c>
      <c r="Z855" s="164">
        <f>(((BetTable[Odds]-1)*BetTable[Stake])*(1-(BetTable[Comm %]))+BetTable[Stake])</f>
        <v>68.820000000000007</v>
      </c>
      <c r="AA855" s="164">
        <f>(((BetTable[O2]-1)*BetTable[S2])*(1-(BetTable[C% 2]))+BetTable[S2])</f>
        <v>0</v>
      </c>
      <c r="AB855" s="164">
        <f>(((BetTable[O3]-1)*BetTable[S3])*(1-(BetTable[C% 3]))+BetTable[S3])</f>
        <v>0</v>
      </c>
      <c r="AC855" s="165">
        <f>IFERROR(IF(BetTable[Sport]="","",BetTable[R1]/BetTable[TS]),"")</f>
        <v>0.86000000000000021</v>
      </c>
      <c r="AD855" s="165" t="str">
        <f>IF(BetTable[O2]="","",#REF!/BetTable[TS])</f>
        <v/>
      </c>
      <c r="AE855" s="165" t="str">
        <f>IFERROR(IF(BetTable[Sport]="","",#REF!/BetTable[TS]),"")</f>
        <v/>
      </c>
      <c r="AF855" s="164">
        <f>IF(BetTable[Outcome]="Win",BetTable[WBA1-Commission],IF(BetTable[Outcome]="Win Half Stake",(BetTable[Stake]/2)+BetTable[WBA1-Commission]/2,IF(BetTable[Outcome]="Lose Half Stake",BetTable[Stake]/2,IF(BetTable[Outcome]="Lose",0,IF(BetTable[Outcome]="Void",BetTable[Stake],)))))</f>
        <v>0</v>
      </c>
      <c r="AG855" s="164">
        <f>IF(BetTable[Outcome2]="Win",BetTable[WBA2-Commission],IF(BetTable[Outcome2]="Win Half Stake",(BetTable[S2]/2)+BetTable[WBA2-Commission]/2,IF(BetTable[Outcome2]="Lose Half Stake",BetTable[S2]/2,IF(BetTable[Outcome2]="Lose",0,IF(BetTable[Outcome2]="Void",BetTable[S2],)))))</f>
        <v>0</v>
      </c>
      <c r="AH855" s="164">
        <f>IF(BetTable[Outcome3]="Win",BetTable[WBA3-Commission],IF(BetTable[Outcome3]="Win Half Stake",(BetTable[S3]/2)+BetTable[WBA3-Commission]/2,IF(BetTable[Outcome3]="Lose Half Stake",BetTable[S3]/2,IF(BetTable[Outcome3]="Lose",0,IF(BetTable[Outcome3]="Void",BetTable[S3],)))))</f>
        <v>0</v>
      </c>
      <c r="AI855" s="168">
        <f>IF(BetTable[Outcome]="",AI854,BetTable[Result]+AI854)</f>
        <v>1179.1392500000013</v>
      </c>
      <c r="AJ855" s="160"/>
    </row>
    <row r="856" spans="1:36" x14ac:dyDescent="0.2">
      <c r="A856" s="159" t="s">
        <v>2094</v>
      </c>
      <c r="B856" s="160" t="s">
        <v>200</v>
      </c>
      <c r="C856" s="161" t="s">
        <v>1714</v>
      </c>
      <c r="D856" s="161"/>
      <c r="E856" s="161"/>
      <c r="F856" s="162"/>
      <c r="G856" s="162"/>
      <c r="H856" s="162"/>
      <c r="I856" s="160" t="s">
        <v>2237</v>
      </c>
      <c r="J856" s="163">
        <v>2.0099999999999998</v>
      </c>
      <c r="K856" s="163"/>
      <c r="L856" s="163"/>
      <c r="M856" s="164">
        <v>40</v>
      </c>
      <c r="N856" s="164"/>
      <c r="O856" s="164"/>
      <c r="P856" s="159" t="s">
        <v>508</v>
      </c>
      <c r="Q856" s="159" t="s">
        <v>703</v>
      </c>
      <c r="R856" s="159" t="s">
        <v>2238</v>
      </c>
      <c r="S856" s="165">
        <v>2.6015506766367699E-2</v>
      </c>
      <c r="T856" s="166" t="s">
        <v>382</v>
      </c>
      <c r="U856" s="166"/>
      <c r="V856" s="166"/>
      <c r="W856" s="167">
        <f>IF(BetTable[Sport]="","",BetTable[Stake]+BetTable[S2]+BetTable[S3])</f>
        <v>40</v>
      </c>
      <c r="X856" s="164">
        <f>IF(BetTable[Odds]="","",(BetTable[WBA1-Commission])-BetTable[TS])</f>
        <v>40.399999999999991</v>
      </c>
      <c r="Y856" s="168">
        <f>IF(BetTable[Outcome]="","",BetTable[WBA1]+BetTable[WBA2]+BetTable[WBA3]-BetTable[TS])</f>
        <v>-40</v>
      </c>
      <c r="Z856" s="164">
        <f>(((BetTable[Odds]-1)*BetTable[Stake])*(1-(BetTable[Comm %]))+BetTable[Stake])</f>
        <v>80.399999999999991</v>
      </c>
      <c r="AA856" s="164">
        <f>(((BetTable[O2]-1)*BetTable[S2])*(1-(BetTable[C% 2]))+BetTable[S2])</f>
        <v>0</v>
      </c>
      <c r="AB856" s="164">
        <f>(((BetTable[O3]-1)*BetTable[S3])*(1-(BetTable[C% 3]))+BetTable[S3])</f>
        <v>0</v>
      </c>
      <c r="AC856" s="165">
        <f>IFERROR(IF(BetTable[Sport]="","",BetTable[R1]/BetTable[TS]),"")</f>
        <v>1.0099999999999998</v>
      </c>
      <c r="AD856" s="165" t="str">
        <f>IF(BetTable[O2]="","",#REF!/BetTable[TS])</f>
        <v/>
      </c>
      <c r="AE856" s="165" t="str">
        <f>IFERROR(IF(BetTable[Sport]="","",#REF!/BetTable[TS]),"")</f>
        <v/>
      </c>
      <c r="AF856" s="164">
        <f>IF(BetTable[Outcome]="Win",BetTable[WBA1-Commission],IF(BetTable[Outcome]="Win Half Stake",(BetTable[Stake]/2)+BetTable[WBA1-Commission]/2,IF(BetTable[Outcome]="Lose Half Stake",BetTable[Stake]/2,IF(BetTable[Outcome]="Lose",0,IF(BetTable[Outcome]="Void",BetTable[Stake],)))))</f>
        <v>0</v>
      </c>
      <c r="AG856" s="164">
        <f>IF(BetTable[Outcome2]="Win",BetTable[WBA2-Commission],IF(BetTable[Outcome2]="Win Half Stake",(BetTable[S2]/2)+BetTable[WBA2-Commission]/2,IF(BetTable[Outcome2]="Lose Half Stake",BetTable[S2]/2,IF(BetTable[Outcome2]="Lose",0,IF(BetTable[Outcome2]="Void",BetTable[S2],)))))</f>
        <v>0</v>
      </c>
      <c r="AH856" s="164">
        <f>IF(BetTable[Outcome3]="Win",BetTable[WBA3-Commission],IF(BetTable[Outcome3]="Win Half Stake",(BetTable[S3]/2)+BetTable[WBA3-Commission]/2,IF(BetTable[Outcome3]="Lose Half Stake",BetTable[S3]/2,IF(BetTable[Outcome3]="Lose",0,IF(BetTable[Outcome3]="Void",BetTable[S3],)))))</f>
        <v>0</v>
      </c>
      <c r="AI856" s="168">
        <f>IF(BetTable[Outcome]="",AI855,BetTable[Result]+AI855)</f>
        <v>1139.1392500000013</v>
      </c>
      <c r="AJ856" s="160"/>
    </row>
    <row r="857" spans="1:36" x14ac:dyDescent="0.2">
      <c r="A857" s="159" t="s">
        <v>2094</v>
      </c>
      <c r="B857" s="160" t="s">
        <v>200</v>
      </c>
      <c r="C857" s="161" t="s">
        <v>1714</v>
      </c>
      <c r="D857" s="161"/>
      <c r="E857" s="161"/>
      <c r="F857" s="162"/>
      <c r="G857" s="162"/>
      <c r="H857" s="162"/>
      <c r="I857" s="160" t="s">
        <v>2239</v>
      </c>
      <c r="J857" s="163">
        <v>2.38</v>
      </c>
      <c r="K857" s="163"/>
      <c r="L857" s="163"/>
      <c r="M857" s="164">
        <v>20</v>
      </c>
      <c r="N857" s="164"/>
      <c r="O857" s="164"/>
      <c r="P857" s="159" t="s">
        <v>435</v>
      </c>
      <c r="Q857" s="159" t="s">
        <v>703</v>
      </c>
      <c r="R857" s="159" t="s">
        <v>2240</v>
      </c>
      <c r="S857" s="165">
        <v>1.7607139387072999E-2</v>
      </c>
      <c r="T857" s="166" t="s">
        <v>382</v>
      </c>
      <c r="U857" s="166"/>
      <c r="V857" s="166"/>
      <c r="W857" s="167">
        <f>IF(BetTable[Sport]="","",BetTable[Stake]+BetTable[S2]+BetTable[S3])</f>
        <v>20</v>
      </c>
      <c r="X857" s="164">
        <f>IF(BetTable[Odds]="","",(BetTable[WBA1-Commission])-BetTable[TS])</f>
        <v>27.599999999999994</v>
      </c>
      <c r="Y857" s="168">
        <f>IF(BetTable[Outcome]="","",BetTable[WBA1]+BetTable[WBA2]+BetTable[WBA3]-BetTable[TS])</f>
        <v>-20</v>
      </c>
      <c r="Z857" s="164">
        <f>(((BetTable[Odds]-1)*BetTable[Stake])*(1-(BetTable[Comm %]))+BetTable[Stake])</f>
        <v>47.599999999999994</v>
      </c>
      <c r="AA857" s="164">
        <f>(((BetTable[O2]-1)*BetTable[S2])*(1-(BetTable[C% 2]))+BetTable[S2])</f>
        <v>0</v>
      </c>
      <c r="AB857" s="164">
        <f>(((BetTable[O3]-1)*BetTable[S3])*(1-(BetTable[C% 3]))+BetTable[S3])</f>
        <v>0</v>
      </c>
      <c r="AC857" s="165">
        <f>IFERROR(IF(BetTable[Sport]="","",BetTable[R1]/BetTable[TS]),"")</f>
        <v>1.3799999999999997</v>
      </c>
      <c r="AD857" s="165" t="str">
        <f>IF(BetTable[O2]="","",#REF!/BetTable[TS])</f>
        <v/>
      </c>
      <c r="AE857" s="165" t="str">
        <f>IFERROR(IF(BetTable[Sport]="","",#REF!/BetTable[TS]),"")</f>
        <v/>
      </c>
      <c r="AF857" s="164">
        <f>IF(BetTable[Outcome]="Win",BetTable[WBA1-Commission],IF(BetTable[Outcome]="Win Half Stake",(BetTable[Stake]/2)+BetTable[WBA1-Commission]/2,IF(BetTable[Outcome]="Lose Half Stake",BetTable[Stake]/2,IF(BetTable[Outcome]="Lose",0,IF(BetTable[Outcome]="Void",BetTable[Stake],)))))</f>
        <v>0</v>
      </c>
      <c r="AG857" s="164">
        <f>IF(BetTable[Outcome2]="Win",BetTable[WBA2-Commission],IF(BetTable[Outcome2]="Win Half Stake",(BetTable[S2]/2)+BetTable[WBA2-Commission]/2,IF(BetTable[Outcome2]="Lose Half Stake",BetTable[S2]/2,IF(BetTable[Outcome2]="Lose",0,IF(BetTable[Outcome2]="Void",BetTable[S2],)))))</f>
        <v>0</v>
      </c>
      <c r="AH857" s="164">
        <f>IF(BetTable[Outcome3]="Win",BetTable[WBA3-Commission],IF(BetTable[Outcome3]="Win Half Stake",(BetTable[S3]/2)+BetTable[WBA3-Commission]/2,IF(BetTable[Outcome3]="Lose Half Stake",BetTable[S3]/2,IF(BetTable[Outcome3]="Lose",0,IF(BetTable[Outcome3]="Void",BetTable[S3],)))))</f>
        <v>0</v>
      </c>
      <c r="AI857" s="168">
        <f>IF(BetTable[Outcome]="",AI856,BetTable[Result]+AI856)</f>
        <v>1119.1392500000013</v>
      </c>
      <c r="AJ857" s="160"/>
    </row>
    <row r="858" spans="1:36" x14ac:dyDescent="0.2">
      <c r="A858" s="159" t="s">
        <v>2094</v>
      </c>
      <c r="B858" s="160" t="s">
        <v>200</v>
      </c>
      <c r="C858" s="161" t="s">
        <v>1714</v>
      </c>
      <c r="D858" s="161"/>
      <c r="E858" s="161"/>
      <c r="F858" s="162"/>
      <c r="G858" s="162"/>
      <c r="H858" s="162"/>
      <c r="I858" s="160" t="s">
        <v>2241</v>
      </c>
      <c r="J858" s="163">
        <v>1.61</v>
      </c>
      <c r="K858" s="163"/>
      <c r="L858" s="163"/>
      <c r="M858" s="164">
        <v>48</v>
      </c>
      <c r="N858" s="164"/>
      <c r="O858" s="164"/>
      <c r="P858" s="159" t="s">
        <v>852</v>
      </c>
      <c r="Q858" s="159" t="s">
        <v>674</v>
      </c>
      <c r="R858" s="159" t="s">
        <v>2242</v>
      </c>
      <c r="S858" s="165">
        <v>1.9114924223963398E-2</v>
      </c>
      <c r="T858" s="166" t="s">
        <v>549</v>
      </c>
      <c r="U858" s="166"/>
      <c r="V858" s="166"/>
      <c r="W858" s="167">
        <f>IF(BetTable[Sport]="","",BetTable[Stake]+BetTable[S2]+BetTable[S3])</f>
        <v>48</v>
      </c>
      <c r="X858" s="164">
        <f>IF(BetTable[Odds]="","",(BetTable[WBA1-Commission])-BetTable[TS])</f>
        <v>29.28</v>
      </c>
      <c r="Y858" s="168">
        <f>IF(BetTable[Outcome]="","",BetTable[WBA1]+BetTable[WBA2]+BetTable[WBA3]-BetTable[TS])</f>
        <v>-24</v>
      </c>
      <c r="Z858" s="164">
        <f>(((BetTable[Odds]-1)*BetTable[Stake])*(1-(BetTable[Comm %]))+BetTable[Stake])</f>
        <v>77.28</v>
      </c>
      <c r="AA858" s="164">
        <f>(((BetTable[O2]-1)*BetTable[S2])*(1-(BetTable[C% 2]))+BetTable[S2])</f>
        <v>0</v>
      </c>
      <c r="AB858" s="164">
        <f>(((BetTable[O3]-1)*BetTable[S3])*(1-(BetTable[C% 3]))+BetTable[S3])</f>
        <v>0</v>
      </c>
      <c r="AC858" s="165">
        <f>IFERROR(IF(BetTable[Sport]="","",BetTable[R1]/BetTable[TS]),"")</f>
        <v>0.61</v>
      </c>
      <c r="AD858" s="165" t="str">
        <f>IF(BetTable[O2]="","",#REF!/BetTable[TS])</f>
        <v/>
      </c>
      <c r="AE858" s="165" t="str">
        <f>IFERROR(IF(BetTable[Sport]="","",#REF!/BetTable[TS]),"")</f>
        <v/>
      </c>
      <c r="AF858" s="164">
        <f>IF(BetTable[Outcome]="Win",BetTable[WBA1-Commission],IF(BetTable[Outcome]="Win Half Stake",(BetTable[Stake]/2)+BetTable[WBA1-Commission]/2,IF(BetTable[Outcome]="Lose Half Stake",BetTable[Stake]/2,IF(BetTable[Outcome]="Lose",0,IF(BetTable[Outcome]="Void",BetTable[Stake],)))))</f>
        <v>24</v>
      </c>
      <c r="AG858" s="164">
        <f>IF(BetTable[Outcome2]="Win",BetTable[WBA2-Commission],IF(BetTable[Outcome2]="Win Half Stake",(BetTable[S2]/2)+BetTable[WBA2-Commission]/2,IF(BetTable[Outcome2]="Lose Half Stake",BetTable[S2]/2,IF(BetTable[Outcome2]="Lose",0,IF(BetTable[Outcome2]="Void",BetTable[S2],)))))</f>
        <v>0</v>
      </c>
      <c r="AH858" s="164">
        <f>IF(BetTable[Outcome3]="Win",BetTable[WBA3-Commission],IF(BetTable[Outcome3]="Win Half Stake",(BetTable[S3]/2)+BetTable[WBA3-Commission]/2,IF(BetTable[Outcome3]="Lose Half Stake",BetTable[S3]/2,IF(BetTable[Outcome3]="Lose",0,IF(BetTable[Outcome3]="Void",BetTable[S3],)))))</f>
        <v>0</v>
      </c>
      <c r="AI858" s="168">
        <f>IF(BetTable[Outcome]="",AI857,BetTable[Result]+AI857)</f>
        <v>1095.1392500000013</v>
      </c>
      <c r="AJ858" s="160"/>
    </row>
    <row r="859" spans="1:36" x14ac:dyDescent="0.2">
      <c r="A859" s="159" t="s">
        <v>2094</v>
      </c>
      <c r="B859" s="160" t="s">
        <v>200</v>
      </c>
      <c r="C859" s="161" t="s">
        <v>1714</v>
      </c>
      <c r="D859" s="161"/>
      <c r="E859" s="161"/>
      <c r="F859" s="162"/>
      <c r="G859" s="162"/>
      <c r="H859" s="162"/>
      <c r="I859" s="160" t="s">
        <v>2243</v>
      </c>
      <c r="J859" s="163">
        <v>1.92</v>
      </c>
      <c r="K859" s="163"/>
      <c r="L859" s="163"/>
      <c r="M859" s="164">
        <v>53</v>
      </c>
      <c r="N859" s="164"/>
      <c r="O859" s="164"/>
      <c r="P859" s="159" t="s">
        <v>435</v>
      </c>
      <c r="Q859" s="159" t="s">
        <v>632</v>
      </c>
      <c r="R859" s="159" t="s">
        <v>2244</v>
      </c>
      <c r="S859" s="165">
        <v>3.1260295260295203E-2</v>
      </c>
      <c r="T859" s="166" t="s">
        <v>372</v>
      </c>
      <c r="U859" s="166"/>
      <c r="V859" s="166"/>
      <c r="W859" s="167">
        <f>IF(BetTable[Sport]="","",BetTable[Stake]+BetTable[S2]+BetTable[S3])</f>
        <v>53</v>
      </c>
      <c r="X859" s="164">
        <f>IF(BetTable[Odds]="","",(BetTable[WBA1-Commission])-BetTable[TS])</f>
        <v>48.759999999999991</v>
      </c>
      <c r="Y859" s="168">
        <f>IF(BetTable[Outcome]="","",BetTable[WBA1]+BetTable[WBA2]+BetTable[WBA3]-BetTable[TS])</f>
        <v>48.759999999999991</v>
      </c>
      <c r="Z859" s="164">
        <f>(((BetTable[Odds]-1)*BetTable[Stake])*(1-(BetTable[Comm %]))+BetTable[Stake])</f>
        <v>101.75999999999999</v>
      </c>
      <c r="AA859" s="164">
        <f>(((BetTable[O2]-1)*BetTable[S2])*(1-(BetTable[C% 2]))+BetTable[S2])</f>
        <v>0</v>
      </c>
      <c r="AB859" s="164">
        <f>(((BetTable[O3]-1)*BetTable[S3])*(1-(BetTable[C% 3]))+BetTable[S3])</f>
        <v>0</v>
      </c>
      <c r="AC859" s="165">
        <f>IFERROR(IF(BetTable[Sport]="","",BetTable[R1]/BetTable[TS]),"")</f>
        <v>0.91999999999999982</v>
      </c>
      <c r="AD859" s="165" t="str">
        <f>IF(BetTable[O2]="","",#REF!/BetTable[TS])</f>
        <v/>
      </c>
      <c r="AE859" s="165" t="str">
        <f>IFERROR(IF(BetTable[Sport]="","",#REF!/BetTable[TS]),"")</f>
        <v/>
      </c>
      <c r="AF859" s="164">
        <f>IF(BetTable[Outcome]="Win",BetTable[WBA1-Commission],IF(BetTable[Outcome]="Win Half Stake",(BetTable[Stake]/2)+BetTable[WBA1-Commission]/2,IF(BetTable[Outcome]="Lose Half Stake",BetTable[Stake]/2,IF(BetTable[Outcome]="Lose",0,IF(BetTable[Outcome]="Void",BetTable[Stake],)))))</f>
        <v>101.75999999999999</v>
      </c>
      <c r="AG859" s="164">
        <f>IF(BetTable[Outcome2]="Win",BetTable[WBA2-Commission],IF(BetTable[Outcome2]="Win Half Stake",(BetTable[S2]/2)+BetTable[WBA2-Commission]/2,IF(BetTable[Outcome2]="Lose Half Stake",BetTable[S2]/2,IF(BetTable[Outcome2]="Lose",0,IF(BetTable[Outcome2]="Void",BetTable[S2],)))))</f>
        <v>0</v>
      </c>
      <c r="AH859" s="164">
        <f>IF(BetTable[Outcome3]="Win",BetTable[WBA3-Commission],IF(BetTable[Outcome3]="Win Half Stake",(BetTable[S3]/2)+BetTable[WBA3-Commission]/2,IF(BetTable[Outcome3]="Lose Half Stake",BetTable[S3]/2,IF(BetTable[Outcome3]="Lose",0,IF(BetTable[Outcome3]="Void",BetTable[S3],)))))</f>
        <v>0</v>
      </c>
      <c r="AI859" s="168">
        <f>IF(BetTable[Outcome]="",AI858,BetTable[Result]+AI858)</f>
        <v>1143.8992500000013</v>
      </c>
      <c r="AJ859" s="160"/>
    </row>
    <row r="860" spans="1:36" x14ac:dyDescent="0.2">
      <c r="A860" s="159" t="s">
        <v>2094</v>
      </c>
      <c r="B860" s="160" t="s">
        <v>200</v>
      </c>
      <c r="C860" s="161" t="s">
        <v>1714</v>
      </c>
      <c r="D860" s="161"/>
      <c r="E860" s="161"/>
      <c r="F860" s="162"/>
      <c r="G860" s="162"/>
      <c r="H860" s="162"/>
      <c r="I860" s="160" t="s">
        <v>2245</v>
      </c>
      <c r="J860" s="163">
        <v>1.82</v>
      </c>
      <c r="K860" s="163"/>
      <c r="L860" s="163"/>
      <c r="M860" s="164">
        <v>41</v>
      </c>
      <c r="N860" s="164"/>
      <c r="O860" s="164"/>
      <c r="P860" s="159" t="s">
        <v>868</v>
      </c>
      <c r="Q860" s="159" t="s">
        <v>703</v>
      </c>
      <c r="R860" s="159" t="s">
        <v>2246</v>
      </c>
      <c r="S860" s="165">
        <v>2.1477167543640201E-2</v>
      </c>
      <c r="T860" s="166" t="s">
        <v>510</v>
      </c>
      <c r="U860" s="166"/>
      <c r="V860" s="166"/>
      <c r="W860" s="167">
        <f>IF(BetTable[Sport]="","",BetTable[Stake]+BetTable[S2]+BetTable[S3])</f>
        <v>41</v>
      </c>
      <c r="X860" s="164">
        <f>IF(BetTable[Odds]="","",(BetTable[WBA1-Commission])-BetTable[TS])</f>
        <v>33.620000000000005</v>
      </c>
      <c r="Y860" s="168">
        <f>IF(BetTable[Outcome]="","",BetTable[WBA1]+BetTable[WBA2]+BetTable[WBA3]-BetTable[TS])</f>
        <v>16.810000000000002</v>
      </c>
      <c r="Z860" s="164">
        <f>(((BetTable[Odds]-1)*BetTable[Stake])*(1-(BetTable[Comm %]))+BetTable[Stake])</f>
        <v>74.62</v>
      </c>
      <c r="AA860" s="164">
        <f>(((BetTable[O2]-1)*BetTable[S2])*(1-(BetTable[C% 2]))+BetTable[S2])</f>
        <v>0</v>
      </c>
      <c r="AB860" s="164">
        <f>(((BetTable[O3]-1)*BetTable[S3])*(1-(BetTable[C% 3]))+BetTable[S3])</f>
        <v>0</v>
      </c>
      <c r="AC860" s="165">
        <f>IFERROR(IF(BetTable[Sport]="","",BetTable[R1]/BetTable[TS]),"")</f>
        <v>0.82000000000000006</v>
      </c>
      <c r="AD860" s="165" t="str">
        <f>IF(BetTable[O2]="","",#REF!/BetTable[TS])</f>
        <v/>
      </c>
      <c r="AE860" s="165" t="str">
        <f>IFERROR(IF(BetTable[Sport]="","",#REF!/BetTable[TS]),"")</f>
        <v/>
      </c>
      <c r="AF860" s="164">
        <f>IF(BetTable[Outcome]="Win",BetTable[WBA1-Commission],IF(BetTable[Outcome]="Win Half Stake",(BetTable[Stake]/2)+BetTable[WBA1-Commission]/2,IF(BetTable[Outcome]="Lose Half Stake",BetTable[Stake]/2,IF(BetTable[Outcome]="Lose",0,IF(BetTable[Outcome]="Void",BetTable[Stake],)))))</f>
        <v>57.81</v>
      </c>
      <c r="AG860" s="164">
        <f>IF(BetTable[Outcome2]="Win",BetTable[WBA2-Commission],IF(BetTable[Outcome2]="Win Half Stake",(BetTable[S2]/2)+BetTable[WBA2-Commission]/2,IF(BetTable[Outcome2]="Lose Half Stake",BetTable[S2]/2,IF(BetTable[Outcome2]="Lose",0,IF(BetTable[Outcome2]="Void",BetTable[S2],)))))</f>
        <v>0</v>
      </c>
      <c r="AH860" s="164">
        <f>IF(BetTable[Outcome3]="Win",BetTable[WBA3-Commission],IF(BetTable[Outcome3]="Win Half Stake",(BetTable[S3]/2)+BetTable[WBA3-Commission]/2,IF(BetTable[Outcome3]="Lose Half Stake",BetTable[S3]/2,IF(BetTable[Outcome3]="Lose",0,IF(BetTable[Outcome3]="Void",BetTable[S3],)))))</f>
        <v>0</v>
      </c>
      <c r="AI860" s="168">
        <f>IF(BetTable[Outcome]="",AI859,BetTable[Result]+AI859)</f>
        <v>1160.7092500000012</v>
      </c>
      <c r="AJ860" s="160"/>
    </row>
    <row r="861" spans="1:36" x14ac:dyDescent="0.2">
      <c r="A861" s="159" t="s">
        <v>2094</v>
      </c>
      <c r="B861" s="160" t="s">
        <v>7</v>
      </c>
      <c r="C861" s="161" t="s">
        <v>216</v>
      </c>
      <c r="D861" s="161"/>
      <c r="E861" s="161"/>
      <c r="F861" s="162"/>
      <c r="G861" s="162"/>
      <c r="H861" s="162"/>
      <c r="I861" s="160" t="s">
        <v>2247</v>
      </c>
      <c r="J861" s="163">
        <v>1.87</v>
      </c>
      <c r="K861" s="163"/>
      <c r="L861" s="163"/>
      <c r="M861" s="164">
        <v>28</v>
      </c>
      <c r="N861" s="164"/>
      <c r="O861" s="164"/>
      <c r="P861" s="159" t="s">
        <v>1348</v>
      </c>
      <c r="Q861" s="159" t="s">
        <v>632</v>
      </c>
      <c r="R861" s="159" t="s">
        <v>2248</v>
      </c>
      <c r="S861" s="165">
        <v>5.8523463940004301E-2</v>
      </c>
      <c r="T861" s="166" t="s">
        <v>372</v>
      </c>
      <c r="U861" s="166"/>
      <c r="V861" s="166"/>
      <c r="W861" s="167">
        <f>IF(BetTable[Sport]="","",BetTable[Stake]+BetTable[S2]+BetTable[S3])</f>
        <v>28</v>
      </c>
      <c r="X861" s="164">
        <f>IF(BetTable[Odds]="","",(BetTable[WBA1-Commission])-BetTable[TS])</f>
        <v>24.36</v>
      </c>
      <c r="Y861" s="168">
        <f>IF(BetTable[Outcome]="","",BetTable[WBA1]+BetTable[WBA2]+BetTable[WBA3]-BetTable[TS])</f>
        <v>24.36</v>
      </c>
      <c r="Z861" s="164">
        <f>(((BetTable[Odds]-1)*BetTable[Stake])*(1-(BetTable[Comm %]))+BetTable[Stake])</f>
        <v>52.36</v>
      </c>
      <c r="AA861" s="164">
        <f>(((BetTable[O2]-1)*BetTable[S2])*(1-(BetTable[C% 2]))+BetTable[S2])</f>
        <v>0</v>
      </c>
      <c r="AB861" s="164">
        <f>(((BetTable[O3]-1)*BetTable[S3])*(1-(BetTable[C% 3]))+BetTable[S3])</f>
        <v>0</v>
      </c>
      <c r="AC861" s="165">
        <f>IFERROR(IF(BetTable[Sport]="","",BetTable[R1]/BetTable[TS]),"")</f>
        <v>0.87</v>
      </c>
      <c r="AD861" s="165" t="str">
        <f>IF(BetTable[O2]="","",#REF!/BetTable[TS])</f>
        <v/>
      </c>
      <c r="AE861" s="165" t="str">
        <f>IFERROR(IF(BetTable[Sport]="","",#REF!/BetTable[TS]),"")</f>
        <v/>
      </c>
      <c r="AF861" s="164">
        <f>IF(BetTable[Outcome]="Win",BetTable[WBA1-Commission],IF(BetTable[Outcome]="Win Half Stake",(BetTable[Stake]/2)+BetTable[WBA1-Commission]/2,IF(BetTable[Outcome]="Lose Half Stake",BetTable[Stake]/2,IF(BetTable[Outcome]="Lose",0,IF(BetTable[Outcome]="Void",BetTable[Stake],)))))</f>
        <v>52.36</v>
      </c>
      <c r="AG861" s="164">
        <f>IF(BetTable[Outcome2]="Win",BetTable[WBA2-Commission],IF(BetTable[Outcome2]="Win Half Stake",(BetTable[S2]/2)+BetTable[WBA2-Commission]/2,IF(BetTable[Outcome2]="Lose Half Stake",BetTable[S2]/2,IF(BetTable[Outcome2]="Lose",0,IF(BetTable[Outcome2]="Void",BetTable[S2],)))))</f>
        <v>0</v>
      </c>
      <c r="AH861" s="164">
        <f>IF(BetTable[Outcome3]="Win",BetTable[WBA3-Commission],IF(BetTable[Outcome3]="Win Half Stake",(BetTable[S3]/2)+BetTable[WBA3-Commission]/2,IF(BetTable[Outcome3]="Lose Half Stake",BetTable[S3]/2,IF(BetTable[Outcome3]="Lose",0,IF(BetTable[Outcome3]="Void",BetTable[S3],)))))</f>
        <v>0</v>
      </c>
      <c r="AI861" s="168">
        <f>IF(BetTable[Outcome]="",AI860,BetTable[Result]+AI860)</f>
        <v>1185.0692500000011</v>
      </c>
      <c r="AJ861" s="160"/>
    </row>
    <row r="862" spans="1:36" x14ac:dyDescent="0.2">
      <c r="A862" s="159" t="s">
        <v>2094</v>
      </c>
      <c r="B862" s="160" t="s">
        <v>7</v>
      </c>
      <c r="C862" s="161" t="s">
        <v>216</v>
      </c>
      <c r="D862" s="161"/>
      <c r="E862" s="161"/>
      <c r="F862" s="162"/>
      <c r="G862" s="162"/>
      <c r="H862" s="162"/>
      <c r="I862" s="160" t="s">
        <v>2249</v>
      </c>
      <c r="J862" s="163">
        <v>1.87</v>
      </c>
      <c r="K862" s="163"/>
      <c r="L862" s="163"/>
      <c r="M862" s="164">
        <v>25</v>
      </c>
      <c r="N862" s="164"/>
      <c r="O862" s="164"/>
      <c r="P862" s="159" t="s">
        <v>2250</v>
      </c>
      <c r="Q862" s="159" t="s">
        <v>581</v>
      </c>
      <c r="R862" s="159" t="s">
        <v>2251</v>
      </c>
      <c r="S862" s="165">
        <v>3.6517160902247103E-2</v>
      </c>
      <c r="T862" s="166" t="s">
        <v>372</v>
      </c>
      <c r="U862" s="166"/>
      <c r="V862" s="166"/>
      <c r="W862" s="167">
        <f>IF(BetTable[Sport]="","",BetTable[Stake]+BetTable[S2]+BetTable[S3])</f>
        <v>25</v>
      </c>
      <c r="X862" s="164">
        <f>IF(BetTable[Odds]="","",(BetTable[WBA1-Commission])-BetTable[TS])</f>
        <v>21.75</v>
      </c>
      <c r="Y862" s="168">
        <f>IF(BetTable[Outcome]="","",BetTable[WBA1]+BetTable[WBA2]+BetTable[WBA3]-BetTable[TS])</f>
        <v>21.75</v>
      </c>
      <c r="Z862" s="164">
        <f>(((BetTable[Odds]-1)*BetTable[Stake])*(1-(BetTable[Comm %]))+BetTable[Stake])</f>
        <v>46.75</v>
      </c>
      <c r="AA862" s="164">
        <f>(((BetTable[O2]-1)*BetTable[S2])*(1-(BetTable[C% 2]))+BetTable[S2])</f>
        <v>0</v>
      </c>
      <c r="AB862" s="164">
        <f>(((BetTable[O3]-1)*BetTable[S3])*(1-(BetTable[C% 3]))+BetTable[S3])</f>
        <v>0</v>
      </c>
      <c r="AC862" s="165">
        <f>IFERROR(IF(BetTable[Sport]="","",BetTable[R1]/BetTable[TS]),"")</f>
        <v>0.87</v>
      </c>
      <c r="AD862" s="165" t="str">
        <f>IF(BetTable[O2]="","",#REF!/BetTable[TS])</f>
        <v/>
      </c>
      <c r="AE862" s="165" t="str">
        <f>IFERROR(IF(BetTable[Sport]="","",#REF!/BetTable[TS]),"")</f>
        <v/>
      </c>
      <c r="AF862" s="164">
        <f>IF(BetTable[Outcome]="Win",BetTable[WBA1-Commission],IF(BetTable[Outcome]="Win Half Stake",(BetTable[Stake]/2)+BetTable[WBA1-Commission]/2,IF(BetTable[Outcome]="Lose Half Stake",BetTable[Stake]/2,IF(BetTable[Outcome]="Lose",0,IF(BetTable[Outcome]="Void",BetTable[Stake],)))))</f>
        <v>46.75</v>
      </c>
      <c r="AG862" s="164">
        <f>IF(BetTable[Outcome2]="Win",BetTable[WBA2-Commission],IF(BetTable[Outcome2]="Win Half Stake",(BetTable[S2]/2)+BetTable[WBA2-Commission]/2,IF(BetTable[Outcome2]="Lose Half Stake",BetTable[S2]/2,IF(BetTable[Outcome2]="Lose",0,IF(BetTable[Outcome2]="Void",BetTable[S2],)))))</f>
        <v>0</v>
      </c>
      <c r="AH862" s="164">
        <f>IF(BetTable[Outcome3]="Win",BetTable[WBA3-Commission],IF(BetTable[Outcome3]="Win Half Stake",(BetTable[S3]/2)+BetTable[WBA3-Commission]/2,IF(BetTable[Outcome3]="Lose Half Stake",BetTable[S3]/2,IF(BetTable[Outcome3]="Lose",0,IF(BetTable[Outcome3]="Void",BetTable[S3],)))))</f>
        <v>0</v>
      </c>
      <c r="AI862" s="168">
        <f>IF(BetTable[Outcome]="",AI861,BetTable[Result]+AI861)</f>
        <v>1206.8192500000011</v>
      </c>
      <c r="AJ862" s="160"/>
    </row>
    <row r="863" spans="1:36" x14ac:dyDescent="0.2">
      <c r="A863" s="159" t="s">
        <v>2094</v>
      </c>
      <c r="B863" s="160" t="s">
        <v>200</v>
      </c>
      <c r="C863" s="161" t="s">
        <v>1714</v>
      </c>
      <c r="D863" s="161"/>
      <c r="E863" s="161"/>
      <c r="F863" s="162"/>
      <c r="G863" s="162"/>
      <c r="H863" s="162"/>
      <c r="I863" s="160" t="s">
        <v>2252</v>
      </c>
      <c r="J863" s="163">
        <v>1.9</v>
      </c>
      <c r="K863" s="163"/>
      <c r="L863" s="163"/>
      <c r="M863" s="164">
        <v>57</v>
      </c>
      <c r="N863" s="164"/>
      <c r="O863" s="164"/>
      <c r="P863" s="159" t="s">
        <v>791</v>
      </c>
      <c r="Q863" s="159" t="s">
        <v>1842</v>
      </c>
      <c r="R863" s="159" t="s">
        <v>2253</v>
      </c>
      <c r="S863" s="165">
        <v>3.3337386949605703E-2</v>
      </c>
      <c r="T863" s="166" t="s">
        <v>372</v>
      </c>
      <c r="U863" s="166"/>
      <c r="V863" s="166"/>
      <c r="W863" s="167">
        <f>IF(BetTable[Sport]="","",BetTable[Stake]+BetTable[S2]+BetTable[S3])</f>
        <v>57</v>
      </c>
      <c r="X863" s="164">
        <f>IF(BetTable[Odds]="","",(BetTable[WBA1-Commission])-BetTable[TS])</f>
        <v>51.3</v>
      </c>
      <c r="Y863" s="168">
        <f>IF(BetTable[Outcome]="","",BetTable[WBA1]+BetTable[WBA2]+BetTable[WBA3]-BetTable[TS])</f>
        <v>51.3</v>
      </c>
      <c r="Z863" s="164">
        <f>(((BetTable[Odds]-1)*BetTable[Stake])*(1-(BetTable[Comm %]))+BetTable[Stake])</f>
        <v>108.3</v>
      </c>
      <c r="AA863" s="164">
        <f>(((BetTable[O2]-1)*BetTable[S2])*(1-(BetTable[C% 2]))+BetTable[S2])</f>
        <v>0</v>
      </c>
      <c r="AB863" s="164">
        <f>(((BetTable[O3]-1)*BetTable[S3])*(1-(BetTable[C% 3]))+BetTable[S3])</f>
        <v>0</v>
      </c>
      <c r="AC863" s="165">
        <f>IFERROR(IF(BetTable[Sport]="","",BetTable[R1]/BetTable[TS]),"")</f>
        <v>0.89999999999999991</v>
      </c>
      <c r="AD863" s="165" t="str">
        <f>IF(BetTable[O2]="","",#REF!/BetTable[TS])</f>
        <v/>
      </c>
      <c r="AE863" s="165" t="str">
        <f>IFERROR(IF(BetTable[Sport]="","",#REF!/BetTable[TS]),"")</f>
        <v/>
      </c>
      <c r="AF863" s="164">
        <f>IF(BetTable[Outcome]="Win",BetTable[WBA1-Commission],IF(BetTable[Outcome]="Win Half Stake",(BetTable[Stake]/2)+BetTable[WBA1-Commission]/2,IF(BetTable[Outcome]="Lose Half Stake",BetTable[Stake]/2,IF(BetTable[Outcome]="Lose",0,IF(BetTable[Outcome]="Void",BetTable[Stake],)))))</f>
        <v>108.3</v>
      </c>
      <c r="AG863" s="164">
        <f>IF(BetTable[Outcome2]="Win",BetTable[WBA2-Commission],IF(BetTable[Outcome2]="Win Half Stake",(BetTable[S2]/2)+BetTable[WBA2-Commission]/2,IF(BetTable[Outcome2]="Lose Half Stake",BetTable[S2]/2,IF(BetTable[Outcome2]="Lose",0,IF(BetTable[Outcome2]="Void",BetTable[S2],)))))</f>
        <v>0</v>
      </c>
      <c r="AH863" s="164">
        <f>IF(BetTable[Outcome3]="Win",BetTable[WBA3-Commission],IF(BetTable[Outcome3]="Win Half Stake",(BetTable[S3]/2)+BetTable[WBA3-Commission]/2,IF(BetTable[Outcome3]="Lose Half Stake",BetTable[S3]/2,IF(BetTable[Outcome3]="Lose",0,IF(BetTable[Outcome3]="Void",BetTable[S3],)))))</f>
        <v>0</v>
      </c>
      <c r="AI863" s="168">
        <f>IF(BetTable[Outcome]="",AI862,BetTable[Result]+AI862)</f>
        <v>1258.1192500000011</v>
      </c>
      <c r="AJ863" s="160"/>
    </row>
    <row r="864" spans="1:36" x14ac:dyDescent="0.2">
      <c r="A864" s="159" t="s">
        <v>2094</v>
      </c>
      <c r="B864" s="160" t="s">
        <v>200</v>
      </c>
      <c r="C864" s="161" t="s">
        <v>1714</v>
      </c>
      <c r="D864" s="161"/>
      <c r="E864" s="161"/>
      <c r="F864" s="162"/>
      <c r="G864" s="162"/>
      <c r="H864" s="162"/>
      <c r="I864" s="160" t="s">
        <v>2254</v>
      </c>
      <c r="J864" s="163">
        <v>1.97</v>
      </c>
      <c r="K864" s="163"/>
      <c r="L864" s="163"/>
      <c r="M864" s="164">
        <v>22</v>
      </c>
      <c r="N864" s="164"/>
      <c r="O864" s="164"/>
      <c r="P864" s="159" t="s">
        <v>508</v>
      </c>
      <c r="Q864" s="159" t="s">
        <v>485</v>
      </c>
      <c r="R864" s="159" t="s">
        <v>2255</v>
      </c>
      <c r="S864" s="165">
        <v>1.8070717383908801E-2</v>
      </c>
      <c r="T864" s="166" t="s">
        <v>382</v>
      </c>
      <c r="U864" s="166"/>
      <c r="V864" s="166"/>
      <c r="W864" s="167">
        <f>IF(BetTable[Sport]="","",BetTable[Stake]+BetTable[S2]+BetTable[S3])</f>
        <v>22</v>
      </c>
      <c r="X864" s="164">
        <f>IF(BetTable[Odds]="","",(BetTable[WBA1-Commission])-BetTable[TS])</f>
        <v>21.340000000000003</v>
      </c>
      <c r="Y864" s="168">
        <f>IF(BetTable[Outcome]="","",BetTable[WBA1]+BetTable[WBA2]+BetTable[WBA3]-BetTable[TS])</f>
        <v>-22</v>
      </c>
      <c r="Z864" s="164">
        <f>(((BetTable[Odds]-1)*BetTable[Stake])*(1-(BetTable[Comm %]))+BetTable[Stake])</f>
        <v>43.34</v>
      </c>
      <c r="AA864" s="164">
        <f>(((BetTable[O2]-1)*BetTable[S2])*(1-(BetTable[C% 2]))+BetTable[S2])</f>
        <v>0</v>
      </c>
      <c r="AB864" s="164">
        <f>(((BetTable[O3]-1)*BetTable[S3])*(1-(BetTable[C% 3]))+BetTable[S3])</f>
        <v>0</v>
      </c>
      <c r="AC864" s="165">
        <f>IFERROR(IF(BetTable[Sport]="","",BetTable[R1]/BetTable[TS]),"")</f>
        <v>0.9700000000000002</v>
      </c>
      <c r="AD864" s="165" t="str">
        <f>IF(BetTable[O2]="","",#REF!/BetTable[TS])</f>
        <v/>
      </c>
      <c r="AE864" s="165" t="str">
        <f>IFERROR(IF(BetTable[Sport]="","",#REF!/BetTable[TS]),"")</f>
        <v/>
      </c>
      <c r="AF864" s="164">
        <f>IF(BetTable[Outcome]="Win",BetTable[WBA1-Commission],IF(BetTable[Outcome]="Win Half Stake",(BetTable[Stake]/2)+BetTable[WBA1-Commission]/2,IF(BetTable[Outcome]="Lose Half Stake",BetTable[Stake]/2,IF(BetTable[Outcome]="Lose",0,IF(BetTable[Outcome]="Void",BetTable[Stake],)))))</f>
        <v>0</v>
      </c>
      <c r="AG864" s="164">
        <f>IF(BetTable[Outcome2]="Win",BetTable[WBA2-Commission],IF(BetTable[Outcome2]="Win Half Stake",(BetTable[S2]/2)+BetTable[WBA2-Commission]/2,IF(BetTable[Outcome2]="Lose Half Stake",BetTable[S2]/2,IF(BetTable[Outcome2]="Lose",0,IF(BetTable[Outcome2]="Void",BetTable[S2],)))))</f>
        <v>0</v>
      </c>
      <c r="AH864" s="164">
        <f>IF(BetTable[Outcome3]="Win",BetTable[WBA3-Commission],IF(BetTable[Outcome3]="Win Half Stake",(BetTable[S3]/2)+BetTable[WBA3-Commission]/2,IF(BetTable[Outcome3]="Lose Half Stake",BetTable[S3]/2,IF(BetTable[Outcome3]="Lose",0,IF(BetTable[Outcome3]="Void",BetTable[S3],)))))</f>
        <v>0</v>
      </c>
      <c r="AI864" s="168">
        <f>IF(BetTable[Outcome]="",AI863,BetTable[Result]+AI863)</f>
        <v>1236.1192500000011</v>
      </c>
      <c r="AJ864" s="160"/>
    </row>
    <row r="865" spans="1:36" x14ac:dyDescent="0.2">
      <c r="A865" s="159" t="s">
        <v>2094</v>
      </c>
      <c r="B865" s="160" t="s">
        <v>200</v>
      </c>
      <c r="C865" s="161" t="s">
        <v>1714</v>
      </c>
      <c r="D865" s="161"/>
      <c r="E865" s="161"/>
      <c r="F865" s="162"/>
      <c r="G865" s="162"/>
      <c r="H865" s="162"/>
      <c r="I865" s="160" t="s">
        <v>2256</v>
      </c>
      <c r="J865" s="163">
        <v>1.68</v>
      </c>
      <c r="K865" s="163"/>
      <c r="L865" s="163"/>
      <c r="M865" s="164">
        <v>63</v>
      </c>
      <c r="N865" s="164"/>
      <c r="O865" s="164"/>
      <c r="P865" s="159" t="s">
        <v>791</v>
      </c>
      <c r="Q865" s="159" t="s">
        <v>458</v>
      </c>
      <c r="R865" s="159" t="s">
        <v>2257</v>
      </c>
      <c r="S865" s="165">
        <v>2.7697472071551699E-2</v>
      </c>
      <c r="T865" s="166" t="s">
        <v>382</v>
      </c>
      <c r="U865" s="166"/>
      <c r="V865" s="166"/>
      <c r="W865" s="167">
        <f>IF(BetTable[Sport]="","",BetTable[Stake]+BetTable[S2]+BetTable[S3])</f>
        <v>63</v>
      </c>
      <c r="X865" s="164">
        <f>IF(BetTable[Odds]="","",(BetTable[WBA1-Commission])-BetTable[TS])</f>
        <v>42.84</v>
      </c>
      <c r="Y865" s="168">
        <f>IF(BetTable[Outcome]="","",BetTable[WBA1]+BetTable[WBA2]+BetTable[WBA3]-BetTable[TS])</f>
        <v>-63</v>
      </c>
      <c r="Z865" s="164">
        <f>(((BetTable[Odds]-1)*BetTable[Stake])*(1-(BetTable[Comm %]))+BetTable[Stake])</f>
        <v>105.84</v>
      </c>
      <c r="AA865" s="164">
        <f>(((BetTable[O2]-1)*BetTable[S2])*(1-(BetTable[C% 2]))+BetTable[S2])</f>
        <v>0</v>
      </c>
      <c r="AB865" s="164">
        <f>(((BetTable[O3]-1)*BetTable[S3])*(1-(BetTable[C% 3]))+BetTable[S3])</f>
        <v>0</v>
      </c>
      <c r="AC865" s="165">
        <f>IFERROR(IF(BetTable[Sport]="","",BetTable[R1]/BetTable[TS]),"")</f>
        <v>0.68</v>
      </c>
      <c r="AD865" s="165" t="str">
        <f>IF(BetTable[O2]="","",#REF!/BetTable[TS])</f>
        <v/>
      </c>
      <c r="AE865" s="165" t="str">
        <f>IFERROR(IF(BetTable[Sport]="","",#REF!/BetTable[TS]),"")</f>
        <v/>
      </c>
      <c r="AF865" s="164">
        <f>IF(BetTable[Outcome]="Win",BetTable[WBA1-Commission],IF(BetTable[Outcome]="Win Half Stake",(BetTable[Stake]/2)+BetTable[WBA1-Commission]/2,IF(BetTable[Outcome]="Lose Half Stake",BetTable[Stake]/2,IF(BetTable[Outcome]="Lose",0,IF(BetTable[Outcome]="Void",BetTable[Stake],)))))</f>
        <v>0</v>
      </c>
      <c r="AG865" s="164">
        <f>IF(BetTable[Outcome2]="Win",BetTable[WBA2-Commission],IF(BetTable[Outcome2]="Win Half Stake",(BetTable[S2]/2)+BetTable[WBA2-Commission]/2,IF(BetTable[Outcome2]="Lose Half Stake",BetTable[S2]/2,IF(BetTable[Outcome2]="Lose",0,IF(BetTable[Outcome2]="Void",BetTable[S2],)))))</f>
        <v>0</v>
      </c>
      <c r="AH865" s="164">
        <f>IF(BetTable[Outcome3]="Win",BetTable[WBA3-Commission],IF(BetTable[Outcome3]="Win Half Stake",(BetTable[S3]/2)+BetTable[WBA3-Commission]/2,IF(BetTable[Outcome3]="Lose Half Stake",BetTable[S3]/2,IF(BetTable[Outcome3]="Lose",0,IF(BetTable[Outcome3]="Void",BetTable[S3],)))))</f>
        <v>0</v>
      </c>
      <c r="AI865" s="168">
        <f>IF(BetTable[Outcome]="",AI864,BetTable[Result]+AI864)</f>
        <v>1173.1192500000011</v>
      </c>
      <c r="AJ865" s="160"/>
    </row>
    <row r="866" spans="1:36" x14ac:dyDescent="0.2">
      <c r="A866" s="159" t="s">
        <v>2094</v>
      </c>
      <c r="B866" s="160" t="s">
        <v>200</v>
      </c>
      <c r="C866" s="161" t="s">
        <v>1714</v>
      </c>
      <c r="D866" s="161"/>
      <c r="E866" s="161"/>
      <c r="F866" s="162"/>
      <c r="G866" s="162"/>
      <c r="H866" s="162"/>
      <c r="I866" s="160" t="s">
        <v>2258</v>
      </c>
      <c r="J866" s="163">
        <v>2.96</v>
      </c>
      <c r="K866" s="163"/>
      <c r="L866" s="163"/>
      <c r="M866" s="164">
        <v>49</v>
      </c>
      <c r="N866" s="164"/>
      <c r="O866" s="164"/>
      <c r="P866" s="159" t="s">
        <v>494</v>
      </c>
      <c r="Q866" s="159" t="s">
        <v>458</v>
      </c>
      <c r="R866" s="159" t="s">
        <v>2259</v>
      </c>
      <c r="S866" s="165">
        <v>6.1721135954798403E-2</v>
      </c>
      <c r="T866" s="166" t="s">
        <v>382</v>
      </c>
      <c r="U866" s="166"/>
      <c r="V866" s="166"/>
      <c r="W866" s="167">
        <f>IF(BetTable[Sport]="","",BetTable[Stake]+BetTable[S2]+BetTable[S3])</f>
        <v>49</v>
      </c>
      <c r="X866" s="164">
        <f>IF(BetTable[Odds]="","",(BetTable[WBA1-Commission])-BetTable[TS])</f>
        <v>96.039999999999992</v>
      </c>
      <c r="Y866" s="168">
        <f>IF(BetTable[Outcome]="","",BetTable[WBA1]+BetTable[WBA2]+BetTable[WBA3]-BetTable[TS])</f>
        <v>-49</v>
      </c>
      <c r="Z866" s="164">
        <f>(((BetTable[Odds]-1)*BetTable[Stake])*(1-(BetTable[Comm %]))+BetTable[Stake])</f>
        <v>145.04</v>
      </c>
      <c r="AA866" s="164">
        <f>(((BetTable[O2]-1)*BetTable[S2])*(1-(BetTable[C% 2]))+BetTable[S2])</f>
        <v>0</v>
      </c>
      <c r="AB866" s="164">
        <f>(((BetTable[O3]-1)*BetTable[S3])*(1-(BetTable[C% 3]))+BetTable[S3])</f>
        <v>0</v>
      </c>
      <c r="AC866" s="165">
        <f>IFERROR(IF(BetTable[Sport]="","",BetTable[R1]/BetTable[TS]),"")</f>
        <v>1.9599999999999997</v>
      </c>
      <c r="AD866" s="165" t="str">
        <f>IF(BetTable[O2]="","",#REF!/BetTable[TS])</f>
        <v/>
      </c>
      <c r="AE866" s="165" t="str">
        <f>IFERROR(IF(BetTable[Sport]="","",#REF!/BetTable[TS]),"")</f>
        <v/>
      </c>
      <c r="AF866" s="164">
        <f>IF(BetTable[Outcome]="Win",BetTable[WBA1-Commission],IF(BetTable[Outcome]="Win Half Stake",(BetTable[Stake]/2)+BetTable[WBA1-Commission]/2,IF(BetTable[Outcome]="Lose Half Stake",BetTable[Stake]/2,IF(BetTable[Outcome]="Lose",0,IF(BetTable[Outcome]="Void",BetTable[Stake],)))))</f>
        <v>0</v>
      </c>
      <c r="AG866" s="164">
        <f>IF(BetTable[Outcome2]="Win",BetTable[WBA2-Commission],IF(BetTable[Outcome2]="Win Half Stake",(BetTable[S2]/2)+BetTable[WBA2-Commission]/2,IF(BetTable[Outcome2]="Lose Half Stake",BetTable[S2]/2,IF(BetTable[Outcome2]="Lose",0,IF(BetTable[Outcome2]="Void",BetTable[S2],)))))</f>
        <v>0</v>
      </c>
      <c r="AH866" s="164">
        <f>IF(BetTable[Outcome3]="Win",BetTable[WBA3-Commission],IF(BetTable[Outcome3]="Win Half Stake",(BetTable[S3]/2)+BetTable[WBA3-Commission]/2,IF(BetTable[Outcome3]="Lose Half Stake",BetTable[S3]/2,IF(BetTable[Outcome3]="Lose",0,IF(BetTable[Outcome3]="Void",BetTable[S3],)))))</f>
        <v>0</v>
      </c>
      <c r="AI866" s="168">
        <f>IF(BetTable[Outcome]="",AI865,BetTable[Result]+AI865)</f>
        <v>1124.1192500000011</v>
      </c>
      <c r="AJ866" s="160"/>
    </row>
    <row r="867" spans="1:36" x14ac:dyDescent="0.2">
      <c r="A867" s="159" t="s">
        <v>2094</v>
      </c>
      <c r="B867" s="160" t="s">
        <v>201</v>
      </c>
      <c r="C867" s="161" t="s">
        <v>91</v>
      </c>
      <c r="D867" s="161"/>
      <c r="E867" s="161"/>
      <c r="F867" s="162"/>
      <c r="G867" s="162"/>
      <c r="H867" s="162"/>
      <c r="I867" s="160" t="s">
        <v>2260</v>
      </c>
      <c r="J867" s="163">
        <v>1.85</v>
      </c>
      <c r="K867" s="163"/>
      <c r="L867" s="163"/>
      <c r="M867" s="164">
        <v>35</v>
      </c>
      <c r="N867" s="164"/>
      <c r="O867" s="164"/>
      <c r="P867" s="159" t="s">
        <v>2261</v>
      </c>
      <c r="Q867" s="159" t="s">
        <v>818</v>
      </c>
      <c r="R867" s="159" t="s">
        <v>2262</v>
      </c>
      <c r="S867" s="165">
        <v>1.90488424344731E-2</v>
      </c>
      <c r="T867" s="166" t="s">
        <v>382</v>
      </c>
      <c r="U867" s="166"/>
      <c r="V867" s="166"/>
      <c r="W867" s="167">
        <f>IF(BetTable[Sport]="","",BetTable[Stake]+BetTable[S2]+BetTable[S3])</f>
        <v>35</v>
      </c>
      <c r="X867" s="164">
        <f>IF(BetTable[Odds]="","",(BetTable[WBA1-Commission])-BetTable[TS])</f>
        <v>29.75</v>
      </c>
      <c r="Y867" s="168">
        <f>IF(BetTable[Outcome]="","",BetTable[WBA1]+BetTable[WBA2]+BetTable[WBA3]-BetTable[TS])</f>
        <v>-35</v>
      </c>
      <c r="Z867" s="164">
        <f>(((BetTable[Odds]-1)*BetTable[Stake])*(1-(BetTable[Comm %]))+BetTable[Stake])</f>
        <v>64.75</v>
      </c>
      <c r="AA867" s="164">
        <f>(((BetTable[O2]-1)*BetTable[S2])*(1-(BetTable[C% 2]))+BetTable[S2])</f>
        <v>0</v>
      </c>
      <c r="AB867" s="164">
        <f>(((BetTable[O3]-1)*BetTable[S3])*(1-(BetTable[C% 3]))+BetTable[S3])</f>
        <v>0</v>
      </c>
      <c r="AC867" s="165">
        <f>IFERROR(IF(BetTable[Sport]="","",BetTable[R1]/BetTable[TS]),"")</f>
        <v>0.85</v>
      </c>
      <c r="AD867" s="165" t="str">
        <f>IF(BetTable[O2]="","",#REF!/BetTable[TS])</f>
        <v/>
      </c>
      <c r="AE867" s="165" t="str">
        <f>IFERROR(IF(BetTable[Sport]="","",#REF!/BetTable[TS]),"")</f>
        <v/>
      </c>
      <c r="AF867" s="164">
        <f>IF(BetTable[Outcome]="Win",BetTable[WBA1-Commission],IF(BetTable[Outcome]="Win Half Stake",(BetTable[Stake]/2)+BetTable[WBA1-Commission]/2,IF(BetTable[Outcome]="Lose Half Stake",BetTable[Stake]/2,IF(BetTable[Outcome]="Lose",0,IF(BetTable[Outcome]="Void",BetTable[Stake],)))))</f>
        <v>0</v>
      </c>
      <c r="AG867" s="164">
        <f>IF(BetTable[Outcome2]="Win",BetTable[WBA2-Commission],IF(BetTable[Outcome2]="Win Half Stake",(BetTable[S2]/2)+BetTable[WBA2-Commission]/2,IF(BetTable[Outcome2]="Lose Half Stake",BetTable[S2]/2,IF(BetTable[Outcome2]="Lose",0,IF(BetTable[Outcome2]="Void",BetTable[S2],)))))</f>
        <v>0</v>
      </c>
      <c r="AH867" s="164">
        <f>IF(BetTable[Outcome3]="Win",BetTable[WBA3-Commission],IF(BetTable[Outcome3]="Win Half Stake",(BetTable[S3]/2)+BetTable[WBA3-Commission]/2,IF(BetTable[Outcome3]="Lose Half Stake",BetTable[S3]/2,IF(BetTable[Outcome3]="Lose",0,IF(BetTable[Outcome3]="Void",BetTable[S3],)))))</f>
        <v>0</v>
      </c>
      <c r="AI867" s="168">
        <f>IF(BetTable[Outcome]="",AI866,BetTable[Result]+AI866)</f>
        <v>1089.1192500000011</v>
      </c>
      <c r="AJ867" s="160"/>
    </row>
    <row r="868" spans="1:36" x14ac:dyDescent="0.2">
      <c r="A868" s="159" t="s">
        <v>2094</v>
      </c>
      <c r="B868" s="160" t="s">
        <v>7</v>
      </c>
      <c r="C868" s="161" t="s">
        <v>91</v>
      </c>
      <c r="D868" s="161"/>
      <c r="E868" s="161"/>
      <c r="F868" s="162"/>
      <c r="G868" s="162"/>
      <c r="H868" s="162"/>
      <c r="I868" s="160" t="s">
        <v>2263</v>
      </c>
      <c r="J868" s="163">
        <v>2.08</v>
      </c>
      <c r="K868" s="163"/>
      <c r="L868" s="163"/>
      <c r="M868" s="164">
        <v>25</v>
      </c>
      <c r="N868" s="164"/>
      <c r="O868" s="164"/>
      <c r="P868" s="159" t="s">
        <v>2264</v>
      </c>
      <c r="Q868" s="159" t="s">
        <v>482</v>
      </c>
      <c r="R868" s="159" t="s">
        <v>2265</v>
      </c>
      <c r="S868" s="165">
        <v>4.9001739739864499E-2</v>
      </c>
      <c r="T868" s="166" t="s">
        <v>382</v>
      </c>
      <c r="U868" s="166"/>
      <c r="V868" s="166"/>
      <c r="W868" s="167">
        <f>IF(BetTable[Sport]="","",BetTable[Stake]+BetTable[S2]+BetTable[S3])</f>
        <v>25</v>
      </c>
      <c r="X868" s="164">
        <f>IF(BetTable[Odds]="","",(BetTable[WBA1-Commission])-BetTable[TS])</f>
        <v>27</v>
      </c>
      <c r="Y868" s="168">
        <f>IF(BetTable[Outcome]="","",BetTable[WBA1]+BetTable[WBA2]+BetTable[WBA3]-BetTable[TS])</f>
        <v>-25</v>
      </c>
      <c r="Z868" s="164">
        <f>(((BetTable[Odds]-1)*BetTable[Stake])*(1-(BetTable[Comm %]))+BetTable[Stake])</f>
        <v>52</v>
      </c>
      <c r="AA868" s="164">
        <f>(((BetTable[O2]-1)*BetTable[S2])*(1-(BetTable[C% 2]))+BetTable[S2])</f>
        <v>0</v>
      </c>
      <c r="AB868" s="164">
        <f>(((BetTable[O3]-1)*BetTable[S3])*(1-(BetTable[C% 3]))+BetTable[S3])</f>
        <v>0</v>
      </c>
      <c r="AC868" s="165">
        <f>IFERROR(IF(BetTable[Sport]="","",BetTable[R1]/BetTable[TS]),"")</f>
        <v>1.08</v>
      </c>
      <c r="AD868" s="165" t="str">
        <f>IF(BetTable[O2]="","",#REF!/BetTable[TS])</f>
        <v/>
      </c>
      <c r="AE868" s="165" t="str">
        <f>IFERROR(IF(BetTable[Sport]="","",#REF!/BetTable[TS]),"")</f>
        <v/>
      </c>
      <c r="AF868" s="164">
        <f>IF(BetTable[Outcome]="Win",BetTable[WBA1-Commission],IF(BetTable[Outcome]="Win Half Stake",(BetTable[Stake]/2)+BetTable[WBA1-Commission]/2,IF(BetTable[Outcome]="Lose Half Stake",BetTable[Stake]/2,IF(BetTable[Outcome]="Lose",0,IF(BetTable[Outcome]="Void",BetTable[Stake],)))))</f>
        <v>0</v>
      </c>
      <c r="AG868" s="164">
        <f>IF(BetTable[Outcome2]="Win",BetTable[WBA2-Commission],IF(BetTable[Outcome2]="Win Half Stake",(BetTable[S2]/2)+BetTable[WBA2-Commission]/2,IF(BetTable[Outcome2]="Lose Half Stake",BetTable[S2]/2,IF(BetTable[Outcome2]="Lose",0,IF(BetTable[Outcome2]="Void",BetTable[S2],)))))</f>
        <v>0</v>
      </c>
      <c r="AH868" s="164">
        <f>IF(BetTable[Outcome3]="Win",BetTable[WBA3-Commission],IF(BetTable[Outcome3]="Win Half Stake",(BetTable[S3]/2)+BetTable[WBA3-Commission]/2,IF(BetTable[Outcome3]="Lose Half Stake",BetTable[S3]/2,IF(BetTable[Outcome3]="Lose",0,IF(BetTable[Outcome3]="Void",BetTable[S3],)))))</f>
        <v>0</v>
      </c>
      <c r="AI868" s="168">
        <f>IF(BetTable[Outcome]="",AI867,BetTable[Result]+AI867)</f>
        <v>1064.1192500000011</v>
      </c>
      <c r="AJ868" s="160"/>
    </row>
    <row r="869" spans="1:36" x14ac:dyDescent="0.2">
      <c r="A869" s="159" t="s">
        <v>2094</v>
      </c>
      <c r="B869" s="160" t="s">
        <v>7</v>
      </c>
      <c r="C869" s="161" t="s">
        <v>1714</v>
      </c>
      <c r="D869" s="161"/>
      <c r="E869" s="161"/>
      <c r="F869" s="162"/>
      <c r="G869" s="162"/>
      <c r="H869" s="162"/>
      <c r="I869" s="160" t="s">
        <v>2266</v>
      </c>
      <c r="J869" s="163">
        <v>2.08</v>
      </c>
      <c r="K869" s="163"/>
      <c r="L869" s="163"/>
      <c r="M869" s="164">
        <v>37</v>
      </c>
      <c r="N869" s="164"/>
      <c r="O869" s="164"/>
      <c r="P869" s="159" t="s">
        <v>2267</v>
      </c>
      <c r="Q869" s="159" t="s">
        <v>488</v>
      </c>
      <c r="R869" s="159" t="s">
        <v>2268</v>
      </c>
      <c r="S869" s="165">
        <v>2.5848539387748001E-2</v>
      </c>
      <c r="T869" s="166" t="s">
        <v>382</v>
      </c>
      <c r="U869" s="166"/>
      <c r="V869" s="166"/>
      <c r="W869" s="167">
        <f>IF(BetTable[Sport]="","",BetTable[Stake]+BetTable[S2]+BetTable[S3])</f>
        <v>37</v>
      </c>
      <c r="X869" s="164">
        <f>IF(BetTable[Odds]="","",(BetTable[WBA1-Commission])-BetTable[TS])</f>
        <v>39.960000000000008</v>
      </c>
      <c r="Y869" s="168">
        <f>IF(BetTable[Outcome]="","",BetTable[WBA1]+BetTable[WBA2]+BetTable[WBA3]-BetTable[TS])</f>
        <v>-37</v>
      </c>
      <c r="Z869" s="164">
        <f>(((BetTable[Odds]-1)*BetTable[Stake])*(1-(BetTable[Comm %]))+BetTable[Stake])</f>
        <v>76.960000000000008</v>
      </c>
      <c r="AA869" s="164">
        <f>(((BetTable[O2]-1)*BetTable[S2])*(1-(BetTable[C% 2]))+BetTable[S2])</f>
        <v>0</v>
      </c>
      <c r="AB869" s="164">
        <f>(((BetTable[O3]-1)*BetTable[S3])*(1-(BetTable[C% 3]))+BetTable[S3])</f>
        <v>0</v>
      </c>
      <c r="AC869" s="165">
        <f>IFERROR(IF(BetTable[Sport]="","",BetTable[R1]/BetTable[TS]),"")</f>
        <v>1.0800000000000003</v>
      </c>
      <c r="AD869" s="165" t="str">
        <f>IF(BetTable[O2]="","",#REF!/BetTable[TS])</f>
        <v/>
      </c>
      <c r="AE869" s="165" t="str">
        <f>IFERROR(IF(BetTable[Sport]="","",#REF!/BetTable[TS]),"")</f>
        <v/>
      </c>
      <c r="AF869" s="164">
        <f>IF(BetTable[Outcome]="Win",BetTable[WBA1-Commission],IF(BetTable[Outcome]="Win Half Stake",(BetTable[Stake]/2)+BetTable[WBA1-Commission]/2,IF(BetTable[Outcome]="Lose Half Stake",BetTable[Stake]/2,IF(BetTable[Outcome]="Lose",0,IF(BetTable[Outcome]="Void",BetTable[Stake],)))))</f>
        <v>0</v>
      </c>
      <c r="AG869" s="164">
        <f>IF(BetTable[Outcome2]="Win",BetTable[WBA2-Commission],IF(BetTable[Outcome2]="Win Half Stake",(BetTable[S2]/2)+BetTable[WBA2-Commission]/2,IF(BetTable[Outcome2]="Lose Half Stake",BetTable[S2]/2,IF(BetTable[Outcome2]="Lose",0,IF(BetTable[Outcome2]="Void",BetTable[S2],)))))</f>
        <v>0</v>
      </c>
      <c r="AH869" s="164">
        <f>IF(BetTable[Outcome3]="Win",BetTable[WBA3-Commission],IF(BetTable[Outcome3]="Win Half Stake",(BetTable[S3]/2)+BetTable[WBA3-Commission]/2,IF(BetTable[Outcome3]="Lose Half Stake",BetTable[S3]/2,IF(BetTable[Outcome3]="Lose",0,IF(BetTable[Outcome3]="Void",BetTable[S3],)))))</f>
        <v>0</v>
      </c>
      <c r="AI869" s="168">
        <f>IF(BetTable[Outcome]="",AI868,BetTable[Result]+AI868)</f>
        <v>1027.1192500000011</v>
      </c>
      <c r="AJ869" s="160"/>
    </row>
    <row r="870" spans="1:36" x14ac:dyDescent="0.2">
      <c r="A870" s="159" t="s">
        <v>2094</v>
      </c>
      <c r="B870" s="160" t="s">
        <v>200</v>
      </c>
      <c r="C870" s="161" t="s">
        <v>1714</v>
      </c>
      <c r="D870" s="161"/>
      <c r="E870" s="161"/>
      <c r="F870" s="162"/>
      <c r="G870" s="162"/>
      <c r="H870" s="162"/>
      <c r="I870" s="160" t="s">
        <v>2269</v>
      </c>
      <c r="J870" s="163">
        <v>2.0099999999999998</v>
      </c>
      <c r="K870" s="163"/>
      <c r="L870" s="163"/>
      <c r="M870" s="164">
        <v>46</v>
      </c>
      <c r="N870" s="164"/>
      <c r="O870" s="164"/>
      <c r="P870" s="159" t="s">
        <v>637</v>
      </c>
      <c r="Q870" s="159" t="s">
        <v>458</v>
      </c>
      <c r="R870" s="159" t="s">
        <v>2270</v>
      </c>
      <c r="S870" s="165">
        <v>2.9965573715076198E-2</v>
      </c>
      <c r="T870" s="166" t="s">
        <v>372</v>
      </c>
      <c r="U870" s="166"/>
      <c r="V870" s="166"/>
      <c r="W870" s="167">
        <f>IF(BetTable[Sport]="","",BetTable[Stake]+BetTable[S2]+BetTable[S3])</f>
        <v>46</v>
      </c>
      <c r="X870" s="164">
        <f>IF(BetTable[Odds]="","",(BetTable[WBA1-Commission])-BetTable[TS])</f>
        <v>46.459999999999994</v>
      </c>
      <c r="Y870" s="168">
        <f>IF(BetTable[Outcome]="","",BetTable[WBA1]+BetTable[WBA2]+BetTable[WBA3]-BetTable[TS])</f>
        <v>46.459999999999994</v>
      </c>
      <c r="Z870" s="164">
        <f>(((BetTable[Odds]-1)*BetTable[Stake])*(1-(BetTable[Comm %]))+BetTable[Stake])</f>
        <v>92.46</v>
      </c>
      <c r="AA870" s="164">
        <f>(((BetTable[O2]-1)*BetTable[S2])*(1-(BetTable[C% 2]))+BetTable[S2])</f>
        <v>0</v>
      </c>
      <c r="AB870" s="164">
        <f>(((BetTable[O3]-1)*BetTable[S3])*(1-(BetTable[C% 3]))+BetTable[S3])</f>
        <v>0</v>
      </c>
      <c r="AC870" s="165">
        <f>IFERROR(IF(BetTable[Sport]="","",BetTable[R1]/BetTable[TS]),"")</f>
        <v>1.0099999999999998</v>
      </c>
      <c r="AD870" s="165" t="str">
        <f>IF(BetTable[O2]="","",#REF!/BetTable[TS])</f>
        <v/>
      </c>
      <c r="AE870" s="165" t="str">
        <f>IFERROR(IF(BetTable[Sport]="","",#REF!/BetTable[TS]),"")</f>
        <v/>
      </c>
      <c r="AF870" s="164">
        <f>IF(BetTable[Outcome]="Win",BetTable[WBA1-Commission],IF(BetTable[Outcome]="Win Half Stake",(BetTable[Stake]/2)+BetTable[WBA1-Commission]/2,IF(BetTable[Outcome]="Lose Half Stake",BetTable[Stake]/2,IF(BetTable[Outcome]="Lose",0,IF(BetTable[Outcome]="Void",BetTable[Stake],)))))</f>
        <v>92.46</v>
      </c>
      <c r="AG870" s="164">
        <f>IF(BetTable[Outcome2]="Win",BetTable[WBA2-Commission],IF(BetTable[Outcome2]="Win Half Stake",(BetTable[S2]/2)+BetTable[WBA2-Commission]/2,IF(BetTable[Outcome2]="Lose Half Stake",BetTable[S2]/2,IF(BetTable[Outcome2]="Lose",0,IF(BetTable[Outcome2]="Void",BetTable[S2],)))))</f>
        <v>0</v>
      </c>
      <c r="AH870" s="164">
        <f>IF(BetTable[Outcome3]="Win",BetTable[WBA3-Commission],IF(BetTable[Outcome3]="Win Half Stake",(BetTable[S3]/2)+BetTable[WBA3-Commission]/2,IF(BetTable[Outcome3]="Lose Half Stake",BetTable[S3]/2,IF(BetTable[Outcome3]="Lose",0,IF(BetTable[Outcome3]="Void",BetTable[S3],)))))</f>
        <v>0</v>
      </c>
      <c r="AI870" s="168">
        <f>IF(BetTable[Outcome]="",AI869,BetTable[Result]+AI869)</f>
        <v>1073.5792500000011</v>
      </c>
      <c r="AJ870" s="160"/>
    </row>
    <row r="871" spans="1:36" x14ac:dyDescent="0.2">
      <c r="A871" s="159" t="s">
        <v>2094</v>
      </c>
      <c r="B871" s="160" t="s">
        <v>200</v>
      </c>
      <c r="C871" s="161" t="s">
        <v>1714</v>
      </c>
      <c r="D871" s="161"/>
      <c r="E871" s="161"/>
      <c r="F871" s="162"/>
      <c r="G871" s="162"/>
      <c r="H871" s="162"/>
      <c r="I871" s="160" t="s">
        <v>2271</v>
      </c>
      <c r="J871" s="163">
        <v>3.15</v>
      </c>
      <c r="K871" s="163"/>
      <c r="L871" s="163"/>
      <c r="M871" s="164">
        <v>20</v>
      </c>
      <c r="N871" s="164"/>
      <c r="O871" s="164"/>
      <c r="P871" s="159" t="s">
        <v>494</v>
      </c>
      <c r="Q871" s="159" t="s">
        <v>474</v>
      </c>
      <c r="R871" s="159" t="s">
        <v>2272</v>
      </c>
      <c r="S871" s="165">
        <v>2.81131504317624E-2</v>
      </c>
      <c r="T871" s="166" t="s">
        <v>382</v>
      </c>
      <c r="U871" s="166"/>
      <c r="V871" s="166"/>
      <c r="W871" s="167">
        <f>IF(BetTable[Sport]="","",BetTable[Stake]+BetTable[S2]+BetTable[S3])</f>
        <v>20</v>
      </c>
      <c r="X871" s="164">
        <f>IF(BetTable[Odds]="","",(BetTable[WBA1-Commission])-BetTable[TS])</f>
        <v>43</v>
      </c>
      <c r="Y871" s="168">
        <f>IF(BetTable[Outcome]="","",BetTable[WBA1]+BetTable[WBA2]+BetTable[WBA3]-BetTable[TS])</f>
        <v>-20</v>
      </c>
      <c r="Z871" s="164">
        <f>(((BetTable[Odds]-1)*BetTable[Stake])*(1-(BetTable[Comm %]))+BetTable[Stake])</f>
        <v>63</v>
      </c>
      <c r="AA871" s="164">
        <f>(((BetTable[O2]-1)*BetTable[S2])*(1-(BetTable[C% 2]))+BetTable[S2])</f>
        <v>0</v>
      </c>
      <c r="AB871" s="164">
        <f>(((BetTable[O3]-1)*BetTable[S3])*(1-(BetTable[C% 3]))+BetTable[S3])</f>
        <v>0</v>
      </c>
      <c r="AC871" s="165">
        <f>IFERROR(IF(BetTable[Sport]="","",BetTable[R1]/BetTable[TS]),"")</f>
        <v>2.15</v>
      </c>
      <c r="AD871" s="165" t="str">
        <f>IF(BetTable[O2]="","",#REF!/BetTable[TS])</f>
        <v/>
      </c>
      <c r="AE871" s="165" t="str">
        <f>IFERROR(IF(BetTable[Sport]="","",#REF!/BetTable[TS]),"")</f>
        <v/>
      </c>
      <c r="AF871" s="164">
        <f>IF(BetTable[Outcome]="Win",BetTable[WBA1-Commission],IF(BetTable[Outcome]="Win Half Stake",(BetTable[Stake]/2)+BetTable[WBA1-Commission]/2,IF(BetTable[Outcome]="Lose Half Stake",BetTable[Stake]/2,IF(BetTable[Outcome]="Lose",0,IF(BetTable[Outcome]="Void",BetTable[Stake],)))))</f>
        <v>0</v>
      </c>
      <c r="AG871" s="164">
        <f>IF(BetTable[Outcome2]="Win",BetTable[WBA2-Commission],IF(BetTable[Outcome2]="Win Half Stake",(BetTable[S2]/2)+BetTable[WBA2-Commission]/2,IF(BetTable[Outcome2]="Lose Half Stake",BetTable[S2]/2,IF(BetTable[Outcome2]="Lose",0,IF(BetTable[Outcome2]="Void",BetTable[S2],)))))</f>
        <v>0</v>
      </c>
      <c r="AH871" s="164">
        <f>IF(BetTable[Outcome3]="Win",BetTable[WBA3-Commission],IF(BetTable[Outcome3]="Win Half Stake",(BetTable[S3]/2)+BetTable[WBA3-Commission]/2,IF(BetTable[Outcome3]="Lose Half Stake",BetTable[S3]/2,IF(BetTable[Outcome3]="Lose",0,IF(BetTable[Outcome3]="Void",BetTable[S3],)))))</f>
        <v>0</v>
      </c>
      <c r="AI871" s="168">
        <f>IF(BetTable[Outcome]="",AI870,BetTable[Result]+AI870)</f>
        <v>1053.5792500000011</v>
      </c>
      <c r="AJ871" s="160"/>
    </row>
    <row r="872" spans="1:36" x14ac:dyDescent="0.2">
      <c r="A872" s="159" t="s">
        <v>2094</v>
      </c>
      <c r="B872" s="160" t="s">
        <v>200</v>
      </c>
      <c r="C872" s="161" t="s">
        <v>1714</v>
      </c>
      <c r="D872" s="161"/>
      <c r="E872" s="161"/>
      <c r="F872" s="162"/>
      <c r="G872" s="162"/>
      <c r="H872" s="162"/>
      <c r="I872" s="160" t="s">
        <v>2273</v>
      </c>
      <c r="J872" s="163">
        <v>3.8</v>
      </c>
      <c r="K872" s="163"/>
      <c r="L872" s="163"/>
      <c r="M872" s="164">
        <v>10</v>
      </c>
      <c r="N872" s="164"/>
      <c r="O872" s="164"/>
      <c r="P872" s="159" t="s">
        <v>494</v>
      </c>
      <c r="Q872" s="159" t="s">
        <v>839</v>
      </c>
      <c r="R872" s="159" t="s">
        <v>2274</v>
      </c>
      <c r="S872" s="165">
        <v>1.8741772858487899E-2</v>
      </c>
      <c r="T872" s="166" t="s">
        <v>372</v>
      </c>
      <c r="U872" s="166"/>
      <c r="V872" s="166"/>
      <c r="W872" s="167">
        <f>IF(BetTable[Sport]="","",BetTable[Stake]+BetTable[S2]+BetTable[S3])</f>
        <v>10</v>
      </c>
      <c r="X872" s="164">
        <f>IF(BetTable[Odds]="","",(BetTable[WBA1-Commission])-BetTable[TS])</f>
        <v>28</v>
      </c>
      <c r="Y872" s="168">
        <f>IF(BetTable[Outcome]="","",BetTable[WBA1]+BetTable[WBA2]+BetTable[WBA3]-BetTable[TS])</f>
        <v>28</v>
      </c>
      <c r="Z872" s="164">
        <f>(((BetTable[Odds]-1)*BetTable[Stake])*(1-(BetTable[Comm %]))+BetTable[Stake])</f>
        <v>38</v>
      </c>
      <c r="AA872" s="164">
        <f>(((BetTable[O2]-1)*BetTable[S2])*(1-(BetTable[C% 2]))+BetTable[S2])</f>
        <v>0</v>
      </c>
      <c r="AB872" s="164">
        <f>(((BetTable[O3]-1)*BetTable[S3])*(1-(BetTable[C% 3]))+BetTable[S3])</f>
        <v>0</v>
      </c>
      <c r="AC872" s="165">
        <f>IFERROR(IF(BetTable[Sport]="","",BetTable[R1]/BetTable[TS]),"")</f>
        <v>2.8</v>
      </c>
      <c r="AD872" s="165" t="str">
        <f>IF(BetTable[O2]="","",#REF!/BetTable[TS])</f>
        <v/>
      </c>
      <c r="AE872" s="165" t="str">
        <f>IFERROR(IF(BetTable[Sport]="","",#REF!/BetTable[TS]),"")</f>
        <v/>
      </c>
      <c r="AF872" s="164">
        <f>IF(BetTable[Outcome]="Win",BetTable[WBA1-Commission],IF(BetTable[Outcome]="Win Half Stake",(BetTable[Stake]/2)+BetTable[WBA1-Commission]/2,IF(BetTable[Outcome]="Lose Half Stake",BetTable[Stake]/2,IF(BetTable[Outcome]="Lose",0,IF(BetTable[Outcome]="Void",BetTable[Stake],)))))</f>
        <v>38</v>
      </c>
      <c r="AG872" s="164">
        <f>IF(BetTable[Outcome2]="Win",BetTable[WBA2-Commission],IF(BetTable[Outcome2]="Win Half Stake",(BetTable[S2]/2)+BetTable[WBA2-Commission]/2,IF(BetTable[Outcome2]="Lose Half Stake",BetTable[S2]/2,IF(BetTable[Outcome2]="Lose",0,IF(BetTable[Outcome2]="Void",BetTable[S2],)))))</f>
        <v>0</v>
      </c>
      <c r="AH872" s="164">
        <f>IF(BetTable[Outcome3]="Win",BetTable[WBA3-Commission],IF(BetTable[Outcome3]="Win Half Stake",(BetTable[S3]/2)+BetTable[WBA3-Commission]/2,IF(BetTable[Outcome3]="Lose Half Stake",BetTable[S3]/2,IF(BetTable[Outcome3]="Lose",0,IF(BetTable[Outcome3]="Void",BetTable[S3],)))))</f>
        <v>0</v>
      </c>
      <c r="AI872" s="168">
        <f>IF(BetTable[Outcome]="",AI871,BetTable[Result]+AI871)</f>
        <v>1081.5792500000011</v>
      </c>
      <c r="AJ872" s="160"/>
    </row>
    <row r="873" spans="1:36" x14ac:dyDescent="0.2">
      <c r="A873" s="159" t="s">
        <v>2094</v>
      </c>
      <c r="B873" s="160" t="s">
        <v>200</v>
      </c>
      <c r="C873" s="161" t="s">
        <v>1714</v>
      </c>
      <c r="D873" s="161"/>
      <c r="E873" s="161"/>
      <c r="F873" s="162"/>
      <c r="G873" s="162"/>
      <c r="H873" s="162"/>
      <c r="I873" s="160" t="s">
        <v>2227</v>
      </c>
      <c r="J873" s="163">
        <v>1.62</v>
      </c>
      <c r="K873" s="163"/>
      <c r="L873" s="163"/>
      <c r="M873" s="164">
        <v>50</v>
      </c>
      <c r="N873" s="164"/>
      <c r="O873" s="164"/>
      <c r="P873" s="159" t="s">
        <v>1710</v>
      </c>
      <c r="Q873" s="159" t="s">
        <v>1763</v>
      </c>
      <c r="R873" s="159" t="s">
        <v>2275</v>
      </c>
      <c r="S873" s="165">
        <v>2.0122705493912801E-2</v>
      </c>
      <c r="T873" s="166" t="s">
        <v>372</v>
      </c>
      <c r="U873" s="166"/>
      <c r="V873" s="166"/>
      <c r="W873" s="167">
        <f>IF(BetTable[Sport]="","",BetTable[Stake]+BetTable[S2]+BetTable[S3])</f>
        <v>50</v>
      </c>
      <c r="X873" s="164">
        <f>IF(BetTable[Odds]="","",(BetTable[WBA1-Commission])-BetTable[TS])</f>
        <v>31</v>
      </c>
      <c r="Y873" s="168">
        <f>IF(BetTable[Outcome]="","",BetTable[WBA1]+BetTable[WBA2]+BetTable[WBA3]-BetTable[TS])</f>
        <v>31</v>
      </c>
      <c r="Z873" s="164">
        <f>(((BetTable[Odds]-1)*BetTable[Stake])*(1-(BetTable[Comm %]))+BetTable[Stake])</f>
        <v>81</v>
      </c>
      <c r="AA873" s="164">
        <f>(((BetTable[O2]-1)*BetTable[S2])*(1-(BetTable[C% 2]))+BetTable[S2])</f>
        <v>0</v>
      </c>
      <c r="AB873" s="164">
        <f>(((BetTable[O3]-1)*BetTable[S3])*(1-(BetTable[C% 3]))+BetTable[S3])</f>
        <v>0</v>
      </c>
      <c r="AC873" s="165">
        <f>IFERROR(IF(BetTable[Sport]="","",BetTable[R1]/BetTable[TS]),"")</f>
        <v>0.62</v>
      </c>
      <c r="AD873" s="165" t="str">
        <f>IF(BetTable[O2]="","",#REF!/BetTable[TS])</f>
        <v/>
      </c>
      <c r="AE873" s="165" t="str">
        <f>IFERROR(IF(BetTable[Sport]="","",#REF!/BetTable[TS]),"")</f>
        <v/>
      </c>
      <c r="AF873" s="164">
        <f>IF(BetTable[Outcome]="Win",BetTable[WBA1-Commission],IF(BetTable[Outcome]="Win Half Stake",(BetTable[Stake]/2)+BetTable[WBA1-Commission]/2,IF(BetTable[Outcome]="Lose Half Stake",BetTable[Stake]/2,IF(BetTable[Outcome]="Lose",0,IF(BetTable[Outcome]="Void",BetTable[Stake],)))))</f>
        <v>81</v>
      </c>
      <c r="AG873" s="164">
        <f>IF(BetTable[Outcome2]="Win",BetTable[WBA2-Commission],IF(BetTable[Outcome2]="Win Half Stake",(BetTable[S2]/2)+BetTable[WBA2-Commission]/2,IF(BetTable[Outcome2]="Lose Half Stake",BetTable[S2]/2,IF(BetTable[Outcome2]="Lose",0,IF(BetTable[Outcome2]="Void",BetTable[S2],)))))</f>
        <v>0</v>
      </c>
      <c r="AH873" s="164">
        <f>IF(BetTable[Outcome3]="Win",BetTable[WBA3-Commission],IF(BetTable[Outcome3]="Win Half Stake",(BetTable[S3]/2)+BetTable[WBA3-Commission]/2,IF(BetTable[Outcome3]="Lose Half Stake",BetTable[S3]/2,IF(BetTable[Outcome3]="Lose",0,IF(BetTable[Outcome3]="Void",BetTable[S3],)))))</f>
        <v>0</v>
      </c>
      <c r="AI873" s="168">
        <f>IF(BetTable[Outcome]="",AI872,BetTable[Result]+AI872)</f>
        <v>1112.5792500000011</v>
      </c>
      <c r="AJ873" s="160"/>
    </row>
    <row r="874" spans="1:36" x14ac:dyDescent="0.2">
      <c r="A874" s="159" t="s">
        <v>2094</v>
      </c>
      <c r="B874" s="160" t="s">
        <v>200</v>
      </c>
      <c r="C874" s="161" t="s">
        <v>1714</v>
      </c>
      <c r="D874" s="161"/>
      <c r="E874" s="161"/>
      <c r="F874" s="162"/>
      <c r="G874" s="162"/>
      <c r="H874" s="162"/>
      <c r="I874" s="160" t="s">
        <v>2276</v>
      </c>
      <c r="J874" s="163">
        <v>1.94</v>
      </c>
      <c r="K874" s="163"/>
      <c r="L874" s="163"/>
      <c r="M874" s="164">
        <v>32</v>
      </c>
      <c r="N874" s="164"/>
      <c r="O874" s="164"/>
      <c r="P874" s="159" t="s">
        <v>457</v>
      </c>
      <c r="Q874" s="159" t="s">
        <v>488</v>
      </c>
      <c r="R874" s="159" t="s">
        <v>2277</v>
      </c>
      <c r="S874" s="165">
        <v>1.9552072317605598E-2</v>
      </c>
      <c r="T874" s="166" t="s">
        <v>372</v>
      </c>
      <c r="U874" s="166"/>
      <c r="V874" s="166"/>
      <c r="W874" s="167">
        <f>IF(BetTable[Sport]="","",BetTable[Stake]+BetTable[S2]+BetTable[S3])</f>
        <v>32</v>
      </c>
      <c r="X874" s="164">
        <f>IF(BetTable[Odds]="","",(BetTable[WBA1-Commission])-BetTable[TS])</f>
        <v>30.08</v>
      </c>
      <c r="Y874" s="168">
        <f>IF(BetTable[Outcome]="","",BetTable[WBA1]+BetTable[WBA2]+BetTable[WBA3]-BetTable[TS])</f>
        <v>30.08</v>
      </c>
      <c r="Z874" s="164">
        <f>(((BetTable[Odds]-1)*BetTable[Stake])*(1-(BetTable[Comm %]))+BetTable[Stake])</f>
        <v>62.08</v>
      </c>
      <c r="AA874" s="164">
        <f>(((BetTable[O2]-1)*BetTable[S2])*(1-(BetTable[C% 2]))+BetTable[S2])</f>
        <v>0</v>
      </c>
      <c r="AB874" s="164">
        <f>(((BetTable[O3]-1)*BetTable[S3])*(1-(BetTable[C% 3]))+BetTable[S3])</f>
        <v>0</v>
      </c>
      <c r="AC874" s="165">
        <f>IFERROR(IF(BetTable[Sport]="","",BetTable[R1]/BetTable[TS]),"")</f>
        <v>0.94</v>
      </c>
      <c r="AD874" s="165" t="str">
        <f>IF(BetTable[O2]="","",#REF!/BetTable[TS])</f>
        <v/>
      </c>
      <c r="AE874" s="165" t="str">
        <f>IFERROR(IF(BetTable[Sport]="","",#REF!/BetTable[TS]),"")</f>
        <v/>
      </c>
      <c r="AF874" s="164">
        <f>IF(BetTable[Outcome]="Win",BetTable[WBA1-Commission],IF(BetTable[Outcome]="Win Half Stake",(BetTable[Stake]/2)+BetTable[WBA1-Commission]/2,IF(BetTable[Outcome]="Lose Half Stake",BetTable[Stake]/2,IF(BetTable[Outcome]="Lose",0,IF(BetTable[Outcome]="Void",BetTable[Stake],)))))</f>
        <v>62.08</v>
      </c>
      <c r="AG874" s="164">
        <f>IF(BetTable[Outcome2]="Win",BetTable[WBA2-Commission],IF(BetTable[Outcome2]="Win Half Stake",(BetTable[S2]/2)+BetTable[WBA2-Commission]/2,IF(BetTable[Outcome2]="Lose Half Stake",BetTable[S2]/2,IF(BetTable[Outcome2]="Lose",0,IF(BetTable[Outcome2]="Void",BetTable[S2],)))))</f>
        <v>0</v>
      </c>
      <c r="AH874" s="164">
        <f>IF(BetTable[Outcome3]="Win",BetTable[WBA3-Commission],IF(BetTable[Outcome3]="Win Half Stake",(BetTable[S3]/2)+BetTable[WBA3-Commission]/2,IF(BetTable[Outcome3]="Lose Half Stake",BetTable[S3]/2,IF(BetTable[Outcome3]="Lose",0,IF(BetTable[Outcome3]="Void",BetTable[S3],)))))</f>
        <v>0</v>
      </c>
      <c r="AI874" s="168">
        <f>IF(BetTable[Outcome]="",AI873,BetTable[Result]+AI873)</f>
        <v>1142.6592500000011</v>
      </c>
      <c r="AJ874" s="160"/>
    </row>
    <row r="875" spans="1:36" x14ac:dyDescent="0.2">
      <c r="A875" s="159" t="s">
        <v>2094</v>
      </c>
      <c r="B875" s="160" t="s">
        <v>200</v>
      </c>
      <c r="C875" s="161" t="s">
        <v>1714</v>
      </c>
      <c r="D875" s="161"/>
      <c r="E875" s="161"/>
      <c r="F875" s="162"/>
      <c r="G875" s="162"/>
      <c r="H875" s="162"/>
      <c r="I875" s="160" t="s">
        <v>2278</v>
      </c>
      <c r="J875" s="163">
        <v>3.78</v>
      </c>
      <c r="K875" s="163"/>
      <c r="L875" s="163"/>
      <c r="M875" s="164">
        <v>13</v>
      </c>
      <c r="N875" s="164"/>
      <c r="O875" s="164"/>
      <c r="P875" s="159" t="s">
        <v>435</v>
      </c>
      <c r="Q875" s="159" t="s">
        <v>461</v>
      </c>
      <c r="R875" s="159" t="s">
        <v>2279</v>
      </c>
      <c r="S875" s="165">
        <v>2.2794063308289099E-2</v>
      </c>
      <c r="T875" s="166" t="s">
        <v>382</v>
      </c>
      <c r="U875" s="166"/>
      <c r="V875" s="166"/>
      <c r="W875" s="167">
        <f>IF(BetTable[Sport]="","",BetTable[Stake]+BetTable[S2]+BetTable[S3])</f>
        <v>13</v>
      </c>
      <c r="X875" s="164">
        <f>IF(BetTable[Odds]="","",(BetTable[WBA1-Commission])-BetTable[TS])</f>
        <v>36.14</v>
      </c>
      <c r="Y875" s="168">
        <f>IF(BetTable[Outcome]="","",BetTable[WBA1]+BetTable[WBA2]+BetTable[WBA3]-BetTable[TS])</f>
        <v>-13</v>
      </c>
      <c r="Z875" s="164">
        <f>(((BetTable[Odds]-1)*BetTable[Stake])*(1-(BetTable[Comm %]))+BetTable[Stake])</f>
        <v>49.14</v>
      </c>
      <c r="AA875" s="164">
        <f>(((BetTable[O2]-1)*BetTable[S2])*(1-(BetTable[C% 2]))+BetTable[S2])</f>
        <v>0</v>
      </c>
      <c r="AB875" s="164">
        <f>(((BetTable[O3]-1)*BetTable[S3])*(1-(BetTable[C% 3]))+BetTable[S3])</f>
        <v>0</v>
      </c>
      <c r="AC875" s="165">
        <f>IFERROR(IF(BetTable[Sport]="","",BetTable[R1]/BetTable[TS]),"")</f>
        <v>2.7800000000000002</v>
      </c>
      <c r="AD875" s="165" t="str">
        <f>IF(BetTable[O2]="","",#REF!/BetTable[TS])</f>
        <v/>
      </c>
      <c r="AE875" s="165" t="str">
        <f>IFERROR(IF(BetTable[Sport]="","",#REF!/BetTable[TS]),"")</f>
        <v/>
      </c>
      <c r="AF875" s="164">
        <f>IF(BetTable[Outcome]="Win",BetTable[WBA1-Commission],IF(BetTable[Outcome]="Win Half Stake",(BetTable[Stake]/2)+BetTable[WBA1-Commission]/2,IF(BetTable[Outcome]="Lose Half Stake",BetTable[Stake]/2,IF(BetTable[Outcome]="Lose",0,IF(BetTable[Outcome]="Void",BetTable[Stake],)))))</f>
        <v>0</v>
      </c>
      <c r="AG875" s="164">
        <f>IF(BetTable[Outcome2]="Win",BetTable[WBA2-Commission],IF(BetTable[Outcome2]="Win Half Stake",(BetTable[S2]/2)+BetTable[WBA2-Commission]/2,IF(BetTable[Outcome2]="Lose Half Stake",BetTable[S2]/2,IF(BetTable[Outcome2]="Lose",0,IF(BetTable[Outcome2]="Void",BetTable[S2],)))))</f>
        <v>0</v>
      </c>
      <c r="AH875" s="164">
        <f>IF(BetTable[Outcome3]="Win",BetTable[WBA3-Commission],IF(BetTable[Outcome3]="Win Half Stake",(BetTable[S3]/2)+BetTable[WBA3-Commission]/2,IF(BetTable[Outcome3]="Lose Half Stake",BetTable[S3]/2,IF(BetTable[Outcome3]="Lose",0,IF(BetTable[Outcome3]="Void",BetTable[S3],)))))</f>
        <v>0</v>
      </c>
      <c r="AI875" s="168">
        <f>IF(BetTable[Outcome]="",AI874,BetTable[Result]+AI874)</f>
        <v>1129.6592500000011</v>
      </c>
      <c r="AJ875" s="160"/>
    </row>
    <row r="876" spans="1:36" x14ac:dyDescent="0.2">
      <c r="A876" s="159" t="s">
        <v>2094</v>
      </c>
      <c r="B876" s="160" t="s">
        <v>200</v>
      </c>
      <c r="C876" s="161" t="s">
        <v>1714</v>
      </c>
      <c r="D876" s="161"/>
      <c r="E876" s="161"/>
      <c r="F876" s="162"/>
      <c r="G876" s="162"/>
      <c r="H876" s="162"/>
      <c r="I876" s="160" t="s">
        <v>2280</v>
      </c>
      <c r="J876" s="163">
        <v>1.94</v>
      </c>
      <c r="K876" s="163"/>
      <c r="L876" s="163"/>
      <c r="M876" s="164">
        <v>33</v>
      </c>
      <c r="N876" s="164"/>
      <c r="O876" s="164"/>
      <c r="P876" s="159" t="s">
        <v>688</v>
      </c>
      <c r="Q876" s="159" t="s">
        <v>1101</v>
      </c>
      <c r="R876" s="159" t="s">
        <v>2281</v>
      </c>
      <c r="S876" s="165">
        <v>2.0021869708385501E-2</v>
      </c>
      <c r="T876" s="166" t="s">
        <v>372</v>
      </c>
      <c r="U876" s="166"/>
      <c r="V876" s="166"/>
      <c r="W876" s="167">
        <f>IF(BetTable[Sport]="","",BetTable[Stake]+BetTable[S2]+BetTable[S3])</f>
        <v>33</v>
      </c>
      <c r="X876" s="164">
        <f>IF(BetTable[Odds]="","",(BetTable[WBA1-Commission])-BetTable[TS])</f>
        <v>31.019999999999996</v>
      </c>
      <c r="Y876" s="168">
        <f>IF(BetTable[Outcome]="","",BetTable[WBA1]+BetTable[WBA2]+BetTable[WBA3]-BetTable[TS])</f>
        <v>31.019999999999996</v>
      </c>
      <c r="Z876" s="164">
        <f>(((BetTable[Odds]-1)*BetTable[Stake])*(1-(BetTable[Comm %]))+BetTable[Stake])</f>
        <v>64.02</v>
      </c>
      <c r="AA876" s="164">
        <f>(((BetTable[O2]-1)*BetTable[S2])*(1-(BetTable[C% 2]))+BetTable[S2])</f>
        <v>0</v>
      </c>
      <c r="AB876" s="164">
        <f>(((BetTable[O3]-1)*BetTable[S3])*(1-(BetTable[C% 3]))+BetTable[S3])</f>
        <v>0</v>
      </c>
      <c r="AC876" s="165">
        <f>IFERROR(IF(BetTable[Sport]="","",BetTable[R1]/BetTable[TS]),"")</f>
        <v>0.93999999999999984</v>
      </c>
      <c r="AD876" s="165" t="str">
        <f>IF(BetTable[O2]="","",#REF!/BetTable[TS])</f>
        <v/>
      </c>
      <c r="AE876" s="165" t="str">
        <f>IFERROR(IF(BetTable[Sport]="","",#REF!/BetTable[TS]),"")</f>
        <v/>
      </c>
      <c r="AF876" s="164">
        <f>IF(BetTable[Outcome]="Win",BetTable[WBA1-Commission],IF(BetTable[Outcome]="Win Half Stake",(BetTable[Stake]/2)+BetTable[WBA1-Commission]/2,IF(BetTable[Outcome]="Lose Half Stake",BetTable[Stake]/2,IF(BetTable[Outcome]="Lose",0,IF(BetTable[Outcome]="Void",BetTable[Stake],)))))</f>
        <v>64.02</v>
      </c>
      <c r="AG876" s="164">
        <f>IF(BetTable[Outcome2]="Win",BetTable[WBA2-Commission],IF(BetTable[Outcome2]="Win Half Stake",(BetTable[S2]/2)+BetTable[WBA2-Commission]/2,IF(BetTable[Outcome2]="Lose Half Stake",BetTable[S2]/2,IF(BetTable[Outcome2]="Lose",0,IF(BetTable[Outcome2]="Void",BetTable[S2],)))))</f>
        <v>0</v>
      </c>
      <c r="AH876" s="164">
        <f>IF(BetTable[Outcome3]="Win",BetTable[WBA3-Commission],IF(BetTable[Outcome3]="Win Half Stake",(BetTable[S3]/2)+BetTable[WBA3-Commission]/2,IF(BetTable[Outcome3]="Lose Half Stake",BetTable[S3]/2,IF(BetTable[Outcome3]="Lose",0,IF(BetTable[Outcome3]="Void",BetTable[S3],)))))</f>
        <v>0</v>
      </c>
      <c r="AI876" s="168">
        <f>IF(BetTable[Outcome]="",AI875,BetTable[Result]+AI875)</f>
        <v>1160.679250000001</v>
      </c>
      <c r="AJ876" s="160"/>
    </row>
    <row r="877" spans="1:36" x14ac:dyDescent="0.2">
      <c r="A877" s="159" t="s">
        <v>2094</v>
      </c>
      <c r="B877" s="160" t="s">
        <v>200</v>
      </c>
      <c r="C877" s="161" t="s">
        <v>1714</v>
      </c>
      <c r="D877" s="161"/>
      <c r="E877" s="161"/>
      <c r="F877" s="162"/>
      <c r="G877" s="162"/>
      <c r="H877" s="162"/>
      <c r="I877" s="160" t="s">
        <v>2282</v>
      </c>
      <c r="J877" s="163">
        <v>1.67</v>
      </c>
      <c r="K877" s="163"/>
      <c r="L877" s="163"/>
      <c r="M877" s="164">
        <v>52</v>
      </c>
      <c r="N877" s="164"/>
      <c r="O877" s="164"/>
      <c r="P877" s="159" t="s">
        <v>2283</v>
      </c>
      <c r="Q877" s="159" t="s">
        <v>506</v>
      </c>
      <c r="R877" s="159" t="s">
        <v>2284</v>
      </c>
      <c r="S877" s="165">
        <v>2.2411795679388301E-2</v>
      </c>
      <c r="T877" s="166" t="s">
        <v>372</v>
      </c>
      <c r="U877" s="166"/>
      <c r="V877" s="166"/>
      <c r="W877" s="167">
        <f>IF(BetTable[Sport]="","",BetTable[Stake]+BetTable[S2]+BetTable[S3])</f>
        <v>52</v>
      </c>
      <c r="X877" s="164">
        <f>IF(BetTable[Odds]="","",(BetTable[WBA1-Commission])-BetTable[TS])</f>
        <v>34.840000000000003</v>
      </c>
      <c r="Y877" s="168">
        <f>IF(BetTable[Outcome]="","",BetTable[WBA1]+BetTable[WBA2]+BetTable[WBA3]-BetTable[TS])</f>
        <v>34.840000000000003</v>
      </c>
      <c r="Z877" s="164">
        <f>(((BetTable[Odds]-1)*BetTable[Stake])*(1-(BetTable[Comm %]))+BetTable[Stake])</f>
        <v>86.84</v>
      </c>
      <c r="AA877" s="164">
        <f>(((BetTable[O2]-1)*BetTable[S2])*(1-(BetTable[C% 2]))+BetTable[S2])</f>
        <v>0</v>
      </c>
      <c r="AB877" s="164">
        <f>(((BetTable[O3]-1)*BetTable[S3])*(1-(BetTable[C% 3]))+BetTable[S3])</f>
        <v>0</v>
      </c>
      <c r="AC877" s="165">
        <f>IFERROR(IF(BetTable[Sport]="","",BetTable[R1]/BetTable[TS]),"")</f>
        <v>0.67</v>
      </c>
      <c r="AD877" s="165" t="str">
        <f>IF(BetTable[O2]="","",#REF!/BetTable[TS])</f>
        <v/>
      </c>
      <c r="AE877" s="165" t="str">
        <f>IFERROR(IF(BetTable[Sport]="","",#REF!/BetTable[TS]),"")</f>
        <v/>
      </c>
      <c r="AF877" s="164">
        <f>IF(BetTable[Outcome]="Win",BetTable[WBA1-Commission],IF(BetTable[Outcome]="Win Half Stake",(BetTable[Stake]/2)+BetTable[WBA1-Commission]/2,IF(BetTable[Outcome]="Lose Half Stake",BetTable[Stake]/2,IF(BetTable[Outcome]="Lose",0,IF(BetTable[Outcome]="Void",BetTable[Stake],)))))</f>
        <v>86.84</v>
      </c>
      <c r="AG877" s="164">
        <f>IF(BetTable[Outcome2]="Win",BetTable[WBA2-Commission],IF(BetTable[Outcome2]="Win Half Stake",(BetTable[S2]/2)+BetTable[WBA2-Commission]/2,IF(BetTable[Outcome2]="Lose Half Stake",BetTable[S2]/2,IF(BetTable[Outcome2]="Lose",0,IF(BetTable[Outcome2]="Void",BetTable[S2],)))))</f>
        <v>0</v>
      </c>
      <c r="AH877" s="164">
        <f>IF(BetTable[Outcome3]="Win",BetTable[WBA3-Commission],IF(BetTable[Outcome3]="Win Half Stake",(BetTable[S3]/2)+BetTable[WBA3-Commission]/2,IF(BetTable[Outcome3]="Lose Half Stake",BetTable[S3]/2,IF(BetTable[Outcome3]="Lose",0,IF(BetTable[Outcome3]="Void",BetTable[S3],)))))</f>
        <v>0</v>
      </c>
      <c r="AI877" s="168">
        <f>IF(BetTable[Outcome]="",AI876,BetTable[Result]+AI876)</f>
        <v>1195.519250000001</v>
      </c>
      <c r="AJ877" s="160"/>
    </row>
    <row r="878" spans="1:36" x14ac:dyDescent="0.2">
      <c r="A878" s="159" t="s">
        <v>2094</v>
      </c>
      <c r="B878" s="160" t="s">
        <v>200</v>
      </c>
      <c r="C878" s="161" t="s">
        <v>1714</v>
      </c>
      <c r="D878" s="161"/>
      <c r="E878" s="161"/>
      <c r="F878" s="162"/>
      <c r="G878" s="162"/>
      <c r="H878" s="162"/>
      <c r="I878" s="160" t="s">
        <v>2285</v>
      </c>
      <c r="J878" s="163">
        <v>1.69</v>
      </c>
      <c r="K878" s="163"/>
      <c r="L878" s="163"/>
      <c r="M878" s="164">
        <v>73</v>
      </c>
      <c r="N878" s="164"/>
      <c r="O878" s="164"/>
      <c r="P878" s="159" t="s">
        <v>646</v>
      </c>
      <c r="Q878" s="159" t="s">
        <v>488</v>
      </c>
      <c r="R878" s="159" t="s">
        <v>2286</v>
      </c>
      <c r="S878" s="165">
        <v>3.2746835334324598E-2</v>
      </c>
      <c r="T878" s="166" t="s">
        <v>372</v>
      </c>
      <c r="U878" s="166"/>
      <c r="V878" s="166"/>
      <c r="W878" s="167">
        <f>IF(BetTable[Sport]="","",BetTable[Stake]+BetTable[S2]+BetTable[S3])</f>
        <v>73</v>
      </c>
      <c r="X878" s="164">
        <f>IF(BetTable[Odds]="","",(BetTable[WBA1-Commission])-BetTable[TS])</f>
        <v>50.370000000000005</v>
      </c>
      <c r="Y878" s="168">
        <f>IF(BetTable[Outcome]="","",BetTable[WBA1]+BetTable[WBA2]+BetTable[WBA3]-BetTable[TS])</f>
        <v>50.370000000000005</v>
      </c>
      <c r="Z878" s="164">
        <f>(((BetTable[Odds]-1)*BetTable[Stake])*(1-(BetTable[Comm %]))+BetTable[Stake])</f>
        <v>123.37</v>
      </c>
      <c r="AA878" s="164">
        <f>(((BetTable[O2]-1)*BetTable[S2])*(1-(BetTable[C% 2]))+BetTable[S2])</f>
        <v>0</v>
      </c>
      <c r="AB878" s="164">
        <f>(((BetTable[O3]-1)*BetTable[S3])*(1-(BetTable[C% 3]))+BetTable[S3])</f>
        <v>0</v>
      </c>
      <c r="AC878" s="165">
        <f>IFERROR(IF(BetTable[Sport]="","",BetTable[R1]/BetTable[TS]),"")</f>
        <v>0.69000000000000006</v>
      </c>
      <c r="AD878" s="165" t="str">
        <f>IF(BetTable[O2]="","",#REF!/BetTable[TS])</f>
        <v/>
      </c>
      <c r="AE878" s="165" t="str">
        <f>IFERROR(IF(BetTable[Sport]="","",#REF!/BetTable[TS]),"")</f>
        <v/>
      </c>
      <c r="AF878" s="164">
        <f>IF(BetTable[Outcome]="Win",BetTable[WBA1-Commission],IF(BetTable[Outcome]="Win Half Stake",(BetTable[Stake]/2)+BetTable[WBA1-Commission]/2,IF(BetTable[Outcome]="Lose Half Stake",BetTable[Stake]/2,IF(BetTable[Outcome]="Lose",0,IF(BetTable[Outcome]="Void",BetTable[Stake],)))))</f>
        <v>123.37</v>
      </c>
      <c r="AG878" s="164">
        <f>IF(BetTable[Outcome2]="Win",BetTable[WBA2-Commission],IF(BetTable[Outcome2]="Win Half Stake",(BetTable[S2]/2)+BetTable[WBA2-Commission]/2,IF(BetTable[Outcome2]="Lose Half Stake",BetTable[S2]/2,IF(BetTable[Outcome2]="Lose",0,IF(BetTable[Outcome2]="Void",BetTable[S2],)))))</f>
        <v>0</v>
      </c>
      <c r="AH878" s="164">
        <f>IF(BetTable[Outcome3]="Win",BetTable[WBA3-Commission],IF(BetTable[Outcome3]="Win Half Stake",(BetTable[S3]/2)+BetTable[WBA3-Commission]/2,IF(BetTable[Outcome3]="Lose Half Stake",BetTable[S3]/2,IF(BetTable[Outcome3]="Lose",0,IF(BetTable[Outcome3]="Void",BetTable[S3],)))))</f>
        <v>0</v>
      </c>
      <c r="AI878" s="168">
        <f>IF(BetTable[Outcome]="",AI877,BetTable[Result]+AI877)</f>
        <v>1245.8892500000011</v>
      </c>
      <c r="AJ878" s="160"/>
    </row>
    <row r="879" spans="1:36" x14ac:dyDescent="0.2">
      <c r="A879" s="159" t="s">
        <v>2094</v>
      </c>
      <c r="B879" s="160" t="s">
        <v>200</v>
      </c>
      <c r="C879" s="161" t="s">
        <v>1714</v>
      </c>
      <c r="D879" s="161"/>
      <c r="E879" s="161"/>
      <c r="F879" s="162"/>
      <c r="G879" s="162"/>
      <c r="H879" s="162"/>
      <c r="I879" s="160" t="s">
        <v>2287</v>
      </c>
      <c r="J879" s="163">
        <v>1.81</v>
      </c>
      <c r="K879" s="163"/>
      <c r="L879" s="163"/>
      <c r="M879" s="164">
        <v>33</v>
      </c>
      <c r="N879" s="164"/>
      <c r="O879" s="164"/>
      <c r="P879" s="159" t="s">
        <v>354</v>
      </c>
      <c r="Q879" s="159" t="s">
        <v>461</v>
      </c>
      <c r="R879" s="159" t="s">
        <v>2288</v>
      </c>
      <c r="S879" s="165">
        <v>1.74305926162347E-2</v>
      </c>
      <c r="T879" s="166" t="s">
        <v>382</v>
      </c>
      <c r="U879" s="166"/>
      <c r="V879" s="166"/>
      <c r="W879" s="167">
        <f>IF(BetTable[Sport]="","",BetTable[Stake]+BetTable[S2]+BetTable[S3])</f>
        <v>33</v>
      </c>
      <c r="X879" s="164">
        <f>IF(BetTable[Odds]="","",(BetTable[WBA1-Commission])-BetTable[TS])</f>
        <v>26.730000000000004</v>
      </c>
      <c r="Y879" s="168">
        <f>IF(BetTable[Outcome]="","",BetTable[WBA1]+BetTable[WBA2]+BetTable[WBA3]-BetTable[TS])</f>
        <v>-33</v>
      </c>
      <c r="Z879" s="164">
        <f>(((BetTable[Odds]-1)*BetTable[Stake])*(1-(BetTable[Comm %]))+BetTable[Stake])</f>
        <v>59.730000000000004</v>
      </c>
      <c r="AA879" s="164">
        <f>(((BetTable[O2]-1)*BetTable[S2])*(1-(BetTable[C% 2]))+BetTable[S2])</f>
        <v>0</v>
      </c>
      <c r="AB879" s="164">
        <f>(((BetTable[O3]-1)*BetTable[S3])*(1-(BetTable[C% 3]))+BetTable[S3])</f>
        <v>0</v>
      </c>
      <c r="AC879" s="165">
        <f>IFERROR(IF(BetTable[Sport]="","",BetTable[R1]/BetTable[TS]),"")</f>
        <v>0.81000000000000016</v>
      </c>
      <c r="AD879" s="165" t="str">
        <f>IF(BetTable[O2]="","",#REF!/BetTable[TS])</f>
        <v/>
      </c>
      <c r="AE879" s="165" t="str">
        <f>IFERROR(IF(BetTable[Sport]="","",#REF!/BetTable[TS]),"")</f>
        <v/>
      </c>
      <c r="AF879" s="164">
        <f>IF(BetTable[Outcome]="Win",BetTable[WBA1-Commission],IF(BetTable[Outcome]="Win Half Stake",(BetTable[Stake]/2)+BetTable[WBA1-Commission]/2,IF(BetTable[Outcome]="Lose Half Stake",BetTable[Stake]/2,IF(BetTable[Outcome]="Lose",0,IF(BetTable[Outcome]="Void",BetTable[Stake],)))))</f>
        <v>0</v>
      </c>
      <c r="AG879" s="164">
        <f>IF(BetTable[Outcome2]="Win",BetTable[WBA2-Commission],IF(BetTable[Outcome2]="Win Half Stake",(BetTable[S2]/2)+BetTable[WBA2-Commission]/2,IF(BetTable[Outcome2]="Lose Half Stake",BetTable[S2]/2,IF(BetTable[Outcome2]="Lose",0,IF(BetTable[Outcome2]="Void",BetTable[S2],)))))</f>
        <v>0</v>
      </c>
      <c r="AH879" s="164">
        <f>IF(BetTable[Outcome3]="Win",BetTable[WBA3-Commission],IF(BetTable[Outcome3]="Win Half Stake",(BetTable[S3]/2)+BetTable[WBA3-Commission]/2,IF(BetTable[Outcome3]="Lose Half Stake",BetTable[S3]/2,IF(BetTable[Outcome3]="Lose",0,IF(BetTable[Outcome3]="Void",BetTable[S3],)))))</f>
        <v>0</v>
      </c>
      <c r="AI879" s="168">
        <f>IF(BetTable[Outcome]="",AI878,BetTable[Result]+AI878)</f>
        <v>1212.8892500000011</v>
      </c>
      <c r="AJ879" s="160"/>
    </row>
    <row r="880" spans="1:36" x14ac:dyDescent="0.2">
      <c r="A880" s="159" t="s">
        <v>2094</v>
      </c>
      <c r="B880" s="160" t="s">
        <v>200</v>
      </c>
      <c r="C880" s="161" t="s">
        <v>1714</v>
      </c>
      <c r="D880" s="161"/>
      <c r="E880" s="161"/>
      <c r="F880" s="162"/>
      <c r="G880" s="162"/>
      <c r="H880" s="162"/>
      <c r="I880" s="160" t="s">
        <v>2289</v>
      </c>
      <c r="J880" s="163">
        <v>1.57</v>
      </c>
      <c r="K880" s="163"/>
      <c r="L880" s="163"/>
      <c r="M880" s="164">
        <v>47</v>
      </c>
      <c r="N880" s="164"/>
      <c r="O880" s="164"/>
      <c r="P880" s="159" t="s">
        <v>351</v>
      </c>
      <c r="Q880" s="159" t="s">
        <v>491</v>
      </c>
      <c r="R880" s="159" t="s">
        <v>2290</v>
      </c>
      <c r="S880" s="165">
        <v>1.71556035414379E-2</v>
      </c>
      <c r="T880" s="166" t="s">
        <v>382</v>
      </c>
      <c r="U880" s="166"/>
      <c r="V880" s="166"/>
      <c r="W880" s="167">
        <f>IF(BetTable[Sport]="","",BetTable[Stake]+BetTable[S2]+BetTable[S3])</f>
        <v>47</v>
      </c>
      <c r="X880" s="164">
        <f>IF(BetTable[Odds]="","",(BetTable[WBA1-Commission])-BetTable[TS])</f>
        <v>26.790000000000006</v>
      </c>
      <c r="Y880" s="168">
        <f>IF(BetTable[Outcome]="","",BetTable[WBA1]+BetTable[WBA2]+BetTable[WBA3]-BetTable[TS])</f>
        <v>-47</v>
      </c>
      <c r="Z880" s="164">
        <f>(((BetTable[Odds]-1)*BetTable[Stake])*(1-(BetTable[Comm %]))+BetTable[Stake])</f>
        <v>73.790000000000006</v>
      </c>
      <c r="AA880" s="164">
        <f>(((BetTable[O2]-1)*BetTable[S2])*(1-(BetTable[C% 2]))+BetTable[S2])</f>
        <v>0</v>
      </c>
      <c r="AB880" s="164">
        <f>(((BetTable[O3]-1)*BetTable[S3])*(1-(BetTable[C% 3]))+BetTable[S3])</f>
        <v>0</v>
      </c>
      <c r="AC880" s="165">
        <f>IFERROR(IF(BetTable[Sport]="","",BetTable[R1]/BetTable[TS]),"")</f>
        <v>0.57000000000000017</v>
      </c>
      <c r="AD880" s="165" t="str">
        <f>IF(BetTable[O2]="","",#REF!/BetTable[TS])</f>
        <v/>
      </c>
      <c r="AE880" s="165" t="str">
        <f>IFERROR(IF(BetTable[Sport]="","",#REF!/BetTable[TS]),"")</f>
        <v/>
      </c>
      <c r="AF880" s="164">
        <f>IF(BetTable[Outcome]="Win",BetTable[WBA1-Commission],IF(BetTable[Outcome]="Win Half Stake",(BetTable[Stake]/2)+BetTable[WBA1-Commission]/2,IF(BetTable[Outcome]="Lose Half Stake",BetTable[Stake]/2,IF(BetTable[Outcome]="Lose",0,IF(BetTable[Outcome]="Void",BetTable[Stake],)))))</f>
        <v>0</v>
      </c>
      <c r="AG880" s="164">
        <f>IF(BetTable[Outcome2]="Win",BetTable[WBA2-Commission],IF(BetTable[Outcome2]="Win Half Stake",(BetTable[S2]/2)+BetTable[WBA2-Commission]/2,IF(BetTable[Outcome2]="Lose Half Stake",BetTable[S2]/2,IF(BetTable[Outcome2]="Lose",0,IF(BetTable[Outcome2]="Void",BetTable[S2],)))))</f>
        <v>0</v>
      </c>
      <c r="AH880" s="164">
        <f>IF(BetTable[Outcome3]="Win",BetTable[WBA3-Commission],IF(BetTable[Outcome3]="Win Half Stake",(BetTable[S3]/2)+BetTable[WBA3-Commission]/2,IF(BetTable[Outcome3]="Lose Half Stake",BetTable[S3]/2,IF(BetTable[Outcome3]="Lose",0,IF(BetTable[Outcome3]="Void",BetTable[S3],)))))</f>
        <v>0</v>
      </c>
      <c r="AI880" s="168">
        <f>IF(BetTable[Outcome]="",AI879,BetTable[Result]+AI879)</f>
        <v>1165.8892500000011</v>
      </c>
      <c r="AJ880" s="160"/>
    </row>
    <row r="881" spans="1:36" x14ac:dyDescent="0.2">
      <c r="A881" s="159" t="s">
        <v>2094</v>
      </c>
      <c r="B881" s="160" t="s">
        <v>200</v>
      </c>
      <c r="C881" s="161" t="s">
        <v>1714</v>
      </c>
      <c r="D881" s="161"/>
      <c r="E881" s="161"/>
      <c r="F881" s="162"/>
      <c r="G881" s="162"/>
      <c r="H881" s="162"/>
      <c r="I881" s="160" t="s">
        <v>2291</v>
      </c>
      <c r="J881" s="163">
        <v>2.42</v>
      </c>
      <c r="K881" s="163"/>
      <c r="L881" s="163"/>
      <c r="M881" s="164">
        <v>24</v>
      </c>
      <c r="N881" s="164"/>
      <c r="O881" s="164"/>
      <c r="P881" s="159" t="s">
        <v>435</v>
      </c>
      <c r="Q881" s="159" t="s">
        <v>674</v>
      </c>
      <c r="R881" s="159" t="s">
        <v>2292</v>
      </c>
      <c r="S881" s="165">
        <v>2.2309684401507102E-2</v>
      </c>
      <c r="T881" s="166" t="s">
        <v>382</v>
      </c>
      <c r="U881" s="166"/>
      <c r="V881" s="166"/>
      <c r="W881" s="167">
        <f>IF(BetTable[Sport]="","",BetTable[Stake]+BetTable[S2]+BetTable[S3])</f>
        <v>24</v>
      </c>
      <c r="X881" s="164">
        <f>IF(BetTable[Odds]="","",(BetTable[WBA1-Commission])-BetTable[TS])</f>
        <v>34.08</v>
      </c>
      <c r="Y881" s="168">
        <f>IF(BetTable[Outcome]="","",BetTable[WBA1]+BetTable[WBA2]+BetTable[WBA3]-BetTable[TS])</f>
        <v>-24</v>
      </c>
      <c r="Z881" s="164">
        <f>(((BetTable[Odds]-1)*BetTable[Stake])*(1-(BetTable[Comm %]))+BetTable[Stake])</f>
        <v>58.08</v>
      </c>
      <c r="AA881" s="164">
        <f>(((BetTable[O2]-1)*BetTable[S2])*(1-(BetTable[C% 2]))+BetTable[S2])</f>
        <v>0</v>
      </c>
      <c r="AB881" s="164">
        <f>(((BetTable[O3]-1)*BetTable[S3])*(1-(BetTable[C% 3]))+BetTable[S3])</f>
        <v>0</v>
      </c>
      <c r="AC881" s="165">
        <f>IFERROR(IF(BetTable[Sport]="","",BetTable[R1]/BetTable[TS]),"")</f>
        <v>1.42</v>
      </c>
      <c r="AD881" s="165" t="str">
        <f>IF(BetTable[O2]="","",#REF!/BetTable[TS])</f>
        <v/>
      </c>
      <c r="AE881" s="165" t="str">
        <f>IFERROR(IF(BetTable[Sport]="","",#REF!/BetTable[TS]),"")</f>
        <v/>
      </c>
      <c r="AF881" s="164">
        <f>IF(BetTable[Outcome]="Win",BetTable[WBA1-Commission],IF(BetTable[Outcome]="Win Half Stake",(BetTable[Stake]/2)+BetTable[WBA1-Commission]/2,IF(BetTable[Outcome]="Lose Half Stake",BetTable[Stake]/2,IF(BetTable[Outcome]="Lose",0,IF(BetTable[Outcome]="Void",BetTable[Stake],)))))</f>
        <v>0</v>
      </c>
      <c r="AG881" s="164">
        <f>IF(BetTable[Outcome2]="Win",BetTable[WBA2-Commission],IF(BetTable[Outcome2]="Win Half Stake",(BetTable[S2]/2)+BetTable[WBA2-Commission]/2,IF(BetTable[Outcome2]="Lose Half Stake",BetTable[S2]/2,IF(BetTable[Outcome2]="Lose",0,IF(BetTable[Outcome2]="Void",BetTable[S2],)))))</f>
        <v>0</v>
      </c>
      <c r="AH881" s="164">
        <f>IF(BetTable[Outcome3]="Win",BetTable[WBA3-Commission],IF(BetTable[Outcome3]="Win Half Stake",(BetTable[S3]/2)+BetTable[WBA3-Commission]/2,IF(BetTable[Outcome3]="Lose Half Stake",BetTable[S3]/2,IF(BetTable[Outcome3]="Lose",0,IF(BetTable[Outcome3]="Void",BetTable[S3],)))))</f>
        <v>0</v>
      </c>
      <c r="AI881" s="168">
        <f>IF(BetTable[Outcome]="",AI880,BetTable[Result]+AI880)</f>
        <v>1141.8892500000011</v>
      </c>
      <c r="AJ881" s="160"/>
    </row>
    <row r="882" spans="1:36" x14ac:dyDescent="0.2">
      <c r="A882" s="159" t="s">
        <v>2094</v>
      </c>
      <c r="B882" s="160" t="s">
        <v>201</v>
      </c>
      <c r="C882" s="161" t="s">
        <v>216</v>
      </c>
      <c r="D882" s="161"/>
      <c r="E882" s="161"/>
      <c r="F882" s="162"/>
      <c r="G882" s="162"/>
      <c r="H882" s="162"/>
      <c r="I882" s="160" t="s">
        <v>2293</v>
      </c>
      <c r="J882" s="163">
        <v>2.31</v>
      </c>
      <c r="K882" s="163"/>
      <c r="L882" s="163"/>
      <c r="M882" s="164">
        <v>69</v>
      </c>
      <c r="N882" s="164"/>
      <c r="O882" s="164"/>
      <c r="P882" s="159" t="s">
        <v>2294</v>
      </c>
      <c r="Q882" s="159" t="s">
        <v>466</v>
      </c>
      <c r="R882" s="159" t="s">
        <v>2295</v>
      </c>
      <c r="S882" s="165">
        <v>5.8810003356831099E-2</v>
      </c>
      <c r="T882" s="166" t="s">
        <v>382</v>
      </c>
      <c r="U882" s="166"/>
      <c r="V882" s="166"/>
      <c r="W882" s="167">
        <f>IF(BetTable[Sport]="","",BetTable[Stake]+BetTable[S2]+BetTable[S3])</f>
        <v>69</v>
      </c>
      <c r="X882" s="164">
        <f>IF(BetTable[Odds]="","",(BetTable[WBA1-Commission])-BetTable[TS])</f>
        <v>90.389999999999986</v>
      </c>
      <c r="Y882" s="168">
        <f>IF(BetTable[Outcome]="","",BetTable[WBA1]+BetTable[WBA2]+BetTable[WBA3]-BetTable[TS])</f>
        <v>-69</v>
      </c>
      <c r="Z882" s="164">
        <f>(((BetTable[Odds]-1)*BetTable[Stake])*(1-(BetTable[Comm %]))+BetTable[Stake])</f>
        <v>159.38999999999999</v>
      </c>
      <c r="AA882" s="164">
        <f>(((BetTable[O2]-1)*BetTable[S2])*(1-(BetTable[C% 2]))+BetTable[S2])</f>
        <v>0</v>
      </c>
      <c r="AB882" s="164">
        <f>(((BetTable[O3]-1)*BetTable[S3])*(1-(BetTable[C% 3]))+BetTable[S3])</f>
        <v>0</v>
      </c>
      <c r="AC882" s="165">
        <f>IFERROR(IF(BetTable[Sport]="","",BetTable[R1]/BetTable[TS]),"")</f>
        <v>1.3099999999999998</v>
      </c>
      <c r="AD882" s="165" t="str">
        <f>IF(BetTable[O2]="","",#REF!/BetTable[TS])</f>
        <v/>
      </c>
      <c r="AE882" s="165" t="str">
        <f>IFERROR(IF(BetTable[Sport]="","",#REF!/BetTable[TS]),"")</f>
        <v/>
      </c>
      <c r="AF882" s="164">
        <f>IF(BetTable[Outcome]="Win",BetTable[WBA1-Commission],IF(BetTable[Outcome]="Win Half Stake",(BetTable[Stake]/2)+BetTable[WBA1-Commission]/2,IF(BetTable[Outcome]="Lose Half Stake",BetTable[Stake]/2,IF(BetTable[Outcome]="Lose",0,IF(BetTable[Outcome]="Void",BetTable[Stake],)))))</f>
        <v>0</v>
      </c>
      <c r="AG882" s="164">
        <f>IF(BetTable[Outcome2]="Win",BetTable[WBA2-Commission],IF(BetTable[Outcome2]="Win Half Stake",(BetTable[S2]/2)+BetTable[WBA2-Commission]/2,IF(BetTable[Outcome2]="Lose Half Stake",BetTable[S2]/2,IF(BetTable[Outcome2]="Lose",0,IF(BetTable[Outcome2]="Void",BetTable[S2],)))))</f>
        <v>0</v>
      </c>
      <c r="AH882" s="164">
        <f>IF(BetTable[Outcome3]="Win",BetTable[WBA3-Commission],IF(BetTable[Outcome3]="Win Half Stake",(BetTable[S3]/2)+BetTable[WBA3-Commission]/2,IF(BetTable[Outcome3]="Lose Half Stake",BetTable[S3]/2,IF(BetTable[Outcome3]="Lose",0,IF(BetTable[Outcome3]="Void",BetTable[S3],)))))</f>
        <v>0</v>
      </c>
      <c r="AI882" s="168">
        <f>IF(BetTable[Outcome]="",AI881,BetTable[Result]+AI881)</f>
        <v>1072.8892500000011</v>
      </c>
      <c r="AJ882" s="160"/>
    </row>
    <row r="883" spans="1:36" x14ac:dyDescent="0.2">
      <c r="A883" s="159" t="s">
        <v>2094</v>
      </c>
      <c r="B883" s="160" t="s">
        <v>7</v>
      </c>
      <c r="C883" s="161" t="s">
        <v>216</v>
      </c>
      <c r="D883" s="161"/>
      <c r="E883" s="161"/>
      <c r="F883" s="162"/>
      <c r="G883" s="162"/>
      <c r="H883" s="162"/>
      <c r="I883" s="160" t="s">
        <v>2296</v>
      </c>
      <c r="J883" s="163">
        <v>1.571</v>
      </c>
      <c r="K883" s="163"/>
      <c r="L883" s="163"/>
      <c r="M883" s="164">
        <v>87</v>
      </c>
      <c r="N883" s="164"/>
      <c r="O883" s="164"/>
      <c r="P883" s="159" t="s">
        <v>435</v>
      </c>
      <c r="Q883" s="159" t="s">
        <v>482</v>
      </c>
      <c r="R883" s="159" t="s">
        <v>2297</v>
      </c>
      <c r="S883" s="165">
        <v>3.3213271877843897E-2</v>
      </c>
      <c r="T883" s="166" t="s">
        <v>372</v>
      </c>
      <c r="U883" s="166"/>
      <c r="V883" s="166"/>
      <c r="W883" s="167">
        <f>IF(BetTable[Sport]="","",BetTable[Stake]+BetTable[S2]+BetTable[S3])</f>
        <v>87</v>
      </c>
      <c r="X883" s="164">
        <f>IF(BetTable[Odds]="","",(BetTable[WBA1-Commission])-BetTable[TS])</f>
        <v>49.676999999999992</v>
      </c>
      <c r="Y883" s="168">
        <f>IF(BetTable[Outcome]="","",BetTable[WBA1]+BetTable[WBA2]+BetTable[WBA3]-BetTable[TS])</f>
        <v>49.676999999999992</v>
      </c>
      <c r="Z883" s="164">
        <f>(((BetTable[Odds]-1)*BetTable[Stake])*(1-(BetTable[Comm %]))+BetTable[Stake])</f>
        <v>136.67699999999999</v>
      </c>
      <c r="AA883" s="164">
        <f>(((BetTable[O2]-1)*BetTable[S2])*(1-(BetTable[C% 2]))+BetTable[S2])</f>
        <v>0</v>
      </c>
      <c r="AB883" s="164">
        <f>(((BetTable[O3]-1)*BetTable[S3])*(1-(BetTable[C% 3]))+BetTable[S3])</f>
        <v>0</v>
      </c>
      <c r="AC883" s="165">
        <f>IFERROR(IF(BetTable[Sport]="","",BetTable[R1]/BetTable[TS]),"")</f>
        <v>0.57099999999999995</v>
      </c>
      <c r="AD883" s="165" t="str">
        <f>IF(BetTable[O2]="","",#REF!/BetTable[TS])</f>
        <v/>
      </c>
      <c r="AE883" s="165" t="str">
        <f>IFERROR(IF(BetTable[Sport]="","",#REF!/BetTable[TS]),"")</f>
        <v/>
      </c>
      <c r="AF883" s="164">
        <f>IF(BetTable[Outcome]="Win",BetTable[WBA1-Commission],IF(BetTable[Outcome]="Win Half Stake",(BetTable[Stake]/2)+BetTable[WBA1-Commission]/2,IF(BetTable[Outcome]="Lose Half Stake",BetTable[Stake]/2,IF(BetTable[Outcome]="Lose",0,IF(BetTable[Outcome]="Void",BetTable[Stake],)))))</f>
        <v>136.67699999999999</v>
      </c>
      <c r="AG883" s="164">
        <f>IF(BetTable[Outcome2]="Win",BetTable[WBA2-Commission],IF(BetTable[Outcome2]="Win Half Stake",(BetTable[S2]/2)+BetTable[WBA2-Commission]/2,IF(BetTable[Outcome2]="Lose Half Stake",BetTable[S2]/2,IF(BetTable[Outcome2]="Lose",0,IF(BetTable[Outcome2]="Void",BetTable[S2],)))))</f>
        <v>0</v>
      </c>
      <c r="AH883" s="164">
        <f>IF(BetTable[Outcome3]="Win",BetTable[WBA3-Commission],IF(BetTable[Outcome3]="Win Half Stake",(BetTable[S3]/2)+BetTable[WBA3-Commission]/2,IF(BetTable[Outcome3]="Lose Half Stake",BetTable[S3]/2,IF(BetTable[Outcome3]="Lose",0,IF(BetTable[Outcome3]="Void",BetTable[S3],)))))</f>
        <v>0</v>
      </c>
      <c r="AI883" s="168">
        <f>IF(BetTable[Outcome]="",AI882,BetTable[Result]+AI882)</f>
        <v>1122.566250000001</v>
      </c>
      <c r="AJ883" s="160"/>
    </row>
    <row r="884" spans="1:36" x14ac:dyDescent="0.2">
      <c r="A884" s="159" t="s">
        <v>2094</v>
      </c>
      <c r="B884" s="160" t="s">
        <v>7</v>
      </c>
      <c r="C884" s="161" t="s">
        <v>216</v>
      </c>
      <c r="D884" s="161"/>
      <c r="E884" s="161"/>
      <c r="F884" s="162"/>
      <c r="G884" s="162"/>
      <c r="H884" s="162"/>
      <c r="I884" s="160" t="s">
        <v>2298</v>
      </c>
      <c r="J884" s="163">
        <v>1.87</v>
      </c>
      <c r="K884" s="163"/>
      <c r="L884" s="163"/>
      <c r="M884" s="164">
        <v>28</v>
      </c>
      <c r="N884" s="164"/>
      <c r="O884" s="164"/>
      <c r="P884" s="159" t="s">
        <v>2299</v>
      </c>
      <c r="Q884" s="159" t="s">
        <v>506</v>
      </c>
      <c r="R884" s="159" t="s">
        <v>2300</v>
      </c>
      <c r="S884" s="165">
        <v>3.1090152290470199E-2</v>
      </c>
      <c r="T884" s="166" t="s">
        <v>372</v>
      </c>
      <c r="U884" s="166"/>
      <c r="V884" s="166"/>
      <c r="W884" s="167">
        <f>IF(BetTable[Sport]="","",BetTable[Stake]+BetTable[S2]+BetTable[S3])</f>
        <v>28</v>
      </c>
      <c r="X884" s="164">
        <f>IF(BetTable[Odds]="","",(BetTable[WBA1-Commission])-BetTable[TS])</f>
        <v>24.36</v>
      </c>
      <c r="Y884" s="168">
        <f>IF(BetTable[Outcome]="","",BetTable[WBA1]+BetTable[WBA2]+BetTable[WBA3]-BetTable[TS])</f>
        <v>24.36</v>
      </c>
      <c r="Z884" s="164">
        <f>(((BetTable[Odds]-1)*BetTable[Stake])*(1-(BetTable[Comm %]))+BetTable[Stake])</f>
        <v>52.36</v>
      </c>
      <c r="AA884" s="164">
        <f>(((BetTable[O2]-1)*BetTable[S2])*(1-(BetTable[C% 2]))+BetTable[S2])</f>
        <v>0</v>
      </c>
      <c r="AB884" s="164">
        <f>(((BetTable[O3]-1)*BetTable[S3])*(1-(BetTable[C% 3]))+BetTable[S3])</f>
        <v>0</v>
      </c>
      <c r="AC884" s="165">
        <f>IFERROR(IF(BetTable[Sport]="","",BetTable[R1]/BetTable[TS]),"")</f>
        <v>0.87</v>
      </c>
      <c r="AD884" s="165" t="str">
        <f>IF(BetTable[O2]="","",#REF!/BetTable[TS])</f>
        <v/>
      </c>
      <c r="AE884" s="165" t="str">
        <f>IFERROR(IF(BetTable[Sport]="","",#REF!/BetTable[TS]),"")</f>
        <v/>
      </c>
      <c r="AF884" s="164">
        <f>IF(BetTable[Outcome]="Win",BetTable[WBA1-Commission],IF(BetTable[Outcome]="Win Half Stake",(BetTable[Stake]/2)+BetTable[WBA1-Commission]/2,IF(BetTable[Outcome]="Lose Half Stake",BetTable[Stake]/2,IF(BetTable[Outcome]="Lose",0,IF(BetTable[Outcome]="Void",BetTable[Stake],)))))</f>
        <v>52.36</v>
      </c>
      <c r="AG884" s="164">
        <f>IF(BetTable[Outcome2]="Win",BetTable[WBA2-Commission],IF(BetTable[Outcome2]="Win Half Stake",(BetTable[S2]/2)+BetTable[WBA2-Commission]/2,IF(BetTable[Outcome2]="Lose Half Stake",BetTable[S2]/2,IF(BetTable[Outcome2]="Lose",0,IF(BetTable[Outcome2]="Void",BetTable[S2],)))))</f>
        <v>0</v>
      </c>
      <c r="AH884" s="164">
        <f>IF(BetTable[Outcome3]="Win",BetTable[WBA3-Commission],IF(BetTable[Outcome3]="Win Half Stake",(BetTable[S3]/2)+BetTable[WBA3-Commission]/2,IF(BetTable[Outcome3]="Lose Half Stake",BetTable[S3]/2,IF(BetTable[Outcome3]="Lose",0,IF(BetTable[Outcome3]="Void",BetTable[S3],)))))</f>
        <v>0</v>
      </c>
      <c r="AI884" s="168">
        <f>IF(BetTable[Outcome]="",AI883,BetTable[Result]+AI883)</f>
        <v>1146.9262500000009</v>
      </c>
      <c r="AJ884" s="160"/>
    </row>
    <row r="885" spans="1:36" x14ac:dyDescent="0.2">
      <c r="A885" s="159" t="s">
        <v>2094</v>
      </c>
      <c r="B885" s="160" t="s">
        <v>201</v>
      </c>
      <c r="C885" s="161" t="s">
        <v>216</v>
      </c>
      <c r="D885" s="161"/>
      <c r="E885" s="161"/>
      <c r="F885" s="162"/>
      <c r="G885" s="162"/>
      <c r="H885" s="162"/>
      <c r="I885" s="160" t="s">
        <v>2301</v>
      </c>
      <c r="J885" s="163">
        <v>2.2799999999999998</v>
      </c>
      <c r="K885" s="163"/>
      <c r="L885" s="163"/>
      <c r="M885" s="164">
        <v>31</v>
      </c>
      <c r="N885" s="164"/>
      <c r="O885" s="164"/>
      <c r="P885" s="159" t="s">
        <v>2294</v>
      </c>
      <c r="Q885" s="159" t="s">
        <v>530</v>
      </c>
      <c r="R885" s="159" t="s">
        <v>2302</v>
      </c>
      <c r="S885" s="165">
        <v>3.3387742818296699E-2</v>
      </c>
      <c r="T885" s="166" t="s">
        <v>382</v>
      </c>
      <c r="U885" s="166"/>
      <c r="V885" s="166"/>
      <c r="W885" s="167">
        <f>IF(BetTable[Sport]="","",BetTable[Stake]+BetTable[S2]+BetTable[S3])</f>
        <v>31</v>
      </c>
      <c r="X885" s="164">
        <f>IF(BetTable[Odds]="","",(BetTable[WBA1-Commission])-BetTable[TS])</f>
        <v>39.679999999999993</v>
      </c>
      <c r="Y885" s="168">
        <f>IF(BetTable[Outcome]="","",BetTable[WBA1]+BetTable[WBA2]+BetTable[WBA3]-BetTable[TS])</f>
        <v>-31</v>
      </c>
      <c r="Z885" s="164">
        <f>(((BetTable[Odds]-1)*BetTable[Stake])*(1-(BetTable[Comm %]))+BetTable[Stake])</f>
        <v>70.679999999999993</v>
      </c>
      <c r="AA885" s="164">
        <f>(((BetTable[O2]-1)*BetTable[S2])*(1-(BetTable[C% 2]))+BetTable[S2])</f>
        <v>0</v>
      </c>
      <c r="AB885" s="164">
        <f>(((BetTable[O3]-1)*BetTable[S3])*(1-(BetTable[C% 3]))+BetTable[S3])</f>
        <v>0</v>
      </c>
      <c r="AC885" s="165">
        <f>IFERROR(IF(BetTable[Sport]="","",BetTable[R1]/BetTable[TS]),"")</f>
        <v>1.2799999999999998</v>
      </c>
      <c r="AD885" s="165" t="str">
        <f>IF(BetTable[O2]="","",#REF!/BetTable[TS])</f>
        <v/>
      </c>
      <c r="AE885" s="165" t="str">
        <f>IFERROR(IF(BetTable[Sport]="","",#REF!/BetTable[TS]),"")</f>
        <v/>
      </c>
      <c r="AF885" s="164">
        <f>IF(BetTable[Outcome]="Win",BetTable[WBA1-Commission],IF(BetTable[Outcome]="Win Half Stake",(BetTable[Stake]/2)+BetTable[WBA1-Commission]/2,IF(BetTable[Outcome]="Lose Half Stake",BetTable[Stake]/2,IF(BetTable[Outcome]="Lose",0,IF(BetTable[Outcome]="Void",BetTable[Stake],)))))</f>
        <v>0</v>
      </c>
      <c r="AG885" s="164">
        <f>IF(BetTable[Outcome2]="Win",BetTable[WBA2-Commission],IF(BetTable[Outcome2]="Win Half Stake",(BetTable[S2]/2)+BetTable[WBA2-Commission]/2,IF(BetTable[Outcome2]="Lose Half Stake",BetTable[S2]/2,IF(BetTable[Outcome2]="Lose",0,IF(BetTable[Outcome2]="Void",BetTable[S2],)))))</f>
        <v>0</v>
      </c>
      <c r="AH885" s="164">
        <f>IF(BetTable[Outcome3]="Win",BetTable[WBA3-Commission],IF(BetTable[Outcome3]="Win Half Stake",(BetTable[S3]/2)+BetTable[WBA3-Commission]/2,IF(BetTable[Outcome3]="Lose Half Stake",BetTable[S3]/2,IF(BetTable[Outcome3]="Lose",0,IF(BetTable[Outcome3]="Void",BetTable[S3],)))))</f>
        <v>0</v>
      </c>
      <c r="AI885" s="168">
        <f>IF(BetTable[Outcome]="",AI884,BetTable[Result]+AI884)</f>
        <v>1115.9262500000009</v>
      </c>
      <c r="AJ885" s="160"/>
    </row>
    <row r="886" spans="1:36" x14ac:dyDescent="0.2">
      <c r="A886" s="159" t="s">
        <v>2094</v>
      </c>
      <c r="B886" s="160" t="s">
        <v>200</v>
      </c>
      <c r="C886" s="161" t="s">
        <v>1714</v>
      </c>
      <c r="D886" s="161"/>
      <c r="E886" s="161"/>
      <c r="F886" s="162"/>
      <c r="G886" s="162"/>
      <c r="H886" s="162"/>
      <c r="I886" s="160" t="s">
        <v>2303</v>
      </c>
      <c r="J886" s="163">
        <v>1.9</v>
      </c>
      <c r="K886" s="163"/>
      <c r="L886" s="163"/>
      <c r="M886" s="164">
        <v>55</v>
      </c>
      <c r="N886" s="164"/>
      <c r="O886" s="164"/>
      <c r="P886" s="159" t="s">
        <v>688</v>
      </c>
      <c r="Q886" s="159" t="s">
        <v>836</v>
      </c>
      <c r="R886" s="159" t="s">
        <v>2304</v>
      </c>
      <c r="S886" s="165">
        <v>3.1772651663919203E-2</v>
      </c>
      <c r="T886" s="166" t="s">
        <v>382</v>
      </c>
      <c r="U886" s="166"/>
      <c r="V886" s="166"/>
      <c r="W886" s="167">
        <f>IF(BetTable[Sport]="","",BetTable[Stake]+BetTable[S2]+BetTable[S3])</f>
        <v>55</v>
      </c>
      <c r="X886" s="164">
        <f>IF(BetTable[Odds]="","",(BetTable[WBA1-Commission])-BetTable[TS])</f>
        <v>49.5</v>
      </c>
      <c r="Y886" s="168">
        <f>IF(BetTable[Outcome]="","",BetTable[WBA1]+BetTable[WBA2]+BetTable[WBA3]-BetTable[TS])</f>
        <v>-55</v>
      </c>
      <c r="Z886" s="164">
        <f>(((BetTable[Odds]-1)*BetTable[Stake])*(1-(BetTable[Comm %]))+BetTable[Stake])</f>
        <v>104.5</v>
      </c>
      <c r="AA886" s="164">
        <f>(((BetTable[O2]-1)*BetTable[S2])*(1-(BetTable[C% 2]))+BetTable[S2])</f>
        <v>0</v>
      </c>
      <c r="AB886" s="164">
        <f>(((BetTable[O3]-1)*BetTable[S3])*(1-(BetTable[C% 3]))+BetTable[S3])</f>
        <v>0</v>
      </c>
      <c r="AC886" s="165">
        <f>IFERROR(IF(BetTable[Sport]="","",BetTable[R1]/BetTable[TS]),"")</f>
        <v>0.9</v>
      </c>
      <c r="AD886" s="165" t="str">
        <f>IF(BetTable[O2]="","",#REF!/BetTable[TS])</f>
        <v/>
      </c>
      <c r="AE886" s="165" t="str">
        <f>IFERROR(IF(BetTable[Sport]="","",#REF!/BetTable[TS]),"")</f>
        <v/>
      </c>
      <c r="AF886" s="164">
        <f>IF(BetTable[Outcome]="Win",BetTable[WBA1-Commission],IF(BetTable[Outcome]="Win Half Stake",(BetTable[Stake]/2)+BetTable[WBA1-Commission]/2,IF(BetTable[Outcome]="Lose Half Stake",BetTable[Stake]/2,IF(BetTable[Outcome]="Lose",0,IF(BetTable[Outcome]="Void",BetTable[Stake],)))))</f>
        <v>0</v>
      </c>
      <c r="AG886" s="164">
        <f>IF(BetTable[Outcome2]="Win",BetTable[WBA2-Commission],IF(BetTable[Outcome2]="Win Half Stake",(BetTable[S2]/2)+BetTable[WBA2-Commission]/2,IF(BetTable[Outcome2]="Lose Half Stake",BetTable[S2]/2,IF(BetTable[Outcome2]="Lose",0,IF(BetTable[Outcome2]="Void",BetTable[S2],)))))</f>
        <v>0</v>
      </c>
      <c r="AH886" s="164">
        <f>IF(BetTable[Outcome3]="Win",BetTable[WBA3-Commission],IF(BetTable[Outcome3]="Win Half Stake",(BetTable[S3]/2)+BetTable[WBA3-Commission]/2,IF(BetTable[Outcome3]="Lose Half Stake",BetTable[S3]/2,IF(BetTable[Outcome3]="Lose",0,IF(BetTable[Outcome3]="Void",BetTable[S3],)))))</f>
        <v>0</v>
      </c>
      <c r="AI886" s="168">
        <f>IF(BetTable[Outcome]="",AI885,BetTable[Result]+AI885)</f>
        <v>1060.9262500000009</v>
      </c>
      <c r="AJ886" s="160"/>
    </row>
    <row r="887" spans="1:36" x14ac:dyDescent="0.2">
      <c r="A887" s="159" t="s">
        <v>2094</v>
      </c>
      <c r="B887" s="160" t="s">
        <v>200</v>
      </c>
      <c r="C887" s="161" t="s">
        <v>1714</v>
      </c>
      <c r="D887" s="161"/>
      <c r="E887" s="161"/>
      <c r="F887" s="162"/>
      <c r="G887" s="162"/>
      <c r="H887" s="162"/>
      <c r="I887" s="160" t="s">
        <v>2305</v>
      </c>
      <c r="J887" s="163">
        <v>2.0499999999999998</v>
      </c>
      <c r="K887" s="163"/>
      <c r="L887" s="163"/>
      <c r="M887" s="164">
        <v>23</v>
      </c>
      <c r="N887" s="164"/>
      <c r="O887" s="164"/>
      <c r="P887" s="159" t="s">
        <v>360</v>
      </c>
      <c r="Q887" s="159" t="s">
        <v>581</v>
      </c>
      <c r="R887" s="159" t="s">
        <v>2306</v>
      </c>
      <c r="S887" s="165">
        <v>1.53381971339768E-2</v>
      </c>
      <c r="T887" s="166" t="s">
        <v>372</v>
      </c>
      <c r="U887" s="166"/>
      <c r="V887" s="166"/>
      <c r="W887" s="167">
        <f>IF(BetTable[Sport]="","",BetTable[Stake]+BetTable[S2]+BetTable[S3])</f>
        <v>23</v>
      </c>
      <c r="X887" s="164">
        <f>IF(BetTable[Odds]="","",(BetTable[WBA1-Commission])-BetTable[TS])</f>
        <v>24.149999999999991</v>
      </c>
      <c r="Y887" s="168">
        <f>IF(BetTable[Outcome]="","",BetTable[WBA1]+BetTable[WBA2]+BetTable[WBA3]-BetTable[TS])</f>
        <v>24.149999999999991</v>
      </c>
      <c r="Z887" s="164">
        <f>(((BetTable[Odds]-1)*BetTable[Stake])*(1-(BetTable[Comm %]))+BetTable[Stake])</f>
        <v>47.149999999999991</v>
      </c>
      <c r="AA887" s="164">
        <f>(((BetTable[O2]-1)*BetTable[S2])*(1-(BetTable[C% 2]))+BetTable[S2])</f>
        <v>0</v>
      </c>
      <c r="AB887" s="164">
        <f>(((BetTable[O3]-1)*BetTable[S3])*(1-(BetTable[C% 3]))+BetTable[S3])</f>
        <v>0</v>
      </c>
      <c r="AC887" s="165">
        <f>IFERROR(IF(BetTable[Sport]="","",BetTable[R1]/BetTable[TS]),"")</f>
        <v>1.0499999999999996</v>
      </c>
      <c r="AD887" s="165" t="str">
        <f>IF(BetTable[O2]="","",#REF!/BetTable[TS])</f>
        <v/>
      </c>
      <c r="AE887" s="165" t="str">
        <f>IFERROR(IF(BetTable[Sport]="","",#REF!/BetTable[TS]),"")</f>
        <v/>
      </c>
      <c r="AF887" s="164">
        <f>IF(BetTable[Outcome]="Win",BetTable[WBA1-Commission],IF(BetTable[Outcome]="Win Half Stake",(BetTable[Stake]/2)+BetTable[WBA1-Commission]/2,IF(BetTable[Outcome]="Lose Half Stake",BetTable[Stake]/2,IF(BetTable[Outcome]="Lose",0,IF(BetTable[Outcome]="Void",BetTable[Stake],)))))</f>
        <v>47.149999999999991</v>
      </c>
      <c r="AG887" s="164">
        <f>IF(BetTable[Outcome2]="Win",BetTable[WBA2-Commission],IF(BetTable[Outcome2]="Win Half Stake",(BetTable[S2]/2)+BetTable[WBA2-Commission]/2,IF(BetTable[Outcome2]="Lose Half Stake",BetTable[S2]/2,IF(BetTable[Outcome2]="Lose",0,IF(BetTable[Outcome2]="Void",BetTable[S2],)))))</f>
        <v>0</v>
      </c>
      <c r="AH887" s="164">
        <f>IF(BetTable[Outcome3]="Win",BetTable[WBA3-Commission],IF(BetTable[Outcome3]="Win Half Stake",(BetTable[S3]/2)+BetTable[WBA3-Commission]/2,IF(BetTable[Outcome3]="Lose Half Stake",BetTable[S3]/2,IF(BetTable[Outcome3]="Lose",0,IF(BetTable[Outcome3]="Void",BetTable[S3],)))))</f>
        <v>0</v>
      </c>
      <c r="AI887" s="168">
        <f>IF(BetTable[Outcome]="",AI886,BetTable[Result]+AI886)</f>
        <v>1085.076250000001</v>
      </c>
      <c r="AJ887" s="160"/>
    </row>
    <row r="888" spans="1:36" x14ac:dyDescent="0.2">
      <c r="A888" s="159" t="s">
        <v>2094</v>
      </c>
      <c r="B888" s="160" t="s">
        <v>200</v>
      </c>
      <c r="C888" s="161" t="s">
        <v>1714</v>
      </c>
      <c r="D888" s="161"/>
      <c r="E888" s="161"/>
      <c r="F888" s="162"/>
      <c r="G888" s="162"/>
      <c r="H888" s="162"/>
      <c r="I888" s="160" t="s">
        <v>2307</v>
      </c>
      <c r="J888" s="163">
        <v>3.1</v>
      </c>
      <c r="K888" s="163"/>
      <c r="L888" s="163"/>
      <c r="M888" s="164">
        <v>13</v>
      </c>
      <c r="N888" s="164"/>
      <c r="O888" s="164"/>
      <c r="P888" s="159" t="s">
        <v>494</v>
      </c>
      <c r="Q888" s="159" t="s">
        <v>461</v>
      </c>
      <c r="R888" s="159" t="s">
        <v>2308</v>
      </c>
      <c r="S888" s="165">
        <v>1.7856545511031802E-2</v>
      </c>
      <c r="T888" s="166" t="s">
        <v>382</v>
      </c>
      <c r="U888" s="166"/>
      <c r="V888" s="166"/>
      <c r="W888" s="167">
        <f>IF(BetTable[Sport]="","",BetTable[Stake]+BetTable[S2]+BetTable[S3])</f>
        <v>13</v>
      </c>
      <c r="X888" s="164">
        <f>IF(BetTable[Odds]="","",(BetTable[WBA1-Commission])-BetTable[TS])</f>
        <v>27.299999999999997</v>
      </c>
      <c r="Y888" s="168">
        <f>IF(BetTable[Outcome]="","",BetTable[WBA1]+BetTable[WBA2]+BetTable[WBA3]-BetTable[TS])</f>
        <v>-13</v>
      </c>
      <c r="Z888" s="164">
        <f>(((BetTable[Odds]-1)*BetTable[Stake])*(1-(BetTable[Comm %]))+BetTable[Stake])</f>
        <v>40.299999999999997</v>
      </c>
      <c r="AA888" s="164">
        <f>(((BetTable[O2]-1)*BetTable[S2])*(1-(BetTable[C% 2]))+BetTable[S2])</f>
        <v>0</v>
      </c>
      <c r="AB888" s="164">
        <f>(((BetTable[O3]-1)*BetTable[S3])*(1-(BetTable[C% 3]))+BetTable[S3])</f>
        <v>0</v>
      </c>
      <c r="AC888" s="165">
        <f>IFERROR(IF(BetTable[Sport]="","",BetTable[R1]/BetTable[TS]),"")</f>
        <v>2.0999999999999996</v>
      </c>
      <c r="AD888" s="165" t="str">
        <f>IF(BetTable[O2]="","",#REF!/BetTable[TS])</f>
        <v/>
      </c>
      <c r="AE888" s="165" t="str">
        <f>IFERROR(IF(BetTable[Sport]="","",#REF!/BetTable[TS]),"")</f>
        <v/>
      </c>
      <c r="AF888" s="164">
        <f>IF(BetTable[Outcome]="Win",BetTable[WBA1-Commission],IF(BetTable[Outcome]="Win Half Stake",(BetTable[Stake]/2)+BetTable[WBA1-Commission]/2,IF(BetTable[Outcome]="Lose Half Stake",BetTable[Stake]/2,IF(BetTable[Outcome]="Lose",0,IF(BetTable[Outcome]="Void",BetTable[Stake],)))))</f>
        <v>0</v>
      </c>
      <c r="AG888" s="164">
        <f>IF(BetTable[Outcome2]="Win",BetTable[WBA2-Commission],IF(BetTable[Outcome2]="Win Half Stake",(BetTable[S2]/2)+BetTable[WBA2-Commission]/2,IF(BetTable[Outcome2]="Lose Half Stake",BetTable[S2]/2,IF(BetTable[Outcome2]="Lose",0,IF(BetTable[Outcome2]="Void",BetTable[S2],)))))</f>
        <v>0</v>
      </c>
      <c r="AH888" s="164">
        <f>IF(BetTable[Outcome3]="Win",BetTable[WBA3-Commission],IF(BetTable[Outcome3]="Win Half Stake",(BetTable[S3]/2)+BetTable[WBA3-Commission]/2,IF(BetTable[Outcome3]="Lose Half Stake",BetTable[S3]/2,IF(BetTable[Outcome3]="Lose",0,IF(BetTable[Outcome3]="Void",BetTable[S3],)))))</f>
        <v>0</v>
      </c>
      <c r="AI888" s="168">
        <f>IF(BetTable[Outcome]="",AI887,BetTable[Result]+AI887)</f>
        <v>1072.076250000001</v>
      </c>
      <c r="AJ888" s="160"/>
    </row>
    <row r="889" spans="1:36" x14ac:dyDescent="0.2">
      <c r="A889" s="159" t="s">
        <v>2094</v>
      </c>
      <c r="B889" s="160" t="s">
        <v>200</v>
      </c>
      <c r="C889" s="161" t="s">
        <v>1714</v>
      </c>
      <c r="D889" s="161"/>
      <c r="E889" s="161"/>
      <c r="F889" s="162"/>
      <c r="G889" s="162"/>
      <c r="H889" s="162"/>
      <c r="I889" s="160" t="s">
        <v>2309</v>
      </c>
      <c r="J889" s="163">
        <v>2.0529999999999999</v>
      </c>
      <c r="K889" s="163"/>
      <c r="L889" s="163"/>
      <c r="M889" s="164">
        <v>28</v>
      </c>
      <c r="N889" s="164"/>
      <c r="O889" s="164"/>
      <c r="P889" s="159" t="s">
        <v>668</v>
      </c>
      <c r="Q889" s="159" t="s">
        <v>461</v>
      </c>
      <c r="R889" s="159" t="s">
        <v>2310</v>
      </c>
      <c r="S889" s="165">
        <v>1.9415394160677401E-2</v>
      </c>
      <c r="T889" s="166" t="s">
        <v>382</v>
      </c>
      <c r="U889" s="166"/>
      <c r="V889" s="166"/>
      <c r="W889" s="167">
        <f>IF(BetTable[Sport]="","",BetTable[Stake]+BetTable[S2]+BetTable[S3])</f>
        <v>28</v>
      </c>
      <c r="X889" s="164">
        <f>IF(BetTable[Odds]="","",(BetTable[WBA1-Commission])-BetTable[TS])</f>
        <v>29.483999999999995</v>
      </c>
      <c r="Y889" s="168">
        <f>IF(BetTable[Outcome]="","",BetTable[WBA1]+BetTable[WBA2]+BetTable[WBA3]-BetTable[TS])</f>
        <v>-28</v>
      </c>
      <c r="Z889" s="164">
        <f>(((BetTable[Odds]-1)*BetTable[Stake])*(1-(BetTable[Comm %]))+BetTable[Stake])</f>
        <v>57.483999999999995</v>
      </c>
      <c r="AA889" s="164">
        <f>(((BetTable[O2]-1)*BetTable[S2])*(1-(BetTable[C% 2]))+BetTable[S2])</f>
        <v>0</v>
      </c>
      <c r="AB889" s="164">
        <f>(((BetTable[O3]-1)*BetTable[S3])*(1-(BetTable[C% 3]))+BetTable[S3])</f>
        <v>0</v>
      </c>
      <c r="AC889" s="165">
        <f>IFERROR(IF(BetTable[Sport]="","",BetTable[R1]/BetTable[TS]),"")</f>
        <v>1.0529999999999997</v>
      </c>
      <c r="AD889" s="165" t="str">
        <f>IF(BetTable[O2]="","",#REF!/BetTable[TS])</f>
        <v/>
      </c>
      <c r="AE889" s="165" t="str">
        <f>IFERROR(IF(BetTable[Sport]="","",#REF!/BetTable[TS]),"")</f>
        <v/>
      </c>
      <c r="AF889" s="164">
        <f>IF(BetTable[Outcome]="Win",BetTable[WBA1-Commission],IF(BetTable[Outcome]="Win Half Stake",(BetTable[Stake]/2)+BetTable[WBA1-Commission]/2,IF(BetTable[Outcome]="Lose Half Stake",BetTable[Stake]/2,IF(BetTable[Outcome]="Lose",0,IF(BetTable[Outcome]="Void",BetTable[Stake],)))))</f>
        <v>0</v>
      </c>
      <c r="AG889" s="164">
        <f>IF(BetTable[Outcome2]="Win",BetTable[WBA2-Commission],IF(BetTable[Outcome2]="Win Half Stake",(BetTable[S2]/2)+BetTable[WBA2-Commission]/2,IF(BetTable[Outcome2]="Lose Half Stake",BetTable[S2]/2,IF(BetTable[Outcome2]="Lose",0,IF(BetTable[Outcome2]="Void",BetTable[S2],)))))</f>
        <v>0</v>
      </c>
      <c r="AH889" s="164">
        <f>IF(BetTable[Outcome3]="Win",BetTable[WBA3-Commission],IF(BetTable[Outcome3]="Win Half Stake",(BetTable[S3]/2)+BetTable[WBA3-Commission]/2,IF(BetTable[Outcome3]="Lose Half Stake",BetTable[S3]/2,IF(BetTable[Outcome3]="Lose",0,IF(BetTable[Outcome3]="Void",BetTable[S3],)))))</f>
        <v>0</v>
      </c>
      <c r="AI889" s="168">
        <f>IF(BetTable[Outcome]="",AI888,BetTable[Result]+AI888)</f>
        <v>1044.076250000001</v>
      </c>
      <c r="AJ889" s="160"/>
    </row>
    <row r="890" spans="1:36" x14ac:dyDescent="0.2">
      <c r="A890" s="159" t="s">
        <v>2094</v>
      </c>
      <c r="B890" s="160" t="s">
        <v>7</v>
      </c>
      <c r="C890" s="161" t="s">
        <v>91</v>
      </c>
      <c r="D890" s="161"/>
      <c r="E890" s="161"/>
      <c r="F890" s="162"/>
      <c r="G890" s="162"/>
      <c r="H890" s="162"/>
      <c r="I890" s="160" t="s">
        <v>2311</v>
      </c>
      <c r="J890" s="163">
        <v>1.91</v>
      </c>
      <c r="K890" s="163"/>
      <c r="L890" s="163"/>
      <c r="M890" s="164">
        <v>64</v>
      </c>
      <c r="N890" s="164"/>
      <c r="O890" s="164"/>
      <c r="P890" s="159" t="s">
        <v>2312</v>
      </c>
      <c r="Q890" s="159" t="s">
        <v>503</v>
      </c>
      <c r="R890" s="159" t="s">
        <v>2313</v>
      </c>
      <c r="S890" s="165">
        <v>4.53667570185824E-2</v>
      </c>
      <c r="T890" s="166" t="s">
        <v>382</v>
      </c>
      <c r="U890" s="166"/>
      <c r="V890" s="166"/>
      <c r="W890" s="167">
        <f>IF(BetTable[Sport]="","",BetTable[Stake]+BetTable[S2]+BetTable[S3])</f>
        <v>64</v>
      </c>
      <c r="X890" s="164">
        <f>IF(BetTable[Odds]="","",(BetTable[WBA1-Commission])-BetTable[TS])</f>
        <v>58.239999999999995</v>
      </c>
      <c r="Y890" s="168">
        <f>IF(BetTable[Outcome]="","",BetTable[WBA1]+BetTable[WBA2]+BetTable[WBA3]-BetTable[TS])</f>
        <v>-64</v>
      </c>
      <c r="Z890" s="164">
        <f>(((BetTable[Odds]-1)*BetTable[Stake])*(1-(BetTable[Comm %]))+BetTable[Stake])</f>
        <v>122.24</v>
      </c>
      <c r="AA890" s="164">
        <f>(((BetTable[O2]-1)*BetTable[S2])*(1-(BetTable[C% 2]))+BetTable[S2])</f>
        <v>0</v>
      </c>
      <c r="AB890" s="164">
        <f>(((BetTable[O3]-1)*BetTable[S3])*(1-(BetTable[C% 3]))+BetTable[S3])</f>
        <v>0</v>
      </c>
      <c r="AC890" s="165">
        <f>IFERROR(IF(BetTable[Sport]="","",BetTable[R1]/BetTable[TS]),"")</f>
        <v>0.90999999999999992</v>
      </c>
      <c r="AD890" s="165" t="str">
        <f>IF(BetTable[O2]="","",#REF!/BetTable[TS])</f>
        <v/>
      </c>
      <c r="AE890" s="165" t="str">
        <f>IFERROR(IF(BetTable[Sport]="","",#REF!/BetTable[TS]),"")</f>
        <v/>
      </c>
      <c r="AF890" s="164">
        <f>IF(BetTable[Outcome]="Win",BetTable[WBA1-Commission],IF(BetTable[Outcome]="Win Half Stake",(BetTable[Stake]/2)+BetTable[WBA1-Commission]/2,IF(BetTable[Outcome]="Lose Half Stake",BetTable[Stake]/2,IF(BetTable[Outcome]="Lose",0,IF(BetTable[Outcome]="Void",BetTable[Stake],)))))</f>
        <v>0</v>
      </c>
      <c r="AG890" s="164">
        <f>IF(BetTable[Outcome2]="Win",BetTable[WBA2-Commission],IF(BetTable[Outcome2]="Win Half Stake",(BetTable[S2]/2)+BetTable[WBA2-Commission]/2,IF(BetTable[Outcome2]="Lose Half Stake",BetTable[S2]/2,IF(BetTable[Outcome2]="Lose",0,IF(BetTable[Outcome2]="Void",BetTable[S2],)))))</f>
        <v>0</v>
      </c>
      <c r="AH890" s="164">
        <f>IF(BetTable[Outcome3]="Win",BetTable[WBA3-Commission],IF(BetTable[Outcome3]="Win Half Stake",(BetTable[S3]/2)+BetTable[WBA3-Commission]/2,IF(BetTable[Outcome3]="Lose Half Stake",BetTable[S3]/2,IF(BetTable[Outcome3]="Lose",0,IF(BetTable[Outcome3]="Void",BetTable[S3],)))))</f>
        <v>0</v>
      </c>
      <c r="AI890" s="168">
        <f>IF(BetTable[Outcome]="",AI889,BetTable[Result]+AI889)</f>
        <v>980.07625000000098</v>
      </c>
      <c r="AJ890" s="160"/>
    </row>
    <row r="891" spans="1:36" x14ac:dyDescent="0.2">
      <c r="A891" s="159" t="s">
        <v>2094</v>
      </c>
      <c r="B891" s="160" t="s">
        <v>7</v>
      </c>
      <c r="C891" s="161" t="s">
        <v>1714</v>
      </c>
      <c r="D891" s="161"/>
      <c r="E891" s="161"/>
      <c r="F891" s="162"/>
      <c r="G891" s="162"/>
      <c r="H891" s="162"/>
      <c r="I891" s="160" t="s">
        <v>2314</v>
      </c>
      <c r="J891" s="163">
        <v>1.94</v>
      </c>
      <c r="K891" s="163"/>
      <c r="L891" s="163"/>
      <c r="M891" s="164">
        <v>38</v>
      </c>
      <c r="N891" s="164"/>
      <c r="O891" s="164"/>
      <c r="P891" s="159" t="s">
        <v>580</v>
      </c>
      <c r="Q891" s="159" t="s">
        <v>574</v>
      </c>
      <c r="R891" s="159" t="s">
        <v>2315</v>
      </c>
      <c r="S891" s="165">
        <v>2.75734912934547E-2</v>
      </c>
      <c r="T891" s="166" t="s">
        <v>382</v>
      </c>
      <c r="U891" s="166"/>
      <c r="V891" s="166"/>
      <c r="W891" s="167">
        <f>IF(BetTable[Sport]="","",BetTable[Stake]+BetTable[S2]+BetTable[S3])</f>
        <v>38</v>
      </c>
      <c r="X891" s="164">
        <f>IF(BetTable[Odds]="","",(BetTable[WBA1-Commission])-BetTable[TS])</f>
        <v>35.72</v>
      </c>
      <c r="Y891" s="168">
        <f>IF(BetTable[Outcome]="","",BetTable[WBA1]+BetTable[WBA2]+BetTable[WBA3]-BetTable[TS])</f>
        <v>-38</v>
      </c>
      <c r="Z891" s="164">
        <f>(((BetTable[Odds]-1)*BetTable[Stake])*(1-(BetTable[Comm %]))+BetTable[Stake])</f>
        <v>73.72</v>
      </c>
      <c r="AA891" s="164">
        <f>(((BetTable[O2]-1)*BetTable[S2])*(1-(BetTable[C% 2]))+BetTable[S2])</f>
        <v>0</v>
      </c>
      <c r="AB891" s="164">
        <f>(((BetTable[O3]-1)*BetTable[S3])*(1-(BetTable[C% 3]))+BetTable[S3])</f>
        <v>0</v>
      </c>
      <c r="AC891" s="165">
        <f>IFERROR(IF(BetTable[Sport]="","",BetTable[R1]/BetTable[TS]),"")</f>
        <v>0.94</v>
      </c>
      <c r="AD891" s="165" t="str">
        <f>IF(BetTable[O2]="","",#REF!/BetTable[TS])</f>
        <v/>
      </c>
      <c r="AE891" s="165" t="str">
        <f>IFERROR(IF(BetTable[Sport]="","",#REF!/BetTable[TS]),"")</f>
        <v/>
      </c>
      <c r="AF891" s="164">
        <f>IF(BetTable[Outcome]="Win",BetTable[WBA1-Commission],IF(BetTable[Outcome]="Win Half Stake",(BetTable[Stake]/2)+BetTable[WBA1-Commission]/2,IF(BetTable[Outcome]="Lose Half Stake",BetTable[Stake]/2,IF(BetTable[Outcome]="Lose",0,IF(BetTable[Outcome]="Void",BetTable[Stake],)))))</f>
        <v>0</v>
      </c>
      <c r="AG891" s="164">
        <f>IF(BetTable[Outcome2]="Win",BetTable[WBA2-Commission],IF(BetTable[Outcome2]="Win Half Stake",(BetTable[S2]/2)+BetTable[WBA2-Commission]/2,IF(BetTable[Outcome2]="Lose Half Stake",BetTable[S2]/2,IF(BetTable[Outcome2]="Lose",0,IF(BetTable[Outcome2]="Void",BetTable[S2],)))))</f>
        <v>0</v>
      </c>
      <c r="AH891" s="164">
        <f>IF(BetTable[Outcome3]="Win",BetTable[WBA3-Commission],IF(BetTable[Outcome3]="Win Half Stake",(BetTable[S3]/2)+BetTable[WBA3-Commission]/2,IF(BetTable[Outcome3]="Lose Half Stake",BetTable[S3]/2,IF(BetTable[Outcome3]="Lose",0,IF(BetTable[Outcome3]="Void",BetTable[S3],)))))</f>
        <v>0</v>
      </c>
      <c r="AI891" s="168">
        <f>IF(BetTable[Outcome]="",AI890,BetTable[Result]+AI890)</f>
        <v>942.07625000000098</v>
      </c>
      <c r="AJ891" s="160"/>
    </row>
    <row r="892" spans="1:36" x14ac:dyDescent="0.2">
      <c r="A892" s="159" t="s">
        <v>2094</v>
      </c>
      <c r="B892" s="160" t="s">
        <v>7</v>
      </c>
      <c r="C892" s="161" t="s">
        <v>1714</v>
      </c>
      <c r="D892" s="161"/>
      <c r="E892" s="161"/>
      <c r="F892" s="162"/>
      <c r="G892" s="162"/>
      <c r="H892" s="162"/>
      <c r="I892" s="160" t="s">
        <v>2316</v>
      </c>
      <c r="J892" s="163">
        <v>2.02</v>
      </c>
      <c r="K892" s="163"/>
      <c r="L892" s="163"/>
      <c r="M892" s="164">
        <v>44</v>
      </c>
      <c r="N892" s="164"/>
      <c r="O892" s="164"/>
      <c r="P892" s="159" t="s">
        <v>2317</v>
      </c>
      <c r="Q892" s="159" t="s">
        <v>506</v>
      </c>
      <c r="R892" s="159" t="s">
        <v>2318</v>
      </c>
      <c r="S892" s="165">
        <v>2.9047315529027101E-2</v>
      </c>
      <c r="T892" s="166" t="s">
        <v>382</v>
      </c>
      <c r="U892" s="166"/>
      <c r="V892" s="166"/>
      <c r="W892" s="167">
        <f>IF(BetTable[Sport]="","",BetTable[Stake]+BetTable[S2]+BetTable[S3])</f>
        <v>44</v>
      </c>
      <c r="X892" s="164">
        <f>IF(BetTable[Odds]="","",(BetTable[WBA1-Commission])-BetTable[TS])</f>
        <v>44.879999999999995</v>
      </c>
      <c r="Y892" s="168">
        <f>IF(BetTable[Outcome]="","",BetTable[WBA1]+BetTable[WBA2]+BetTable[WBA3]-BetTable[TS])</f>
        <v>-44</v>
      </c>
      <c r="Z892" s="164">
        <f>(((BetTable[Odds]-1)*BetTable[Stake])*(1-(BetTable[Comm %]))+BetTable[Stake])</f>
        <v>88.88</v>
      </c>
      <c r="AA892" s="164">
        <f>(((BetTable[O2]-1)*BetTable[S2])*(1-(BetTable[C% 2]))+BetTable[S2])</f>
        <v>0</v>
      </c>
      <c r="AB892" s="164">
        <f>(((BetTable[O3]-1)*BetTable[S3])*(1-(BetTable[C% 3]))+BetTable[S3])</f>
        <v>0</v>
      </c>
      <c r="AC892" s="165">
        <f>IFERROR(IF(BetTable[Sport]="","",BetTable[R1]/BetTable[TS]),"")</f>
        <v>1.0199999999999998</v>
      </c>
      <c r="AD892" s="165" t="str">
        <f>IF(BetTable[O2]="","",#REF!/BetTable[TS])</f>
        <v/>
      </c>
      <c r="AE892" s="165" t="str">
        <f>IFERROR(IF(BetTable[Sport]="","",#REF!/BetTable[TS]),"")</f>
        <v/>
      </c>
      <c r="AF892" s="164">
        <f>IF(BetTable[Outcome]="Win",BetTable[WBA1-Commission],IF(BetTable[Outcome]="Win Half Stake",(BetTable[Stake]/2)+BetTable[WBA1-Commission]/2,IF(BetTable[Outcome]="Lose Half Stake",BetTable[Stake]/2,IF(BetTable[Outcome]="Lose",0,IF(BetTable[Outcome]="Void",BetTable[Stake],)))))</f>
        <v>0</v>
      </c>
      <c r="AG892" s="164">
        <f>IF(BetTable[Outcome2]="Win",BetTable[WBA2-Commission],IF(BetTable[Outcome2]="Win Half Stake",(BetTable[S2]/2)+BetTable[WBA2-Commission]/2,IF(BetTable[Outcome2]="Lose Half Stake",BetTable[S2]/2,IF(BetTable[Outcome2]="Lose",0,IF(BetTable[Outcome2]="Void",BetTable[S2],)))))</f>
        <v>0</v>
      </c>
      <c r="AH892" s="164">
        <f>IF(BetTable[Outcome3]="Win",BetTable[WBA3-Commission],IF(BetTable[Outcome3]="Win Half Stake",(BetTable[S3]/2)+BetTable[WBA3-Commission]/2,IF(BetTable[Outcome3]="Lose Half Stake",BetTable[S3]/2,IF(BetTable[Outcome3]="Lose",0,IF(BetTable[Outcome3]="Void",BetTable[S3],)))))</f>
        <v>0</v>
      </c>
      <c r="AI892" s="168">
        <f>IF(BetTable[Outcome]="",AI891,BetTable[Result]+AI891)</f>
        <v>898.07625000000098</v>
      </c>
      <c r="AJ892" s="160"/>
    </row>
    <row r="893" spans="1:36" x14ac:dyDescent="0.2">
      <c r="A893" s="159" t="s">
        <v>2094</v>
      </c>
      <c r="B893" s="160" t="s">
        <v>200</v>
      </c>
      <c r="C893" s="161" t="s">
        <v>1714</v>
      </c>
      <c r="D893" s="161"/>
      <c r="E893" s="161"/>
      <c r="F893" s="162"/>
      <c r="G893" s="162"/>
      <c r="H893" s="162"/>
      <c r="I893" s="160" t="s">
        <v>2319</v>
      </c>
      <c r="J893" s="163">
        <v>1.98</v>
      </c>
      <c r="K893" s="163"/>
      <c r="L893" s="163"/>
      <c r="M893" s="164">
        <v>53</v>
      </c>
      <c r="N893" s="164"/>
      <c r="O893" s="164"/>
      <c r="P893" s="159" t="s">
        <v>357</v>
      </c>
      <c r="Q893" s="159" t="s">
        <v>474</v>
      </c>
      <c r="R893" s="159" t="s">
        <v>2320</v>
      </c>
      <c r="S893" s="165">
        <v>3.3737012488254302E-2</v>
      </c>
      <c r="T893" s="166" t="s">
        <v>372</v>
      </c>
      <c r="U893" s="166"/>
      <c r="V893" s="166"/>
      <c r="W893" s="167">
        <f>IF(BetTable[Sport]="","",BetTable[Stake]+BetTable[S2]+BetTable[S3])</f>
        <v>53</v>
      </c>
      <c r="X893" s="164">
        <f>IF(BetTable[Odds]="","",(BetTable[WBA1-Commission])-BetTable[TS])</f>
        <v>51.94</v>
      </c>
      <c r="Y893" s="168">
        <f>IF(BetTable[Outcome]="","",BetTable[WBA1]+BetTable[WBA2]+BetTable[WBA3]-BetTable[TS])</f>
        <v>51.94</v>
      </c>
      <c r="Z893" s="164">
        <f>(((BetTable[Odds]-1)*BetTable[Stake])*(1-(BetTable[Comm %]))+BetTable[Stake])</f>
        <v>104.94</v>
      </c>
      <c r="AA893" s="164">
        <f>(((BetTable[O2]-1)*BetTable[S2])*(1-(BetTable[C% 2]))+BetTable[S2])</f>
        <v>0</v>
      </c>
      <c r="AB893" s="164">
        <f>(((BetTable[O3]-1)*BetTable[S3])*(1-(BetTable[C% 3]))+BetTable[S3])</f>
        <v>0</v>
      </c>
      <c r="AC893" s="165">
        <f>IFERROR(IF(BetTable[Sport]="","",BetTable[R1]/BetTable[TS]),"")</f>
        <v>0.98</v>
      </c>
      <c r="AD893" s="165" t="str">
        <f>IF(BetTable[O2]="","",#REF!/BetTable[TS])</f>
        <v/>
      </c>
      <c r="AE893" s="165" t="str">
        <f>IFERROR(IF(BetTable[Sport]="","",#REF!/BetTable[TS]),"")</f>
        <v/>
      </c>
      <c r="AF893" s="164">
        <f>IF(BetTable[Outcome]="Win",BetTable[WBA1-Commission],IF(BetTable[Outcome]="Win Half Stake",(BetTable[Stake]/2)+BetTable[WBA1-Commission]/2,IF(BetTable[Outcome]="Lose Half Stake",BetTable[Stake]/2,IF(BetTable[Outcome]="Lose",0,IF(BetTable[Outcome]="Void",BetTable[Stake],)))))</f>
        <v>104.94</v>
      </c>
      <c r="AG893" s="164">
        <f>IF(BetTable[Outcome2]="Win",BetTable[WBA2-Commission],IF(BetTable[Outcome2]="Win Half Stake",(BetTable[S2]/2)+BetTable[WBA2-Commission]/2,IF(BetTable[Outcome2]="Lose Half Stake",BetTable[S2]/2,IF(BetTable[Outcome2]="Lose",0,IF(BetTable[Outcome2]="Void",BetTable[S2],)))))</f>
        <v>0</v>
      </c>
      <c r="AH893" s="164">
        <f>IF(BetTable[Outcome3]="Win",BetTable[WBA3-Commission],IF(BetTable[Outcome3]="Win Half Stake",(BetTable[S3]/2)+BetTable[WBA3-Commission]/2,IF(BetTable[Outcome3]="Lose Half Stake",BetTable[S3]/2,IF(BetTable[Outcome3]="Lose",0,IF(BetTable[Outcome3]="Void",BetTable[S3],)))))</f>
        <v>0</v>
      </c>
      <c r="AI893" s="168">
        <f>IF(BetTable[Outcome]="",AI892,BetTable[Result]+AI892)</f>
        <v>950.01625000000104</v>
      </c>
      <c r="AJ893" s="160"/>
    </row>
    <row r="894" spans="1:36" x14ac:dyDescent="0.2">
      <c r="A894" s="159" t="s">
        <v>2094</v>
      </c>
      <c r="B894" s="160" t="s">
        <v>200</v>
      </c>
      <c r="C894" s="161" t="s">
        <v>1714</v>
      </c>
      <c r="D894" s="161"/>
      <c r="E894" s="161"/>
      <c r="F894" s="162"/>
      <c r="G894" s="162"/>
      <c r="H894" s="162"/>
      <c r="I894" s="160" t="s">
        <v>2321</v>
      </c>
      <c r="J894" s="163">
        <v>1.88</v>
      </c>
      <c r="K894" s="163"/>
      <c r="L894" s="163"/>
      <c r="M894" s="164">
        <v>42</v>
      </c>
      <c r="N894" s="164"/>
      <c r="O894" s="164"/>
      <c r="P894" s="159" t="s">
        <v>351</v>
      </c>
      <c r="Q894" s="159" t="s">
        <v>581</v>
      </c>
      <c r="R894" s="159" t="s">
        <v>2322</v>
      </c>
      <c r="S894" s="165">
        <v>2.3685531209030102E-2</v>
      </c>
      <c r="T894" s="166" t="s">
        <v>549</v>
      </c>
      <c r="U894" s="166"/>
      <c r="V894" s="166"/>
      <c r="W894" s="167">
        <f>IF(BetTable[Sport]="","",BetTable[Stake]+BetTable[S2]+BetTable[S3])</f>
        <v>42</v>
      </c>
      <c r="X894" s="164">
        <f>IF(BetTable[Odds]="","",(BetTable[WBA1-Commission])-BetTable[TS])</f>
        <v>36.959999999999994</v>
      </c>
      <c r="Y894" s="168">
        <f>IF(BetTable[Outcome]="","",BetTable[WBA1]+BetTable[WBA2]+BetTable[WBA3]-BetTable[TS])</f>
        <v>-21</v>
      </c>
      <c r="Z894" s="164">
        <f>(((BetTable[Odds]-1)*BetTable[Stake])*(1-(BetTable[Comm %]))+BetTable[Stake])</f>
        <v>78.959999999999994</v>
      </c>
      <c r="AA894" s="164">
        <f>(((BetTable[O2]-1)*BetTable[S2])*(1-(BetTable[C% 2]))+BetTable[S2])</f>
        <v>0</v>
      </c>
      <c r="AB894" s="164">
        <f>(((BetTable[O3]-1)*BetTable[S3])*(1-(BetTable[C% 3]))+BetTable[S3])</f>
        <v>0</v>
      </c>
      <c r="AC894" s="165">
        <f>IFERROR(IF(BetTable[Sport]="","",BetTable[R1]/BetTable[TS]),"")</f>
        <v>0.87999999999999989</v>
      </c>
      <c r="AD894" s="165" t="str">
        <f>IF(BetTable[O2]="","",#REF!/BetTable[TS])</f>
        <v/>
      </c>
      <c r="AE894" s="165" t="str">
        <f>IFERROR(IF(BetTable[Sport]="","",#REF!/BetTable[TS]),"")</f>
        <v/>
      </c>
      <c r="AF894" s="164">
        <f>IF(BetTable[Outcome]="Win",BetTable[WBA1-Commission],IF(BetTable[Outcome]="Win Half Stake",(BetTable[Stake]/2)+BetTable[WBA1-Commission]/2,IF(BetTable[Outcome]="Lose Half Stake",BetTable[Stake]/2,IF(BetTable[Outcome]="Lose",0,IF(BetTable[Outcome]="Void",BetTable[Stake],)))))</f>
        <v>21</v>
      </c>
      <c r="AG894" s="164">
        <f>IF(BetTable[Outcome2]="Win",BetTable[WBA2-Commission],IF(BetTable[Outcome2]="Win Half Stake",(BetTable[S2]/2)+BetTable[WBA2-Commission]/2,IF(BetTable[Outcome2]="Lose Half Stake",BetTable[S2]/2,IF(BetTable[Outcome2]="Lose",0,IF(BetTable[Outcome2]="Void",BetTable[S2],)))))</f>
        <v>0</v>
      </c>
      <c r="AH894" s="164">
        <f>IF(BetTable[Outcome3]="Win",BetTable[WBA3-Commission],IF(BetTable[Outcome3]="Win Half Stake",(BetTable[S3]/2)+BetTable[WBA3-Commission]/2,IF(BetTable[Outcome3]="Lose Half Stake",BetTable[S3]/2,IF(BetTable[Outcome3]="Lose",0,IF(BetTable[Outcome3]="Void",BetTable[S3],)))))</f>
        <v>0</v>
      </c>
      <c r="AI894" s="168">
        <f>IF(BetTable[Outcome]="",AI893,BetTable[Result]+AI893)</f>
        <v>929.01625000000104</v>
      </c>
      <c r="AJ894" s="160"/>
    </row>
    <row r="895" spans="1:36" x14ac:dyDescent="0.2">
      <c r="A895" s="159" t="s">
        <v>2094</v>
      </c>
      <c r="B895" s="160" t="s">
        <v>201</v>
      </c>
      <c r="C895" s="161" t="s">
        <v>91</v>
      </c>
      <c r="D895" s="161"/>
      <c r="E895" s="161"/>
      <c r="F895" s="162"/>
      <c r="G895" s="162"/>
      <c r="H895" s="162"/>
      <c r="I895" s="160" t="s">
        <v>2323</v>
      </c>
      <c r="J895" s="163">
        <v>1.96</v>
      </c>
      <c r="K895" s="163"/>
      <c r="L895" s="163"/>
      <c r="M895" s="164">
        <v>27</v>
      </c>
      <c r="N895" s="164"/>
      <c r="O895" s="164"/>
      <c r="P895" s="159" t="s">
        <v>1286</v>
      </c>
      <c r="Q895" s="159" t="s">
        <v>560</v>
      </c>
      <c r="R895" s="159" t="s">
        <v>2324</v>
      </c>
      <c r="S895" s="165">
        <v>1.66225165192826E-2</v>
      </c>
      <c r="T895" s="166" t="s">
        <v>372</v>
      </c>
      <c r="U895" s="166"/>
      <c r="V895" s="166"/>
      <c r="W895" s="167">
        <f>IF(BetTable[Sport]="","",BetTable[Stake]+BetTable[S2]+BetTable[S3])</f>
        <v>27</v>
      </c>
      <c r="X895" s="164">
        <f>IF(BetTable[Odds]="","",(BetTable[WBA1-Commission])-BetTable[TS])</f>
        <v>25.92</v>
      </c>
      <c r="Y895" s="168">
        <f>IF(BetTable[Outcome]="","",BetTable[WBA1]+BetTable[WBA2]+BetTable[WBA3]-BetTable[TS])</f>
        <v>25.92</v>
      </c>
      <c r="Z895" s="164">
        <f>(((BetTable[Odds]-1)*BetTable[Stake])*(1-(BetTable[Comm %]))+BetTable[Stake])</f>
        <v>52.92</v>
      </c>
      <c r="AA895" s="164">
        <f>(((BetTable[O2]-1)*BetTable[S2])*(1-(BetTable[C% 2]))+BetTable[S2])</f>
        <v>0</v>
      </c>
      <c r="AB895" s="164">
        <f>(((BetTable[O3]-1)*BetTable[S3])*(1-(BetTable[C% 3]))+BetTable[S3])</f>
        <v>0</v>
      </c>
      <c r="AC895" s="165">
        <f>IFERROR(IF(BetTable[Sport]="","",BetTable[R1]/BetTable[TS]),"")</f>
        <v>0.96000000000000008</v>
      </c>
      <c r="AD895" s="165" t="str">
        <f>IF(BetTable[O2]="","",#REF!/BetTable[TS])</f>
        <v/>
      </c>
      <c r="AE895" s="165" t="str">
        <f>IFERROR(IF(BetTable[Sport]="","",#REF!/BetTable[TS]),"")</f>
        <v/>
      </c>
      <c r="AF895" s="164">
        <f>IF(BetTable[Outcome]="Win",BetTable[WBA1-Commission],IF(BetTable[Outcome]="Win Half Stake",(BetTable[Stake]/2)+BetTable[WBA1-Commission]/2,IF(BetTable[Outcome]="Lose Half Stake",BetTable[Stake]/2,IF(BetTable[Outcome]="Lose",0,IF(BetTable[Outcome]="Void",BetTable[Stake],)))))</f>
        <v>52.92</v>
      </c>
      <c r="AG895" s="164">
        <f>IF(BetTable[Outcome2]="Win",BetTable[WBA2-Commission],IF(BetTable[Outcome2]="Win Half Stake",(BetTable[S2]/2)+BetTable[WBA2-Commission]/2,IF(BetTable[Outcome2]="Lose Half Stake",BetTable[S2]/2,IF(BetTable[Outcome2]="Lose",0,IF(BetTable[Outcome2]="Void",BetTable[S2],)))))</f>
        <v>0</v>
      </c>
      <c r="AH895" s="164">
        <f>IF(BetTable[Outcome3]="Win",BetTable[WBA3-Commission],IF(BetTable[Outcome3]="Win Half Stake",(BetTable[S3]/2)+BetTable[WBA3-Commission]/2,IF(BetTable[Outcome3]="Lose Half Stake",BetTable[S3]/2,IF(BetTable[Outcome3]="Lose",0,IF(BetTable[Outcome3]="Void",BetTable[S3],)))))</f>
        <v>0</v>
      </c>
      <c r="AI895" s="168">
        <f>IF(BetTable[Outcome]="",AI894,BetTable[Result]+AI894)</f>
        <v>954.936250000001</v>
      </c>
      <c r="AJ895" s="160"/>
    </row>
    <row r="896" spans="1:36" x14ac:dyDescent="0.2">
      <c r="A896" s="159" t="s">
        <v>2094</v>
      </c>
      <c r="B896" s="160" t="s">
        <v>7</v>
      </c>
      <c r="C896" s="161" t="s">
        <v>91</v>
      </c>
      <c r="D896" s="161"/>
      <c r="E896" s="161"/>
      <c r="F896" s="162"/>
      <c r="G896" s="162"/>
      <c r="H896" s="162"/>
      <c r="I896" s="160" t="s">
        <v>2325</v>
      </c>
      <c r="J896" s="163">
        <v>1.92</v>
      </c>
      <c r="K896" s="163"/>
      <c r="L896" s="163"/>
      <c r="M896" s="164">
        <v>36</v>
      </c>
      <c r="N896" s="164"/>
      <c r="O896" s="164"/>
      <c r="P896" s="159" t="s">
        <v>2326</v>
      </c>
      <c r="Q896" s="159" t="s">
        <v>632</v>
      </c>
      <c r="R896" s="159" t="s">
        <v>2327</v>
      </c>
      <c r="S896" s="165">
        <v>2.1213497403119199E-2</v>
      </c>
      <c r="T896" s="166" t="s">
        <v>372</v>
      </c>
      <c r="U896" s="166"/>
      <c r="V896" s="166"/>
      <c r="W896" s="167">
        <f>IF(BetTable[Sport]="","",BetTable[Stake]+BetTable[S2]+BetTable[S3])</f>
        <v>36</v>
      </c>
      <c r="X896" s="164">
        <f>IF(BetTable[Odds]="","",(BetTable[WBA1-Commission])-BetTable[TS])</f>
        <v>33.120000000000005</v>
      </c>
      <c r="Y896" s="168">
        <f>IF(BetTable[Outcome]="","",BetTable[WBA1]+BetTable[WBA2]+BetTable[WBA3]-BetTable[TS])</f>
        <v>33.120000000000005</v>
      </c>
      <c r="Z896" s="164">
        <f>(((BetTable[Odds]-1)*BetTable[Stake])*(1-(BetTable[Comm %]))+BetTable[Stake])</f>
        <v>69.12</v>
      </c>
      <c r="AA896" s="164">
        <f>(((BetTable[O2]-1)*BetTable[S2])*(1-(BetTable[C% 2]))+BetTable[S2])</f>
        <v>0</v>
      </c>
      <c r="AB896" s="164">
        <f>(((BetTable[O3]-1)*BetTable[S3])*(1-(BetTable[C% 3]))+BetTable[S3])</f>
        <v>0</v>
      </c>
      <c r="AC896" s="165">
        <f>IFERROR(IF(BetTable[Sport]="","",BetTable[R1]/BetTable[TS]),"")</f>
        <v>0.92000000000000015</v>
      </c>
      <c r="AD896" s="165" t="str">
        <f>IF(BetTable[O2]="","",#REF!/BetTable[TS])</f>
        <v/>
      </c>
      <c r="AE896" s="165" t="str">
        <f>IFERROR(IF(BetTable[Sport]="","",#REF!/BetTable[TS]),"")</f>
        <v/>
      </c>
      <c r="AF896" s="164">
        <f>IF(BetTable[Outcome]="Win",BetTable[WBA1-Commission],IF(BetTable[Outcome]="Win Half Stake",(BetTable[Stake]/2)+BetTable[WBA1-Commission]/2,IF(BetTable[Outcome]="Lose Half Stake",BetTable[Stake]/2,IF(BetTable[Outcome]="Lose",0,IF(BetTable[Outcome]="Void",BetTable[Stake],)))))</f>
        <v>69.12</v>
      </c>
      <c r="AG896" s="164">
        <f>IF(BetTable[Outcome2]="Win",BetTable[WBA2-Commission],IF(BetTable[Outcome2]="Win Half Stake",(BetTable[S2]/2)+BetTable[WBA2-Commission]/2,IF(BetTable[Outcome2]="Lose Half Stake",BetTable[S2]/2,IF(BetTable[Outcome2]="Lose",0,IF(BetTable[Outcome2]="Void",BetTable[S2],)))))</f>
        <v>0</v>
      </c>
      <c r="AH896" s="164">
        <f>IF(BetTable[Outcome3]="Win",BetTable[WBA3-Commission],IF(BetTable[Outcome3]="Win Half Stake",(BetTable[S3]/2)+BetTable[WBA3-Commission]/2,IF(BetTable[Outcome3]="Lose Half Stake",BetTable[S3]/2,IF(BetTable[Outcome3]="Lose",0,IF(BetTable[Outcome3]="Void",BetTable[S3],)))))</f>
        <v>0</v>
      </c>
      <c r="AI896" s="168">
        <f>IF(BetTable[Outcome]="",AI895,BetTable[Result]+AI895)</f>
        <v>988.056250000001</v>
      </c>
      <c r="AJ896" s="160"/>
    </row>
    <row r="897" spans="1:36" x14ac:dyDescent="0.2">
      <c r="A897" s="159" t="s">
        <v>2094</v>
      </c>
      <c r="B897" s="160" t="s">
        <v>200</v>
      </c>
      <c r="C897" s="161" t="s">
        <v>1714</v>
      </c>
      <c r="D897" s="161"/>
      <c r="E897" s="161"/>
      <c r="F897" s="162"/>
      <c r="G897" s="162"/>
      <c r="H897" s="162"/>
      <c r="I897" s="160" t="s">
        <v>2328</v>
      </c>
      <c r="J897" s="163">
        <v>2.13</v>
      </c>
      <c r="K897" s="163"/>
      <c r="L897" s="163"/>
      <c r="M897" s="164">
        <v>23</v>
      </c>
      <c r="N897" s="164"/>
      <c r="O897" s="164"/>
      <c r="P897" s="159" t="s">
        <v>351</v>
      </c>
      <c r="Q897" s="159" t="s">
        <v>1132</v>
      </c>
      <c r="R897" s="159" t="s">
        <v>2329</v>
      </c>
      <c r="S897" s="165">
        <v>1.7050627281107001E-2</v>
      </c>
      <c r="T897" s="166" t="s">
        <v>382</v>
      </c>
      <c r="U897" s="166"/>
      <c r="V897" s="166"/>
      <c r="W897" s="167">
        <f>IF(BetTable[Sport]="","",BetTable[Stake]+BetTable[S2]+BetTable[S3])</f>
        <v>23</v>
      </c>
      <c r="X897" s="164">
        <f>IF(BetTable[Odds]="","",(BetTable[WBA1-Commission])-BetTable[TS])</f>
        <v>25.989999999999995</v>
      </c>
      <c r="Y897" s="168">
        <f>IF(BetTable[Outcome]="","",BetTable[WBA1]+BetTable[WBA2]+BetTable[WBA3]-BetTable[TS])</f>
        <v>-23</v>
      </c>
      <c r="Z897" s="164">
        <f>(((BetTable[Odds]-1)*BetTable[Stake])*(1-(BetTable[Comm %]))+BetTable[Stake])</f>
        <v>48.989999999999995</v>
      </c>
      <c r="AA897" s="164">
        <f>(((BetTable[O2]-1)*BetTable[S2])*(1-(BetTable[C% 2]))+BetTable[S2])</f>
        <v>0</v>
      </c>
      <c r="AB897" s="164">
        <f>(((BetTable[O3]-1)*BetTable[S3])*(1-(BetTable[C% 3]))+BetTable[S3])</f>
        <v>0</v>
      </c>
      <c r="AC897" s="165">
        <f>IFERROR(IF(BetTable[Sport]="","",BetTable[R1]/BetTable[TS]),"")</f>
        <v>1.1299999999999997</v>
      </c>
      <c r="AD897" s="165" t="str">
        <f>IF(BetTable[O2]="","",#REF!/BetTable[TS])</f>
        <v/>
      </c>
      <c r="AE897" s="165" t="str">
        <f>IFERROR(IF(BetTable[Sport]="","",#REF!/BetTable[TS]),"")</f>
        <v/>
      </c>
      <c r="AF897" s="164">
        <f>IF(BetTable[Outcome]="Win",BetTable[WBA1-Commission],IF(BetTable[Outcome]="Win Half Stake",(BetTable[Stake]/2)+BetTable[WBA1-Commission]/2,IF(BetTable[Outcome]="Lose Half Stake",BetTable[Stake]/2,IF(BetTable[Outcome]="Lose",0,IF(BetTable[Outcome]="Void",BetTable[Stake],)))))</f>
        <v>0</v>
      </c>
      <c r="AG897" s="164">
        <f>IF(BetTable[Outcome2]="Win",BetTable[WBA2-Commission],IF(BetTable[Outcome2]="Win Half Stake",(BetTable[S2]/2)+BetTable[WBA2-Commission]/2,IF(BetTable[Outcome2]="Lose Half Stake",BetTable[S2]/2,IF(BetTable[Outcome2]="Lose",0,IF(BetTable[Outcome2]="Void",BetTable[S2],)))))</f>
        <v>0</v>
      </c>
      <c r="AH897" s="164">
        <f>IF(BetTable[Outcome3]="Win",BetTable[WBA3-Commission],IF(BetTable[Outcome3]="Win Half Stake",(BetTable[S3]/2)+BetTable[WBA3-Commission]/2,IF(BetTable[Outcome3]="Lose Half Stake",BetTable[S3]/2,IF(BetTable[Outcome3]="Lose",0,IF(BetTable[Outcome3]="Void",BetTable[S3],)))))</f>
        <v>0</v>
      </c>
      <c r="AI897" s="168">
        <f>IF(BetTable[Outcome]="",AI896,BetTable[Result]+AI896)</f>
        <v>965.056250000001</v>
      </c>
      <c r="AJ897" s="160"/>
    </row>
    <row r="898" spans="1:36" x14ac:dyDescent="0.2">
      <c r="A898" s="159" t="s">
        <v>2094</v>
      </c>
      <c r="B898" s="160" t="s">
        <v>200</v>
      </c>
      <c r="C898" s="161" t="s">
        <v>1714</v>
      </c>
      <c r="D898" s="161"/>
      <c r="E898" s="161"/>
      <c r="F898" s="162"/>
      <c r="G898" s="162"/>
      <c r="H898" s="162"/>
      <c r="I898" s="160" t="s">
        <v>2330</v>
      </c>
      <c r="J898" s="163">
        <v>3.65</v>
      </c>
      <c r="K898" s="163"/>
      <c r="L898" s="163"/>
      <c r="M898" s="164">
        <v>17</v>
      </c>
      <c r="N898" s="164"/>
      <c r="O898" s="164"/>
      <c r="P898" s="159" t="s">
        <v>494</v>
      </c>
      <c r="Q898" s="159" t="s">
        <v>503</v>
      </c>
      <c r="R898" s="159" t="s">
        <v>2331</v>
      </c>
      <c r="S898" s="165">
        <v>2.9467478845845999E-2</v>
      </c>
      <c r="T898" s="166" t="s">
        <v>372</v>
      </c>
      <c r="U898" s="166"/>
      <c r="V898" s="166"/>
      <c r="W898" s="167">
        <f>IF(BetTable[Sport]="","",BetTable[Stake]+BetTable[S2]+BetTable[S3])</f>
        <v>17</v>
      </c>
      <c r="X898" s="164">
        <f>IF(BetTable[Odds]="","",(BetTable[WBA1-Commission])-BetTable[TS])</f>
        <v>45.05</v>
      </c>
      <c r="Y898" s="168">
        <f>IF(BetTable[Outcome]="","",BetTable[WBA1]+BetTable[WBA2]+BetTable[WBA3]-BetTable[TS])</f>
        <v>45.05</v>
      </c>
      <c r="Z898" s="164">
        <f>(((BetTable[Odds]-1)*BetTable[Stake])*(1-(BetTable[Comm %]))+BetTable[Stake])</f>
        <v>62.05</v>
      </c>
      <c r="AA898" s="164">
        <f>(((BetTable[O2]-1)*BetTable[S2])*(1-(BetTable[C% 2]))+BetTable[S2])</f>
        <v>0</v>
      </c>
      <c r="AB898" s="164">
        <f>(((BetTable[O3]-1)*BetTable[S3])*(1-(BetTable[C% 3]))+BetTable[S3])</f>
        <v>0</v>
      </c>
      <c r="AC898" s="165">
        <f>IFERROR(IF(BetTable[Sport]="","",BetTable[R1]/BetTable[TS]),"")</f>
        <v>2.65</v>
      </c>
      <c r="AD898" s="165" t="str">
        <f>IF(BetTable[O2]="","",#REF!/BetTable[TS])</f>
        <v/>
      </c>
      <c r="AE898" s="165" t="str">
        <f>IFERROR(IF(BetTable[Sport]="","",#REF!/BetTable[TS]),"")</f>
        <v/>
      </c>
      <c r="AF898" s="164">
        <f>IF(BetTable[Outcome]="Win",BetTable[WBA1-Commission],IF(BetTable[Outcome]="Win Half Stake",(BetTable[Stake]/2)+BetTable[WBA1-Commission]/2,IF(BetTable[Outcome]="Lose Half Stake",BetTable[Stake]/2,IF(BetTable[Outcome]="Lose",0,IF(BetTable[Outcome]="Void",BetTable[Stake],)))))</f>
        <v>62.05</v>
      </c>
      <c r="AG898" s="164">
        <f>IF(BetTable[Outcome2]="Win",BetTable[WBA2-Commission],IF(BetTable[Outcome2]="Win Half Stake",(BetTable[S2]/2)+BetTable[WBA2-Commission]/2,IF(BetTable[Outcome2]="Lose Half Stake",BetTable[S2]/2,IF(BetTable[Outcome2]="Lose",0,IF(BetTable[Outcome2]="Void",BetTable[S2],)))))</f>
        <v>0</v>
      </c>
      <c r="AH898" s="164">
        <f>IF(BetTable[Outcome3]="Win",BetTable[WBA3-Commission],IF(BetTable[Outcome3]="Win Half Stake",(BetTable[S3]/2)+BetTable[WBA3-Commission]/2,IF(BetTable[Outcome3]="Lose Half Stake",BetTable[S3]/2,IF(BetTable[Outcome3]="Lose",0,IF(BetTable[Outcome3]="Void",BetTable[S3],)))))</f>
        <v>0</v>
      </c>
      <c r="AI898" s="168">
        <f>IF(BetTable[Outcome]="",AI897,BetTable[Result]+AI897)</f>
        <v>1010.106250000001</v>
      </c>
      <c r="AJ898" s="160"/>
    </row>
    <row r="899" spans="1:36" x14ac:dyDescent="0.2">
      <c r="A899" s="159" t="s">
        <v>2094</v>
      </c>
      <c r="B899" s="160" t="s">
        <v>200</v>
      </c>
      <c r="C899" s="161" t="s">
        <v>1714</v>
      </c>
      <c r="D899" s="161"/>
      <c r="E899" s="161"/>
      <c r="F899" s="162"/>
      <c r="G899" s="162"/>
      <c r="H899" s="162"/>
      <c r="I899" s="160" t="s">
        <v>2332</v>
      </c>
      <c r="J899" s="163">
        <v>1.93</v>
      </c>
      <c r="K899" s="163"/>
      <c r="L899" s="163"/>
      <c r="M899" s="164">
        <v>32</v>
      </c>
      <c r="N899" s="164"/>
      <c r="O899" s="164"/>
      <c r="P899" s="159" t="s">
        <v>688</v>
      </c>
      <c r="Q899" s="159" t="s">
        <v>1101</v>
      </c>
      <c r="R899" s="159" t="s">
        <v>2333</v>
      </c>
      <c r="S899" s="165">
        <v>1.9097403045389101E-2</v>
      </c>
      <c r="T899" s="166" t="s">
        <v>372</v>
      </c>
      <c r="U899" s="166"/>
      <c r="V899" s="166"/>
      <c r="W899" s="167">
        <f>IF(BetTable[Sport]="","",BetTable[Stake]+BetTable[S2]+BetTable[S3])</f>
        <v>32</v>
      </c>
      <c r="X899" s="164">
        <f>IF(BetTable[Odds]="","",(BetTable[WBA1-Commission])-BetTable[TS])</f>
        <v>29.759999999999998</v>
      </c>
      <c r="Y899" s="168">
        <f>IF(BetTable[Outcome]="","",BetTable[WBA1]+BetTable[WBA2]+BetTable[WBA3]-BetTable[TS])</f>
        <v>29.759999999999998</v>
      </c>
      <c r="Z899" s="164">
        <f>(((BetTable[Odds]-1)*BetTable[Stake])*(1-(BetTable[Comm %]))+BetTable[Stake])</f>
        <v>61.76</v>
      </c>
      <c r="AA899" s="164">
        <f>(((BetTable[O2]-1)*BetTable[S2])*(1-(BetTable[C% 2]))+BetTable[S2])</f>
        <v>0</v>
      </c>
      <c r="AB899" s="164">
        <f>(((BetTable[O3]-1)*BetTable[S3])*(1-(BetTable[C% 3]))+BetTable[S3])</f>
        <v>0</v>
      </c>
      <c r="AC899" s="165">
        <f>IFERROR(IF(BetTable[Sport]="","",BetTable[R1]/BetTable[TS]),"")</f>
        <v>0.92999999999999994</v>
      </c>
      <c r="AD899" s="165" t="str">
        <f>IF(BetTable[O2]="","",#REF!/BetTable[TS])</f>
        <v/>
      </c>
      <c r="AE899" s="165" t="str">
        <f>IFERROR(IF(BetTable[Sport]="","",#REF!/BetTable[TS]),"")</f>
        <v/>
      </c>
      <c r="AF899" s="164">
        <f>IF(BetTable[Outcome]="Win",BetTable[WBA1-Commission],IF(BetTable[Outcome]="Win Half Stake",(BetTable[Stake]/2)+BetTable[WBA1-Commission]/2,IF(BetTable[Outcome]="Lose Half Stake",BetTable[Stake]/2,IF(BetTable[Outcome]="Lose",0,IF(BetTable[Outcome]="Void",BetTable[Stake],)))))</f>
        <v>61.76</v>
      </c>
      <c r="AG899" s="164">
        <f>IF(BetTable[Outcome2]="Win",BetTable[WBA2-Commission],IF(BetTable[Outcome2]="Win Half Stake",(BetTable[S2]/2)+BetTable[WBA2-Commission]/2,IF(BetTable[Outcome2]="Lose Half Stake",BetTable[S2]/2,IF(BetTable[Outcome2]="Lose",0,IF(BetTable[Outcome2]="Void",BetTable[S2],)))))</f>
        <v>0</v>
      </c>
      <c r="AH899" s="164">
        <f>IF(BetTable[Outcome3]="Win",BetTable[WBA3-Commission],IF(BetTable[Outcome3]="Win Half Stake",(BetTable[S3]/2)+BetTable[WBA3-Commission]/2,IF(BetTable[Outcome3]="Lose Half Stake",BetTable[S3]/2,IF(BetTable[Outcome3]="Lose",0,IF(BetTable[Outcome3]="Void",BetTable[S3],)))))</f>
        <v>0</v>
      </c>
      <c r="AI899" s="168">
        <f>IF(BetTable[Outcome]="",AI898,BetTable[Result]+AI898)</f>
        <v>1039.8662500000009</v>
      </c>
      <c r="AJ899" s="160"/>
    </row>
    <row r="900" spans="1:36" x14ac:dyDescent="0.2">
      <c r="A900" s="159" t="s">
        <v>2094</v>
      </c>
      <c r="B900" s="160" t="s">
        <v>201</v>
      </c>
      <c r="C900" s="161" t="s">
        <v>216</v>
      </c>
      <c r="D900" s="161"/>
      <c r="E900" s="161"/>
      <c r="F900" s="162"/>
      <c r="G900" s="162"/>
      <c r="H900" s="162"/>
      <c r="I900" s="160" t="s">
        <v>2334</v>
      </c>
      <c r="J900" s="163">
        <v>1.952</v>
      </c>
      <c r="K900" s="163"/>
      <c r="L900" s="163"/>
      <c r="M900" s="164">
        <v>46</v>
      </c>
      <c r="N900" s="164"/>
      <c r="O900" s="164"/>
      <c r="P900" s="159" t="s">
        <v>2044</v>
      </c>
      <c r="Q900" s="159" t="s">
        <v>474</v>
      </c>
      <c r="R900" s="159" t="s">
        <v>2335</v>
      </c>
      <c r="S900" s="165">
        <v>2.79054130449467E-2</v>
      </c>
      <c r="T900" s="166" t="s">
        <v>372</v>
      </c>
      <c r="U900" s="166"/>
      <c r="V900" s="166"/>
      <c r="W900" s="167">
        <f>IF(BetTable[Sport]="","",BetTable[Stake]+BetTable[S2]+BetTable[S3])</f>
        <v>46</v>
      </c>
      <c r="X900" s="164">
        <f>IF(BetTable[Odds]="","",(BetTable[WBA1-Commission])-BetTable[TS])</f>
        <v>43.792000000000002</v>
      </c>
      <c r="Y900" s="168">
        <f>IF(BetTable[Outcome]="","",BetTable[WBA1]+BetTable[WBA2]+BetTable[WBA3]-BetTable[TS])</f>
        <v>43.792000000000002</v>
      </c>
      <c r="Z900" s="164">
        <f>(((BetTable[Odds]-1)*BetTable[Stake])*(1-(BetTable[Comm %]))+BetTable[Stake])</f>
        <v>89.792000000000002</v>
      </c>
      <c r="AA900" s="164">
        <f>(((BetTable[O2]-1)*BetTable[S2])*(1-(BetTable[C% 2]))+BetTable[S2])</f>
        <v>0</v>
      </c>
      <c r="AB900" s="164">
        <f>(((BetTable[O3]-1)*BetTable[S3])*(1-(BetTable[C% 3]))+BetTable[S3])</f>
        <v>0</v>
      </c>
      <c r="AC900" s="165">
        <f>IFERROR(IF(BetTable[Sport]="","",BetTable[R1]/BetTable[TS]),"")</f>
        <v>0.95200000000000007</v>
      </c>
      <c r="AD900" s="165" t="str">
        <f>IF(BetTable[O2]="","",#REF!/BetTable[TS])</f>
        <v/>
      </c>
      <c r="AE900" s="165" t="str">
        <f>IFERROR(IF(BetTable[Sport]="","",#REF!/BetTable[TS]),"")</f>
        <v/>
      </c>
      <c r="AF900" s="164">
        <f>IF(BetTable[Outcome]="Win",BetTable[WBA1-Commission],IF(BetTable[Outcome]="Win Half Stake",(BetTable[Stake]/2)+BetTable[WBA1-Commission]/2,IF(BetTable[Outcome]="Lose Half Stake",BetTable[Stake]/2,IF(BetTable[Outcome]="Lose",0,IF(BetTable[Outcome]="Void",BetTable[Stake],)))))</f>
        <v>89.792000000000002</v>
      </c>
      <c r="AG900" s="164">
        <f>IF(BetTable[Outcome2]="Win",BetTable[WBA2-Commission],IF(BetTable[Outcome2]="Win Half Stake",(BetTable[S2]/2)+BetTable[WBA2-Commission]/2,IF(BetTable[Outcome2]="Lose Half Stake",BetTable[S2]/2,IF(BetTable[Outcome2]="Lose",0,IF(BetTable[Outcome2]="Void",BetTable[S2],)))))</f>
        <v>0</v>
      </c>
      <c r="AH900" s="164">
        <f>IF(BetTable[Outcome3]="Win",BetTable[WBA3-Commission],IF(BetTable[Outcome3]="Win Half Stake",(BetTable[S3]/2)+BetTable[WBA3-Commission]/2,IF(BetTable[Outcome3]="Lose Half Stake",BetTable[S3]/2,IF(BetTable[Outcome3]="Lose",0,IF(BetTable[Outcome3]="Void",BetTable[S3],)))))</f>
        <v>0</v>
      </c>
      <c r="AI900" s="168">
        <f>IF(BetTable[Outcome]="",AI899,BetTable[Result]+AI899)</f>
        <v>1083.6582500000009</v>
      </c>
      <c r="AJ900" s="160"/>
    </row>
    <row r="901" spans="1:36" x14ac:dyDescent="0.2">
      <c r="A901" s="159" t="s">
        <v>2094</v>
      </c>
      <c r="B901" s="160" t="s">
        <v>7</v>
      </c>
      <c r="C901" s="161" t="s">
        <v>91</v>
      </c>
      <c r="D901" s="161"/>
      <c r="E901" s="161"/>
      <c r="F901" s="162"/>
      <c r="G901" s="162"/>
      <c r="H901" s="162"/>
      <c r="I901" s="160" t="s">
        <v>2336</v>
      </c>
      <c r="J901" s="163">
        <v>1.88</v>
      </c>
      <c r="K901" s="163"/>
      <c r="L901" s="163"/>
      <c r="M901" s="164">
        <v>39</v>
      </c>
      <c r="N901" s="164"/>
      <c r="O901" s="164"/>
      <c r="P901" s="159" t="s">
        <v>1627</v>
      </c>
      <c r="Q901" s="159" t="s">
        <v>779</v>
      </c>
      <c r="R901" s="159" t="s">
        <v>2337</v>
      </c>
      <c r="S901" s="165">
        <v>2.19017360717122E-2</v>
      </c>
      <c r="T901" s="166" t="s">
        <v>372</v>
      </c>
      <c r="U901" s="166"/>
      <c r="V901" s="166"/>
      <c r="W901" s="167">
        <f>IF(BetTable[Sport]="","",BetTable[Stake]+BetTable[S2]+BetTable[S3])</f>
        <v>39</v>
      </c>
      <c r="X901" s="164">
        <f>IF(BetTable[Odds]="","",(BetTable[WBA1-Commission])-BetTable[TS])</f>
        <v>34.319999999999993</v>
      </c>
      <c r="Y901" s="168">
        <f>IF(BetTable[Outcome]="","",BetTable[WBA1]+BetTable[WBA2]+BetTable[WBA3]-BetTable[TS])</f>
        <v>34.319999999999993</v>
      </c>
      <c r="Z901" s="164">
        <f>(((BetTable[Odds]-1)*BetTable[Stake])*(1-(BetTable[Comm %]))+BetTable[Stake])</f>
        <v>73.319999999999993</v>
      </c>
      <c r="AA901" s="164">
        <f>(((BetTable[O2]-1)*BetTable[S2])*(1-(BetTable[C% 2]))+BetTable[S2])</f>
        <v>0</v>
      </c>
      <c r="AB901" s="164">
        <f>(((BetTable[O3]-1)*BetTable[S3])*(1-(BetTable[C% 3]))+BetTable[S3])</f>
        <v>0</v>
      </c>
      <c r="AC901" s="165">
        <f>IFERROR(IF(BetTable[Sport]="","",BetTable[R1]/BetTable[TS]),"")</f>
        <v>0.87999999999999978</v>
      </c>
      <c r="AD901" s="165" t="str">
        <f>IF(BetTable[O2]="","",#REF!/BetTable[TS])</f>
        <v/>
      </c>
      <c r="AE901" s="165" t="str">
        <f>IFERROR(IF(BetTable[Sport]="","",#REF!/BetTable[TS]),"")</f>
        <v/>
      </c>
      <c r="AF901" s="164">
        <f>IF(BetTable[Outcome]="Win",BetTable[WBA1-Commission],IF(BetTable[Outcome]="Win Half Stake",(BetTable[Stake]/2)+BetTable[WBA1-Commission]/2,IF(BetTable[Outcome]="Lose Half Stake",BetTable[Stake]/2,IF(BetTable[Outcome]="Lose",0,IF(BetTable[Outcome]="Void",BetTable[Stake],)))))</f>
        <v>73.319999999999993</v>
      </c>
      <c r="AG901" s="164">
        <f>IF(BetTable[Outcome2]="Win",BetTable[WBA2-Commission],IF(BetTable[Outcome2]="Win Half Stake",(BetTable[S2]/2)+BetTable[WBA2-Commission]/2,IF(BetTable[Outcome2]="Lose Half Stake",BetTable[S2]/2,IF(BetTable[Outcome2]="Lose",0,IF(BetTable[Outcome2]="Void",BetTable[S2],)))))</f>
        <v>0</v>
      </c>
      <c r="AH901" s="164">
        <f>IF(BetTable[Outcome3]="Win",BetTable[WBA3-Commission],IF(BetTable[Outcome3]="Win Half Stake",(BetTable[S3]/2)+BetTable[WBA3-Commission]/2,IF(BetTable[Outcome3]="Lose Half Stake",BetTable[S3]/2,IF(BetTable[Outcome3]="Lose",0,IF(BetTable[Outcome3]="Void",BetTable[S3],)))))</f>
        <v>0</v>
      </c>
      <c r="AI901" s="168">
        <f>IF(BetTable[Outcome]="",AI900,BetTable[Result]+AI900)</f>
        <v>1117.9782500000008</v>
      </c>
      <c r="AJ901" s="160"/>
    </row>
    <row r="902" spans="1:36" x14ac:dyDescent="0.2">
      <c r="A902" s="159" t="s">
        <v>2094</v>
      </c>
      <c r="B902" s="160" t="s">
        <v>200</v>
      </c>
      <c r="C902" s="161" t="s">
        <v>1714</v>
      </c>
      <c r="D902" s="161"/>
      <c r="E902" s="161"/>
      <c r="F902" s="162"/>
      <c r="G902" s="162"/>
      <c r="H902" s="162"/>
      <c r="I902" s="160" t="s">
        <v>2338</v>
      </c>
      <c r="J902" s="163">
        <v>1.96</v>
      </c>
      <c r="K902" s="163"/>
      <c r="L902" s="163"/>
      <c r="M902" s="164">
        <v>46</v>
      </c>
      <c r="N902" s="164"/>
      <c r="O902" s="164"/>
      <c r="P902" s="159" t="s">
        <v>351</v>
      </c>
      <c r="Q902" s="159" t="s">
        <v>2339</v>
      </c>
      <c r="R902" s="159" t="s">
        <v>2340</v>
      </c>
      <c r="S902" s="165">
        <v>2.8559189303554999E-2</v>
      </c>
      <c r="T902" s="166" t="s">
        <v>372</v>
      </c>
      <c r="U902" s="166"/>
      <c r="V902" s="166"/>
      <c r="W902" s="167">
        <f>IF(BetTable[Sport]="","",BetTable[Stake]+BetTable[S2]+BetTable[S3])</f>
        <v>46</v>
      </c>
      <c r="X902" s="164">
        <f>IF(BetTable[Odds]="","",(BetTable[WBA1-Commission])-BetTable[TS])</f>
        <v>44.16</v>
      </c>
      <c r="Y902" s="168">
        <f>IF(BetTable[Outcome]="","",BetTable[WBA1]+BetTable[WBA2]+BetTable[WBA3]-BetTable[TS])</f>
        <v>44.16</v>
      </c>
      <c r="Z902" s="164">
        <f>(((BetTable[Odds]-1)*BetTable[Stake])*(1-(BetTable[Comm %]))+BetTable[Stake])</f>
        <v>90.16</v>
      </c>
      <c r="AA902" s="164">
        <f>(((BetTable[O2]-1)*BetTable[S2])*(1-(BetTable[C% 2]))+BetTable[S2])</f>
        <v>0</v>
      </c>
      <c r="AB902" s="164">
        <f>(((BetTable[O3]-1)*BetTable[S3])*(1-(BetTable[C% 3]))+BetTable[S3])</f>
        <v>0</v>
      </c>
      <c r="AC902" s="165">
        <f>IFERROR(IF(BetTable[Sport]="","",BetTable[R1]/BetTable[TS]),"")</f>
        <v>0.96</v>
      </c>
      <c r="AD902" s="165" t="str">
        <f>IF(BetTable[O2]="","",#REF!/BetTable[TS])</f>
        <v/>
      </c>
      <c r="AE902" s="165" t="str">
        <f>IFERROR(IF(BetTable[Sport]="","",#REF!/BetTable[TS]),"")</f>
        <v/>
      </c>
      <c r="AF902" s="164">
        <f>IF(BetTable[Outcome]="Win",BetTable[WBA1-Commission],IF(BetTable[Outcome]="Win Half Stake",(BetTable[Stake]/2)+BetTable[WBA1-Commission]/2,IF(BetTable[Outcome]="Lose Half Stake",BetTable[Stake]/2,IF(BetTable[Outcome]="Lose",0,IF(BetTable[Outcome]="Void",BetTable[Stake],)))))</f>
        <v>90.16</v>
      </c>
      <c r="AG902" s="164">
        <f>IF(BetTable[Outcome2]="Win",BetTable[WBA2-Commission],IF(BetTable[Outcome2]="Win Half Stake",(BetTable[S2]/2)+BetTable[WBA2-Commission]/2,IF(BetTable[Outcome2]="Lose Half Stake",BetTable[S2]/2,IF(BetTable[Outcome2]="Lose",0,IF(BetTable[Outcome2]="Void",BetTable[S2],)))))</f>
        <v>0</v>
      </c>
      <c r="AH902" s="164">
        <f>IF(BetTable[Outcome3]="Win",BetTable[WBA3-Commission],IF(BetTable[Outcome3]="Win Half Stake",(BetTable[S3]/2)+BetTable[WBA3-Commission]/2,IF(BetTable[Outcome3]="Lose Half Stake",BetTable[S3]/2,IF(BetTable[Outcome3]="Lose",0,IF(BetTable[Outcome3]="Void",BetTable[S3],)))))</f>
        <v>0</v>
      </c>
      <c r="AI902" s="168">
        <f>IF(BetTable[Outcome]="",AI901,BetTable[Result]+AI901)</f>
        <v>1162.1382500000009</v>
      </c>
      <c r="AJ902" s="160"/>
    </row>
    <row r="903" spans="1:36" x14ac:dyDescent="0.2">
      <c r="A903" s="159" t="s">
        <v>2094</v>
      </c>
      <c r="B903" s="160" t="s">
        <v>201</v>
      </c>
      <c r="C903" s="161" t="s">
        <v>91</v>
      </c>
      <c r="D903" s="161"/>
      <c r="E903" s="161"/>
      <c r="F903" s="162"/>
      <c r="G903" s="162"/>
      <c r="H903" s="162"/>
      <c r="I903" s="160" t="s">
        <v>2260</v>
      </c>
      <c r="J903" s="163">
        <v>1.81</v>
      </c>
      <c r="K903" s="163"/>
      <c r="L903" s="163"/>
      <c r="M903" s="164">
        <v>35</v>
      </c>
      <c r="N903" s="164"/>
      <c r="O903" s="164"/>
      <c r="P903" s="159" t="s">
        <v>2261</v>
      </c>
      <c r="Q903" s="159" t="s">
        <v>818</v>
      </c>
      <c r="R903" s="159" t="s">
        <v>2341</v>
      </c>
      <c r="S903" s="165">
        <v>1.80982684030279E-2</v>
      </c>
      <c r="T903" s="166" t="s">
        <v>382</v>
      </c>
      <c r="U903" s="166"/>
      <c r="V903" s="166"/>
      <c r="W903" s="167">
        <f>IF(BetTable[Sport]="","",BetTable[Stake]+BetTable[S2]+BetTable[S3])</f>
        <v>35</v>
      </c>
      <c r="X903" s="164">
        <f>IF(BetTable[Odds]="","",(BetTable[WBA1-Commission])-BetTable[TS])</f>
        <v>28.35</v>
      </c>
      <c r="Y903" s="168">
        <f>IF(BetTable[Outcome]="","",BetTable[WBA1]+BetTable[WBA2]+BetTable[WBA3]-BetTable[TS])</f>
        <v>-35</v>
      </c>
      <c r="Z903" s="164">
        <f>(((BetTable[Odds]-1)*BetTable[Stake])*(1-(BetTable[Comm %]))+BetTable[Stake])</f>
        <v>63.35</v>
      </c>
      <c r="AA903" s="164">
        <f>(((BetTable[O2]-1)*BetTable[S2])*(1-(BetTable[C% 2]))+BetTable[S2])</f>
        <v>0</v>
      </c>
      <c r="AB903" s="164">
        <f>(((BetTable[O3]-1)*BetTable[S3])*(1-(BetTable[C% 3]))+BetTable[S3])</f>
        <v>0</v>
      </c>
      <c r="AC903" s="165">
        <f>IFERROR(IF(BetTable[Sport]="","",BetTable[R1]/BetTable[TS]),"")</f>
        <v>0.81</v>
      </c>
      <c r="AD903" s="165" t="str">
        <f>IF(BetTable[O2]="","",#REF!/BetTable[TS])</f>
        <v/>
      </c>
      <c r="AE903" s="165" t="str">
        <f>IFERROR(IF(BetTable[Sport]="","",#REF!/BetTable[TS]),"")</f>
        <v/>
      </c>
      <c r="AF903" s="164">
        <f>IF(BetTable[Outcome]="Win",BetTable[WBA1-Commission],IF(BetTable[Outcome]="Win Half Stake",(BetTable[Stake]/2)+BetTable[WBA1-Commission]/2,IF(BetTable[Outcome]="Lose Half Stake",BetTable[Stake]/2,IF(BetTable[Outcome]="Lose",0,IF(BetTable[Outcome]="Void",BetTable[Stake],)))))</f>
        <v>0</v>
      </c>
      <c r="AG903" s="164">
        <f>IF(BetTable[Outcome2]="Win",BetTable[WBA2-Commission],IF(BetTable[Outcome2]="Win Half Stake",(BetTable[S2]/2)+BetTable[WBA2-Commission]/2,IF(BetTable[Outcome2]="Lose Half Stake",BetTable[S2]/2,IF(BetTable[Outcome2]="Lose",0,IF(BetTable[Outcome2]="Void",BetTable[S2],)))))</f>
        <v>0</v>
      </c>
      <c r="AH903" s="164">
        <f>IF(BetTable[Outcome3]="Win",BetTable[WBA3-Commission],IF(BetTable[Outcome3]="Win Half Stake",(BetTable[S3]/2)+BetTable[WBA3-Commission]/2,IF(BetTable[Outcome3]="Lose Half Stake",BetTable[S3]/2,IF(BetTable[Outcome3]="Lose",0,IF(BetTable[Outcome3]="Void",BetTable[S3],)))))</f>
        <v>0</v>
      </c>
      <c r="AI903" s="168">
        <f>IF(BetTable[Outcome]="",AI902,BetTable[Result]+AI902)</f>
        <v>1127.1382500000009</v>
      </c>
      <c r="AJ903" s="160"/>
    </row>
    <row r="904" spans="1:36" x14ac:dyDescent="0.2">
      <c r="A904" s="159" t="s">
        <v>2094</v>
      </c>
      <c r="B904" s="160" t="s">
        <v>200</v>
      </c>
      <c r="C904" s="161" t="s">
        <v>1714</v>
      </c>
      <c r="D904" s="161"/>
      <c r="E904" s="161"/>
      <c r="F904" s="162"/>
      <c r="G904" s="162"/>
      <c r="H904" s="162"/>
      <c r="I904" s="160" t="s">
        <v>2342</v>
      </c>
      <c r="J904" s="163">
        <v>1.85</v>
      </c>
      <c r="K904" s="163"/>
      <c r="L904" s="163"/>
      <c r="M904" s="164">
        <v>33</v>
      </c>
      <c r="N904" s="164"/>
      <c r="O904" s="164"/>
      <c r="P904" s="159" t="s">
        <v>336</v>
      </c>
      <c r="Q904" s="159" t="s">
        <v>1475</v>
      </c>
      <c r="R904" s="159" t="s">
        <v>2343</v>
      </c>
      <c r="S904" s="165">
        <v>1.79945792514998E-2</v>
      </c>
      <c r="T904" s="166" t="s">
        <v>382</v>
      </c>
      <c r="U904" s="166"/>
      <c r="V904" s="166"/>
      <c r="W904" s="167">
        <f>IF(BetTable[Sport]="","",BetTable[Stake]+BetTable[S2]+BetTable[S3])</f>
        <v>33</v>
      </c>
      <c r="X904" s="164">
        <f>IF(BetTable[Odds]="","",(BetTable[WBA1-Commission])-BetTable[TS])</f>
        <v>28.050000000000004</v>
      </c>
      <c r="Y904" s="168">
        <f>IF(BetTable[Outcome]="","",BetTable[WBA1]+BetTable[WBA2]+BetTable[WBA3]-BetTable[TS])</f>
        <v>-33</v>
      </c>
      <c r="Z904" s="164">
        <f>(((BetTable[Odds]-1)*BetTable[Stake])*(1-(BetTable[Comm %]))+BetTable[Stake])</f>
        <v>61.050000000000004</v>
      </c>
      <c r="AA904" s="164">
        <f>(((BetTable[O2]-1)*BetTable[S2])*(1-(BetTable[C% 2]))+BetTable[S2])</f>
        <v>0</v>
      </c>
      <c r="AB904" s="164">
        <f>(((BetTable[O3]-1)*BetTable[S3])*(1-(BetTable[C% 3]))+BetTable[S3])</f>
        <v>0</v>
      </c>
      <c r="AC904" s="165">
        <f>IFERROR(IF(BetTable[Sport]="","",BetTable[R1]/BetTable[TS]),"")</f>
        <v>0.85000000000000009</v>
      </c>
      <c r="AD904" s="165" t="str">
        <f>IF(BetTable[O2]="","",#REF!/BetTable[TS])</f>
        <v/>
      </c>
      <c r="AE904" s="165" t="str">
        <f>IFERROR(IF(BetTable[Sport]="","",#REF!/BetTable[TS]),"")</f>
        <v/>
      </c>
      <c r="AF904" s="164">
        <f>IF(BetTable[Outcome]="Win",BetTable[WBA1-Commission],IF(BetTable[Outcome]="Win Half Stake",(BetTable[Stake]/2)+BetTable[WBA1-Commission]/2,IF(BetTable[Outcome]="Lose Half Stake",BetTable[Stake]/2,IF(BetTable[Outcome]="Lose",0,IF(BetTable[Outcome]="Void",BetTable[Stake],)))))</f>
        <v>0</v>
      </c>
      <c r="AG904" s="164">
        <f>IF(BetTable[Outcome2]="Win",BetTable[WBA2-Commission],IF(BetTable[Outcome2]="Win Half Stake",(BetTable[S2]/2)+BetTable[WBA2-Commission]/2,IF(BetTable[Outcome2]="Lose Half Stake",BetTable[S2]/2,IF(BetTable[Outcome2]="Lose",0,IF(BetTable[Outcome2]="Void",BetTable[S2],)))))</f>
        <v>0</v>
      </c>
      <c r="AH904" s="164">
        <f>IF(BetTable[Outcome3]="Win",BetTable[WBA3-Commission],IF(BetTable[Outcome3]="Win Half Stake",(BetTable[S3]/2)+BetTable[WBA3-Commission]/2,IF(BetTable[Outcome3]="Lose Half Stake",BetTable[S3]/2,IF(BetTable[Outcome3]="Lose",0,IF(BetTable[Outcome3]="Void",BetTable[S3],)))))</f>
        <v>0</v>
      </c>
      <c r="AI904" s="168">
        <f>IF(BetTable[Outcome]="",AI903,BetTable[Result]+AI903)</f>
        <v>1094.1382500000009</v>
      </c>
      <c r="AJ904" s="160"/>
    </row>
    <row r="905" spans="1:36" x14ac:dyDescent="0.2">
      <c r="A905" s="159" t="s">
        <v>2094</v>
      </c>
      <c r="B905" s="160" t="s">
        <v>200</v>
      </c>
      <c r="C905" s="161" t="s">
        <v>1714</v>
      </c>
      <c r="D905" s="161"/>
      <c r="E905" s="161"/>
      <c r="F905" s="162"/>
      <c r="G905" s="162"/>
      <c r="H905" s="162"/>
      <c r="I905" s="160" t="s">
        <v>2303</v>
      </c>
      <c r="J905" s="163">
        <v>2.2599999999999998</v>
      </c>
      <c r="K905" s="163"/>
      <c r="L905" s="163"/>
      <c r="M905" s="164">
        <v>30</v>
      </c>
      <c r="N905" s="164"/>
      <c r="O905" s="164"/>
      <c r="P905" s="159" t="s">
        <v>448</v>
      </c>
      <c r="Q905" s="159" t="s">
        <v>836</v>
      </c>
      <c r="R905" s="159" t="s">
        <v>2344</v>
      </c>
      <c r="S905" s="165">
        <v>2.47057339369663E-2</v>
      </c>
      <c r="T905" s="166" t="s">
        <v>372</v>
      </c>
      <c r="U905" s="166"/>
      <c r="V905" s="166"/>
      <c r="W905" s="167">
        <f>IF(BetTable[Sport]="","",BetTable[Stake]+BetTable[S2]+BetTable[S3])</f>
        <v>30</v>
      </c>
      <c r="X905" s="164">
        <f>IF(BetTable[Odds]="","",(BetTable[WBA1-Commission])-BetTable[TS])</f>
        <v>37.799999999999997</v>
      </c>
      <c r="Y905" s="168">
        <f>IF(BetTable[Outcome]="","",BetTable[WBA1]+BetTable[WBA2]+BetTable[WBA3]-BetTable[TS])</f>
        <v>37.799999999999997</v>
      </c>
      <c r="Z905" s="164">
        <f>(((BetTable[Odds]-1)*BetTable[Stake])*(1-(BetTable[Comm %]))+BetTable[Stake])</f>
        <v>67.8</v>
      </c>
      <c r="AA905" s="164">
        <f>(((BetTable[O2]-1)*BetTable[S2])*(1-(BetTable[C% 2]))+BetTable[S2])</f>
        <v>0</v>
      </c>
      <c r="AB905" s="164">
        <f>(((BetTable[O3]-1)*BetTable[S3])*(1-(BetTable[C% 3]))+BetTable[S3])</f>
        <v>0</v>
      </c>
      <c r="AC905" s="165">
        <f>IFERROR(IF(BetTable[Sport]="","",BetTable[R1]/BetTable[TS]),"")</f>
        <v>1.26</v>
      </c>
      <c r="AD905" s="165" t="str">
        <f>IF(BetTable[O2]="","",#REF!/BetTable[TS])</f>
        <v/>
      </c>
      <c r="AE905" s="165" t="str">
        <f>IFERROR(IF(BetTable[Sport]="","",#REF!/BetTable[TS]),"")</f>
        <v/>
      </c>
      <c r="AF905" s="164">
        <f>IF(BetTable[Outcome]="Win",BetTable[WBA1-Commission],IF(BetTable[Outcome]="Win Half Stake",(BetTable[Stake]/2)+BetTable[WBA1-Commission]/2,IF(BetTable[Outcome]="Lose Half Stake",BetTable[Stake]/2,IF(BetTable[Outcome]="Lose",0,IF(BetTable[Outcome]="Void",BetTable[Stake],)))))</f>
        <v>67.8</v>
      </c>
      <c r="AG905" s="164">
        <f>IF(BetTable[Outcome2]="Win",BetTable[WBA2-Commission],IF(BetTable[Outcome2]="Win Half Stake",(BetTable[S2]/2)+BetTable[WBA2-Commission]/2,IF(BetTable[Outcome2]="Lose Half Stake",BetTable[S2]/2,IF(BetTable[Outcome2]="Lose",0,IF(BetTable[Outcome2]="Void",BetTable[S2],)))))</f>
        <v>0</v>
      </c>
      <c r="AH905" s="164">
        <f>IF(BetTable[Outcome3]="Win",BetTable[WBA3-Commission],IF(BetTable[Outcome3]="Win Half Stake",(BetTable[S3]/2)+BetTable[WBA3-Commission]/2,IF(BetTable[Outcome3]="Lose Half Stake",BetTable[S3]/2,IF(BetTable[Outcome3]="Lose",0,IF(BetTable[Outcome3]="Void",BetTable[S3],)))))</f>
        <v>0</v>
      </c>
      <c r="AI905" s="168">
        <f>IF(BetTable[Outcome]="",AI904,BetTable[Result]+AI904)</f>
        <v>1131.9382500000008</v>
      </c>
      <c r="AJ905" s="160"/>
    </row>
    <row r="906" spans="1:36" x14ac:dyDescent="0.2">
      <c r="A906" s="222" t="s">
        <v>2094</v>
      </c>
      <c r="B906" s="223" t="s">
        <v>200</v>
      </c>
      <c r="C906" s="224" t="s">
        <v>1714</v>
      </c>
      <c r="D906" s="224"/>
      <c r="E906" s="224"/>
      <c r="F906" s="225"/>
      <c r="G906" s="225"/>
      <c r="H906" s="225"/>
      <c r="I906" s="223" t="s">
        <v>2345</v>
      </c>
      <c r="J906" s="226">
        <v>2.0299999999999998</v>
      </c>
      <c r="K906" s="226"/>
      <c r="L906" s="226"/>
      <c r="M906" s="227">
        <v>33</v>
      </c>
      <c r="N906" s="227"/>
      <c r="O906" s="227"/>
      <c r="P906" s="222" t="s">
        <v>428</v>
      </c>
      <c r="Q906" s="222" t="s">
        <v>506</v>
      </c>
      <c r="R906" s="222" t="s">
        <v>2346</v>
      </c>
      <c r="S906" s="228">
        <v>2.1879130870885999E-2</v>
      </c>
      <c r="T906" s="229" t="s">
        <v>372</v>
      </c>
      <c r="U906" s="229"/>
      <c r="V906" s="229"/>
      <c r="W906" s="230">
        <f>IF(BetTable[Sport]="","",BetTable[Stake]+BetTable[S2]+BetTable[S3])</f>
        <v>33</v>
      </c>
      <c r="X906" s="227">
        <f>IF(BetTable[Odds]="","",(BetTable[WBA1-Commission])-BetTable[TS])</f>
        <v>33.989999999999995</v>
      </c>
      <c r="Y906" s="231">
        <f>IF(BetTable[Outcome]="","",BetTable[WBA1]+BetTable[WBA2]+BetTable[WBA3]-BetTable[TS])</f>
        <v>33.989999999999995</v>
      </c>
      <c r="Z906" s="227">
        <f>(((BetTable[Odds]-1)*BetTable[Stake])*(1-(BetTable[Comm %]))+BetTable[Stake])</f>
        <v>66.989999999999995</v>
      </c>
      <c r="AA906" s="227">
        <f>(((BetTable[O2]-1)*BetTable[S2])*(1-(BetTable[C% 2]))+BetTable[S2])</f>
        <v>0</v>
      </c>
      <c r="AB906" s="227">
        <f>(((BetTable[O3]-1)*BetTable[S3])*(1-(BetTable[C% 3]))+BetTable[S3])</f>
        <v>0</v>
      </c>
      <c r="AC906" s="228">
        <f>IFERROR(IF(BetTable[Sport]="","",BetTable[R1]/BetTable[TS]),"")</f>
        <v>1.0299999999999998</v>
      </c>
      <c r="AD906" s="228" t="str">
        <f>IF(BetTable[O2]="","",#REF!/BetTable[TS])</f>
        <v/>
      </c>
      <c r="AE906" s="228" t="str">
        <f>IFERROR(IF(BetTable[Sport]="","",#REF!/BetTable[TS]),"")</f>
        <v/>
      </c>
      <c r="AF906" s="227">
        <f>IF(BetTable[Outcome]="Win",BetTable[WBA1-Commission],IF(BetTable[Outcome]="Win Half Stake",(BetTable[Stake]/2)+BetTable[WBA1-Commission]/2,IF(BetTable[Outcome]="Lose Half Stake",BetTable[Stake]/2,IF(BetTable[Outcome]="Lose",0,IF(BetTable[Outcome]="Void",BetTable[Stake],)))))</f>
        <v>66.989999999999995</v>
      </c>
      <c r="AG906" s="227">
        <f>IF(BetTable[Outcome2]="Win",BetTable[WBA2-Commission],IF(BetTable[Outcome2]="Win Half Stake",(BetTable[S2]/2)+BetTable[WBA2-Commission]/2,IF(BetTable[Outcome2]="Lose Half Stake",BetTable[S2]/2,IF(BetTable[Outcome2]="Lose",0,IF(BetTable[Outcome2]="Void",BetTable[S2],)))))</f>
        <v>0</v>
      </c>
      <c r="AH906" s="227">
        <f>IF(BetTable[Outcome3]="Win",BetTable[WBA3-Commission],IF(BetTable[Outcome3]="Win Half Stake",(BetTable[S3]/2)+BetTable[WBA3-Commission]/2,IF(BetTable[Outcome3]="Lose Half Stake",BetTable[S3]/2,IF(BetTable[Outcome3]="Lose",0,IF(BetTable[Outcome3]="Void",BetTable[S3],)))))</f>
        <v>0</v>
      </c>
      <c r="AI906" s="231">
        <f>IF(BetTable[Outcome]="",AI905,BetTable[Result]+AI905)</f>
        <v>1165.9282500000008</v>
      </c>
      <c r="AJ906" s="223"/>
    </row>
    <row r="907" spans="1:36" x14ac:dyDescent="0.2">
      <c r="A907" s="222" t="s">
        <v>2094</v>
      </c>
      <c r="B907" s="223" t="s">
        <v>200</v>
      </c>
      <c r="C907" s="224" t="s">
        <v>1714</v>
      </c>
      <c r="D907" s="224"/>
      <c r="E907" s="224"/>
      <c r="F907" s="225"/>
      <c r="G907" s="225"/>
      <c r="H907" s="225"/>
      <c r="I907" s="223" t="s">
        <v>2347</v>
      </c>
      <c r="J907" s="226">
        <v>1.9</v>
      </c>
      <c r="K907" s="226"/>
      <c r="L907" s="226"/>
      <c r="M907" s="227">
        <v>44</v>
      </c>
      <c r="N907" s="227"/>
      <c r="O907" s="227"/>
      <c r="P907" s="222" t="s">
        <v>435</v>
      </c>
      <c r="Q907" s="222" t="s">
        <v>703</v>
      </c>
      <c r="R907" s="222" t="s">
        <v>2348</v>
      </c>
      <c r="S907" s="228">
        <v>2.56068870864118E-2</v>
      </c>
      <c r="T907" s="229" t="s">
        <v>382</v>
      </c>
      <c r="U907" s="229"/>
      <c r="V907" s="229"/>
      <c r="W907" s="230">
        <f>IF(BetTable[Sport]="","",BetTable[Stake]+BetTable[S2]+BetTable[S3])</f>
        <v>44</v>
      </c>
      <c r="X907" s="227">
        <f>IF(BetTable[Odds]="","",(BetTable[WBA1-Commission])-BetTable[TS])</f>
        <v>39.599999999999994</v>
      </c>
      <c r="Y907" s="231">
        <f>IF(BetTable[Outcome]="","",BetTable[WBA1]+BetTable[WBA2]+BetTable[WBA3]-BetTable[TS])</f>
        <v>-44</v>
      </c>
      <c r="Z907" s="227">
        <f>(((BetTable[Odds]-1)*BetTable[Stake])*(1-(BetTable[Comm %]))+BetTable[Stake])</f>
        <v>83.6</v>
      </c>
      <c r="AA907" s="227">
        <f>(((BetTable[O2]-1)*BetTable[S2])*(1-(BetTable[C% 2]))+BetTable[S2])</f>
        <v>0</v>
      </c>
      <c r="AB907" s="227">
        <f>(((BetTable[O3]-1)*BetTable[S3])*(1-(BetTable[C% 3]))+BetTable[S3])</f>
        <v>0</v>
      </c>
      <c r="AC907" s="228">
        <f>IFERROR(IF(BetTable[Sport]="","",BetTable[R1]/BetTable[TS]),"")</f>
        <v>0.89999999999999991</v>
      </c>
      <c r="AD907" s="228" t="str">
        <f>IF(BetTable[O2]="","",#REF!/BetTable[TS])</f>
        <v/>
      </c>
      <c r="AE907" s="228" t="str">
        <f>IFERROR(IF(BetTable[Sport]="","",#REF!/BetTable[TS]),"")</f>
        <v/>
      </c>
      <c r="AF907" s="227">
        <f>IF(BetTable[Outcome]="Win",BetTable[WBA1-Commission],IF(BetTable[Outcome]="Win Half Stake",(BetTable[Stake]/2)+BetTable[WBA1-Commission]/2,IF(BetTable[Outcome]="Lose Half Stake",BetTable[Stake]/2,IF(BetTable[Outcome]="Lose",0,IF(BetTable[Outcome]="Void",BetTable[Stake],)))))</f>
        <v>0</v>
      </c>
      <c r="AG907" s="227">
        <f>IF(BetTable[Outcome2]="Win",BetTable[WBA2-Commission],IF(BetTable[Outcome2]="Win Half Stake",(BetTable[S2]/2)+BetTable[WBA2-Commission]/2,IF(BetTable[Outcome2]="Lose Half Stake",BetTable[S2]/2,IF(BetTable[Outcome2]="Lose",0,IF(BetTable[Outcome2]="Void",BetTable[S2],)))))</f>
        <v>0</v>
      </c>
      <c r="AH907" s="227">
        <f>IF(BetTable[Outcome3]="Win",BetTable[WBA3-Commission],IF(BetTable[Outcome3]="Win Half Stake",(BetTable[S3]/2)+BetTable[WBA3-Commission]/2,IF(BetTable[Outcome3]="Lose Half Stake",BetTable[S3]/2,IF(BetTable[Outcome3]="Lose",0,IF(BetTable[Outcome3]="Void",BetTable[S3],)))))</f>
        <v>0</v>
      </c>
      <c r="AI907" s="231">
        <f>IF(BetTable[Outcome]="",AI906,BetTable[Result]+AI906)</f>
        <v>1121.9282500000008</v>
      </c>
      <c r="AJ907" s="223"/>
    </row>
    <row r="908" spans="1:36" x14ac:dyDescent="0.2">
      <c r="A908" s="222" t="s">
        <v>2094</v>
      </c>
      <c r="B908" s="223" t="s">
        <v>201</v>
      </c>
      <c r="C908" s="224" t="s">
        <v>91</v>
      </c>
      <c r="D908" s="224"/>
      <c r="E908" s="224"/>
      <c r="F908" s="225"/>
      <c r="G908" s="225"/>
      <c r="H908" s="225"/>
      <c r="I908" s="223" t="s">
        <v>2349</v>
      </c>
      <c r="J908" s="226">
        <v>1.9</v>
      </c>
      <c r="K908" s="226"/>
      <c r="L908" s="226"/>
      <c r="M908" s="227">
        <v>43</v>
      </c>
      <c r="N908" s="227"/>
      <c r="O908" s="227"/>
      <c r="P908" s="222" t="s">
        <v>2350</v>
      </c>
      <c r="Q908" s="222" t="s">
        <v>1132</v>
      </c>
      <c r="R908" s="222" t="s">
        <v>2351</v>
      </c>
      <c r="S908" s="228">
        <v>2.4767496406469199E-2</v>
      </c>
      <c r="T908" s="229" t="s">
        <v>372</v>
      </c>
      <c r="U908" s="229"/>
      <c r="V908" s="229"/>
      <c r="W908" s="230">
        <f>IF(BetTable[Sport]="","",BetTable[Stake]+BetTable[S2]+BetTable[S3])</f>
        <v>43</v>
      </c>
      <c r="X908" s="227">
        <f>IF(BetTable[Odds]="","",(BetTable[WBA1-Commission])-BetTable[TS])</f>
        <v>38.699999999999989</v>
      </c>
      <c r="Y908" s="231">
        <f>IF(BetTable[Outcome]="","",BetTable[WBA1]+BetTable[WBA2]+BetTable[WBA3]-BetTable[TS])</f>
        <v>38.699999999999989</v>
      </c>
      <c r="Z908" s="227">
        <f>(((BetTable[Odds]-1)*BetTable[Stake])*(1-(BetTable[Comm %]))+BetTable[Stake])</f>
        <v>81.699999999999989</v>
      </c>
      <c r="AA908" s="227">
        <f>(((BetTable[O2]-1)*BetTable[S2])*(1-(BetTable[C% 2]))+BetTable[S2])</f>
        <v>0</v>
      </c>
      <c r="AB908" s="227">
        <f>(((BetTable[O3]-1)*BetTable[S3])*(1-(BetTable[C% 3]))+BetTable[S3])</f>
        <v>0</v>
      </c>
      <c r="AC908" s="228">
        <f>IFERROR(IF(BetTable[Sport]="","",BetTable[R1]/BetTable[TS]),"")</f>
        <v>0.89999999999999969</v>
      </c>
      <c r="AD908" s="228" t="str">
        <f>IF(BetTable[O2]="","",#REF!/BetTable[TS])</f>
        <v/>
      </c>
      <c r="AE908" s="228" t="str">
        <f>IFERROR(IF(BetTable[Sport]="","",#REF!/BetTable[TS]),"")</f>
        <v/>
      </c>
      <c r="AF908" s="227">
        <f>IF(BetTable[Outcome]="Win",BetTable[WBA1-Commission],IF(BetTable[Outcome]="Win Half Stake",(BetTable[Stake]/2)+BetTable[WBA1-Commission]/2,IF(BetTable[Outcome]="Lose Half Stake",BetTable[Stake]/2,IF(BetTable[Outcome]="Lose",0,IF(BetTable[Outcome]="Void",BetTable[Stake],)))))</f>
        <v>81.699999999999989</v>
      </c>
      <c r="AG908" s="227">
        <f>IF(BetTable[Outcome2]="Win",BetTable[WBA2-Commission],IF(BetTable[Outcome2]="Win Half Stake",(BetTable[S2]/2)+BetTable[WBA2-Commission]/2,IF(BetTable[Outcome2]="Lose Half Stake",BetTable[S2]/2,IF(BetTable[Outcome2]="Lose",0,IF(BetTable[Outcome2]="Void",BetTable[S2],)))))</f>
        <v>0</v>
      </c>
      <c r="AH908" s="227">
        <f>IF(BetTable[Outcome3]="Win",BetTable[WBA3-Commission],IF(BetTable[Outcome3]="Win Half Stake",(BetTable[S3]/2)+BetTable[WBA3-Commission]/2,IF(BetTable[Outcome3]="Lose Half Stake",BetTable[S3]/2,IF(BetTable[Outcome3]="Lose",0,IF(BetTable[Outcome3]="Void",BetTable[S3],)))))</f>
        <v>0</v>
      </c>
      <c r="AI908" s="231">
        <f>IF(BetTable[Outcome]="",AI907,BetTable[Result]+AI907)</f>
        <v>1160.6282500000009</v>
      </c>
      <c r="AJ908" s="223"/>
    </row>
    <row r="909" spans="1:36" x14ac:dyDescent="0.2">
      <c r="A909" s="222" t="s">
        <v>2094</v>
      </c>
      <c r="B909" s="223" t="s">
        <v>200</v>
      </c>
      <c r="C909" s="224" t="s">
        <v>91</v>
      </c>
      <c r="D909" s="224"/>
      <c r="E909" s="224"/>
      <c r="F909" s="225"/>
      <c r="G909" s="225"/>
      <c r="H909" s="225"/>
      <c r="I909" s="223" t="s">
        <v>2352</v>
      </c>
      <c r="J909" s="226">
        <v>1.85</v>
      </c>
      <c r="K909" s="226"/>
      <c r="L909" s="226"/>
      <c r="M909" s="227">
        <v>59</v>
      </c>
      <c r="N909" s="227"/>
      <c r="O909" s="227"/>
      <c r="P909" s="222" t="s">
        <v>668</v>
      </c>
      <c r="Q909" s="222" t="s">
        <v>1101</v>
      </c>
      <c r="R909" s="222" t="s">
        <v>2353</v>
      </c>
      <c r="S909" s="228">
        <v>3.2338993724166702E-2</v>
      </c>
      <c r="T909" s="229" t="s">
        <v>372</v>
      </c>
      <c r="U909" s="229"/>
      <c r="V909" s="229"/>
      <c r="W909" s="230">
        <f>IF(BetTable[Sport]="","",BetTable[Stake]+BetTable[S2]+BetTable[S3])</f>
        <v>59</v>
      </c>
      <c r="X909" s="227">
        <f>IF(BetTable[Odds]="","",(BetTable[WBA1-Commission])-BetTable[TS])</f>
        <v>50.150000000000006</v>
      </c>
      <c r="Y909" s="231">
        <f>IF(BetTable[Outcome]="","",BetTable[WBA1]+BetTable[WBA2]+BetTable[WBA3]-BetTable[TS])</f>
        <v>50.150000000000006</v>
      </c>
      <c r="Z909" s="227">
        <f>(((BetTable[Odds]-1)*BetTable[Stake])*(1-(BetTable[Comm %]))+BetTable[Stake])</f>
        <v>109.15</v>
      </c>
      <c r="AA909" s="227">
        <f>(((BetTable[O2]-1)*BetTable[S2])*(1-(BetTable[C% 2]))+BetTable[S2])</f>
        <v>0</v>
      </c>
      <c r="AB909" s="227">
        <f>(((BetTable[O3]-1)*BetTable[S3])*(1-(BetTable[C% 3]))+BetTable[S3])</f>
        <v>0</v>
      </c>
      <c r="AC909" s="228">
        <f>IFERROR(IF(BetTable[Sport]="","",BetTable[R1]/BetTable[TS]),"")</f>
        <v>0.85000000000000009</v>
      </c>
      <c r="AD909" s="228" t="str">
        <f>IF(BetTable[O2]="","",#REF!/BetTable[TS])</f>
        <v/>
      </c>
      <c r="AE909" s="228" t="str">
        <f>IFERROR(IF(BetTable[Sport]="","",#REF!/BetTable[TS]),"")</f>
        <v/>
      </c>
      <c r="AF909" s="227">
        <f>IF(BetTable[Outcome]="Win",BetTable[WBA1-Commission],IF(BetTable[Outcome]="Win Half Stake",(BetTable[Stake]/2)+BetTable[WBA1-Commission]/2,IF(BetTable[Outcome]="Lose Half Stake",BetTable[Stake]/2,IF(BetTable[Outcome]="Lose",0,IF(BetTable[Outcome]="Void",BetTable[Stake],)))))</f>
        <v>109.15</v>
      </c>
      <c r="AG909" s="227">
        <f>IF(BetTable[Outcome2]="Win",BetTable[WBA2-Commission],IF(BetTable[Outcome2]="Win Half Stake",(BetTable[S2]/2)+BetTable[WBA2-Commission]/2,IF(BetTable[Outcome2]="Lose Half Stake",BetTable[S2]/2,IF(BetTable[Outcome2]="Lose",0,IF(BetTable[Outcome2]="Void",BetTable[S2],)))))</f>
        <v>0</v>
      </c>
      <c r="AH909" s="227">
        <f>IF(BetTable[Outcome3]="Win",BetTable[WBA3-Commission],IF(BetTable[Outcome3]="Win Half Stake",(BetTable[S3]/2)+BetTable[WBA3-Commission]/2,IF(BetTable[Outcome3]="Lose Half Stake",BetTable[S3]/2,IF(BetTable[Outcome3]="Lose",0,IF(BetTable[Outcome3]="Void",BetTable[S3],)))))</f>
        <v>0</v>
      </c>
      <c r="AI909" s="231">
        <f>IF(BetTable[Outcome]="",AI908,BetTable[Result]+AI908)</f>
        <v>1210.778250000001</v>
      </c>
      <c r="AJ909" s="223"/>
    </row>
    <row r="910" spans="1:36" x14ac:dyDescent="0.2">
      <c r="A910" s="222" t="s">
        <v>2094</v>
      </c>
      <c r="B910" s="223" t="s">
        <v>200</v>
      </c>
      <c r="C910" s="224" t="s">
        <v>1714</v>
      </c>
      <c r="D910" s="224"/>
      <c r="E910" s="224"/>
      <c r="F910" s="225"/>
      <c r="G910" s="225"/>
      <c r="H910" s="225"/>
      <c r="I910" s="223" t="s">
        <v>2354</v>
      </c>
      <c r="J910" s="226">
        <v>1.91</v>
      </c>
      <c r="K910" s="226"/>
      <c r="L910" s="226"/>
      <c r="M910" s="227">
        <v>30</v>
      </c>
      <c r="N910" s="227"/>
      <c r="O910" s="227"/>
      <c r="P910" s="222" t="s">
        <v>368</v>
      </c>
      <c r="Q910" s="222" t="s">
        <v>429</v>
      </c>
      <c r="R910" s="222" t="s">
        <v>2355</v>
      </c>
      <c r="S910" s="228">
        <v>1.78075277680452E-2</v>
      </c>
      <c r="T910" s="229" t="s">
        <v>372</v>
      </c>
      <c r="U910" s="229"/>
      <c r="V910" s="229"/>
      <c r="W910" s="230">
        <f>IF(BetTable[Sport]="","",BetTable[Stake]+BetTable[S2]+BetTable[S3])</f>
        <v>30</v>
      </c>
      <c r="X910" s="227">
        <f>IF(BetTable[Odds]="","",(BetTable[WBA1-Commission])-BetTable[TS])</f>
        <v>27.299999999999997</v>
      </c>
      <c r="Y910" s="231">
        <f>IF(BetTable[Outcome]="","",BetTable[WBA1]+BetTable[WBA2]+BetTable[WBA3]-BetTable[TS])</f>
        <v>27.299999999999997</v>
      </c>
      <c r="Z910" s="227">
        <f>(((BetTable[Odds]-1)*BetTable[Stake])*(1-(BetTable[Comm %]))+BetTable[Stake])</f>
        <v>57.3</v>
      </c>
      <c r="AA910" s="227">
        <f>(((BetTable[O2]-1)*BetTable[S2])*(1-(BetTable[C% 2]))+BetTable[S2])</f>
        <v>0</v>
      </c>
      <c r="AB910" s="227">
        <f>(((BetTable[O3]-1)*BetTable[S3])*(1-(BetTable[C% 3]))+BetTable[S3])</f>
        <v>0</v>
      </c>
      <c r="AC910" s="228">
        <f>IFERROR(IF(BetTable[Sport]="","",BetTable[R1]/BetTable[TS]),"")</f>
        <v>0.90999999999999992</v>
      </c>
      <c r="AD910" s="228" t="str">
        <f>IF(BetTable[O2]="","",#REF!/BetTable[TS])</f>
        <v/>
      </c>
      <c r="AE910" s="228" t="str">
        <f>IFERROR(IF(BetTable[Sport]="","",#REF!/BetTable[TS]),"")</f>
        <v/>
      </c>
      <c r="AF910" s="227">
        <f>IF(BetTable[Outcome]="Win",BetTable[WBA1-Commission],IF(BetTable[Outcome]="Win Half Stake",(BetTable[Stake]/2)+BetTable[WBA1-Commission]/2,IF(BetTable[Outcome]="Lose Half Stake",BetTable[Stake]/2,IF(BetTable[Outcome]="Lose",0,IF(BetTable[Outcome]="Void",BetTable[Stake],)))))</f>
        <v>57.3</v>
      </c>
      <c r="AG910" s="227">
        <f>IF(BetTable[Outcome2]="Win",BetTable[WBA2-Commission],IF(BetTable[Outcome2]="Win Half Stake",(BetTable[S2]/2)+BetTable[WBA2-Commission]/2,IF(BetTable[Outcome2]="Lose Half Stake",BetTable[S2]/2,IF(BetTable[Outcome2]="Lose",0,IF(BetTable[Outcome2]="Void",BetTable[S2],)))))</f>
        <v>0</v>
      </c>
      <c r="AH910" s="227">
        <f>IF(BetTable[Outcome3]="Win",BetTable[WBA3-Commission],IF(BetTable[Outcome3]="Win Half Stake",(BetTable[S3]/2)+BetTable[WBA3-Commission]/2,IF(BetTable[Outcome3]="Lose Half Stake",BetTable[S3]/2,IF(BetTable[Outcome3]="Lose",0,IF(BetTable[Outcome3]="Void",BetTable[S3],)))))</f>
        <v>0</v>
      </c>
      <c r="AI910" s="231">
        <f>IF(BetTable[Outcome]="",AI909,BetTable[Result]+AI909)</f>
        <v>1238.0782500000009</v>
      </c>
      <c r="AJ910" s="223"/>
    </row>
    <row r="911" spans="1:36" x14ac:dyDescent="0.2">
      <c r="A911" s="222" t="s">
        <v>2094</v>
      </c>
      <c r="B911" s="223" t="s">
        <v>200</v>
      </c>
      <c r="C911" s="224" t="s">
        <v>1714</v>
      </c>
      <c r="D911" s="224"/>
      <c r="E911" s="224"/>
      <c r="F911" s="225"/>
      <c r="G911" s="225"/>
      <c r="H911" s="225"/>
      <c r="I911" s="223" t="s">
        <v>2356</v>
      </c>
      <c r="J911" s="226">
        <v>2</v>
      </c>
      <c r="K911" s="226"/>
      <c r="L911" s="226"/>
      <c r="M911" s="227">
        <v>34</v>
      </c>
      <c r="N911" s="227"/>
      <c r="O911" s="227"/>
      <c r="P911" s="222" t="s">
        <v>1572</v>
      </c>
      <c r="Q911" s="222" t="s">
        <v>482</v>
      </c>
      <c r="R911" s="222" t="s">
        <v>2357</v>
      </c>
      <c r="S911" s="228">
        <v>2.2262692646265701E-2</v>
      </c>
      <c r="T911" s="229" t="s">
        <v>372</v>
      </c>
      <c r="U911" s="229"/>
      <c r="V911" s="229"/>
      <c r="W911" s="230">
        <f>IF(BetTable[Sport]="","",BetTable[Stake]+BetTable[S2]+BetTable[S3])</f>
        <v>34</v>
      </c>
      <c r="X911" s="227">
        <f>IF(BetTable[Odds]="","",(BetTable[WBA1-Commission])-BetTable[TS])</f>
        <v>34</v>
      </c>
      <c r="Y911" s="231">
        <f>IF(BetTable[Outcome]="","",BetTable[WBA1]+BetTable[WBA2]+BetTable[WBA3]-BetTable[TS])</f>
        <v>34</v>
      </c>
      <c r="Z911" s="227">
        <f>(((BetTable[Odds]-1)*BetTable[Stake])*(1-(BetTable[Comm %]))+BetTable[Stake])</f>
        <v>68</v>
      </c>
      <c r="AA911" s="227">
        <f>(((BetTable[O2]-1)*BetTable[S2])*(1-(BetTable[C% 2]))+BetTable[S2])</f>
        <v>0</v>
      </c>
      <c r="AB911" s="227">
        <f>(((BetTable[O3]-1)*BetTable[S3])*(1-(BetTable[C% 3]))+BetTable[S3])</f>
        <v>0</v>
      </c>
      <c r="AC911" s="228">
        <f>IFERROR(IF(BetTable[Sport]="","",BetTable[R1]/BetTable[TS]),"")</f>
        <v>1</v>
      </c>
      <c r="AD911" s="228" t="str">
        <f>IF(BetTable[O2]="","",#REF!/BetTable[TS])</f>
        <v/>
      </c>
      <c r="AE911" s="228" t="str">
        <f>IFERROR(IF(BetTable[Sport]="","",#REF!/BetTable[TS]),"")</f>
        <v/>
      </c>
      <c r="AF911" s="227">
        <f>IF(BetTable[Outcome]="Win",BetTable[WBA1-Commission],IF(BetTable[Outcome]="Win Half Stake",(BetTable[Stake]/2)+BetTable[WBA1-Commission]/2,IF(BetTable[Outcome]="Lose Half Stake",BetTable[Stake]/2,IF(BetTable[Outcome]="Lose",0,IF(BetTable[Outcome]="Void",BetTable[Stake],)))))</f>
        <v>68</v>
      </c>
      <c r="AG911" s="227">
        <f>IF(BetTable[Outcome2]="Win",BetTable[WBA2-Commission],IF(BetTable[Outcome2]="Win Half Stake",(BetTable[S2]/2)+BetTable[WBA2-Commission]/2,IF(BetTable[Outcome2]="Lose Half Stake",BetTable[S2]/2,IF(BetTable[Outcome2]="Lose",0,IF(BetTable[Outcome2]="Void",BetTable[S2],)))))</f>
        <v>0</v>
      </c>
      <c r="AH911" s="227">
        <f>IF(BetTable[Outcome3]="Win",BetTable[WBA3-Commission],IF(BetTable[Outcome3]="Win Half Stake",(BetTable[S3]/2)+BetTable[WBA3-Commission]/2,IF(BetTable[Outcome3]="Lose Half Stake",BetTable[S3]/2,IF(BetTable[Outcome3]="Lose",0,IF(BetTable[Outcome3]="Void",BetTable[S3],)))))</f>
        <v>0</v>
      </c>
      <c r="AI911" s="231">
        <f>IF(BetTable[Outcome]="",AI910,BetTable[Result]+AI910)</f>
        <v>1272.0782500000009</v>
      </c>
      <c r="AJ911" s="223"/>
    </row>
    <row r="912" spans="1:36" x14ac:dyDescent="0.2">
      <c r="A912" s="222" t="s">
        <v>2094</v>
      </c>
      <c r="B912" s="223" t="s">
        <v>7</v>
      </c>
      <c r="C912" s="224" t="s">
        <v>1714</v>
      </c>
      <c r="D912" s="224"/>
      <c r="E912" s="224"/>
      <c r="F912" s="225"/>
      <c r="G912" s="225"/>
      <c r="H912" s="225"/>
      <c r="I912" s="223" t="s">
        <v>2358</v>
      </c>
      <c r="J912" s="226">
        <v>1.86</v>
      </c>
      <c r="K912" s="226"/>
      <c r="L912" s="226"/>
      <c r="M912" s="227">
        <v>32</v>
      </c>
      <c r="N912" s="227"/>
      <c r="O912" s="227"/>
      <c r="P912" s="222" t="s">
        <v>2359</v>
      </c>
      <c r="Q912" s="222" t="s">
        <v>911</v>
      </c>
      <c r="R912" s="222" t="s">
        <v>2360</v>
      </c>
      <c r="S912" s="228">
        <v>2.1805399060860799E-2</v>
      </c>
      <c r="T912" s="229" t="s">
        <v>382</v>
      </c>
      <c r="U912" s="229"/>
      <c r="V912" s="229"/>
      <c r="W912" s="230">
        <f>IF(BetTable[Sport]="","",BetTable[Stake]+BetTable[S2]+BetTable[S3])</f>
        <v>32</v>
      </c>
      <c r="X912" s="227">
        <f>IF(BetTable[Odds]="","",(BetTable[WBA1-Commission])-BetTable[TS])</f>
        <v>27.520000000000003</v>
      </c>
      <c r="Y912" s="231">
        <f>IF(BetTable[Outcome]="","",BetTable[WBA1]+BetTable[WBA2]+BetTable[WBA3]-BetTable[TS])</f>
        <v>-32</v>
      </c>
      <c r="Z912" s="227">
        <f>(((BetTable[Odds]-1)*BetTable[Stake])*(1-(BetTable[Comm %]))+BetTable[Stake])</f>
        <v>59.52</v>
      </c>
      <c r="AA912" s="227">
        <f>(((BetTable[O2]-1)*BetTable[S2])*(1-(BetTable[C% 2]))+BetTable[S2])</f>
        <v>0</v>
      </c>
      <c r="AB912" s="227">
        <f>(((BetTable[O3]-1)*BetTable[S3])*(1-(BetTable[C% 3]))+BetTable[S3])</f>
        <v>0</v>
      </c>
      <c r="AC912" s="228">
        <f>IFERROR(IF(BetTable[Sport]="","",BetTable[R1]/BetTable[TS]),"")</f>
        <v>0.8600000000000001</v>
      </c>
      <c r="AD912" s="228" t="str">
        <f>IF(BetTable[O2]="","",#REF!/BetTable[TS])</f>
        <v/>
      </c>
      <c r="AE912" s="228" t="str">
        <f>IFERROR(IF(BetTable[Sport]="","",#REF!/BetTable[TS]),"")</f>
        <v/>
      </c>
      <c r="AF912" s="227">
        <f>IF(BetTable[Outcome]="Win",BetTable[WBA1-Commission],IF(BetTable[Outcome]="Win Half Stake",(BetTable[Stake]/2)+BetTable[WBA1-Commission]/2,IF(BetTable[Outcome]="Lose Half Stake",BetTable[Stake]/2,IF(BetTable[Outcome]="Lose",0,IF(BetTable[Outcome]="Void",BetTable[Stake],)))))</f>
        <v>0</v>
      </c>
      <c r="AG912" s="227">
        <f>IF(BetTable[Outcome2]="Win",BetTable[WBA2-Commission],IF(BetTable[Outcome2]="Win Half Stake",(BetTable[S2]/2)+BetTable[WBA2-Commission]/2,IF(BetTable[Outcome2]="Lose Half Stake",BetTable[S2]/2,IF(BetTable[Outcome2]="Lose",0,IF(BetTable[Outcome2]="Void",BetTable[S2],)))))</f>
        <v>0</v>
      </c>
      <c r="AH912" s="227">
        <f>IF(BetTable[Outcome3]="Win",BetTable[WBA3-Commission],IF(BetTable[Outcome3]="Win Half Stake",(BetTable[S3]/2)+BetTable[WBA3-Commission]/2,IF(BetTable[Outcome3]="Lose Half Stake",BetTable[S3]/2,IF(BetTable[Outcome3]="Lose",0,IF(BetTable[Outcome3]="Void",BetTable[S3],)))))</f>
        <v>0</v>
      </c>
      <c r="AI912" s="231">
        <f>IF(BetTable[Outcome]="",AI911,BetTable[Result]+AI911)</f>
        <v>1240.0782500000009</v>
      </c>
      <c r="AJ912" s="223"/>
    </row>
    <row r="913" spans="1:36" x14ac:dyDescent="0.2">
      <c r="A913" s="222" t="s">
        <v>2094</v>
      </c>
      <c r="B913" s="223" t="s">
        <v>200</v>
      </c>
      <c r="C913" s="224" t="s">
        <v>1714</v>
      </c>
      <c r="D913" s="224"/>
      <c r="E913" s="224"/>
      <c r="F913" s="225"/>
      <c r="G913" s="225"/>
      <c r="H913" s="225"/>
      <c r="I913" s="223" t="s">
        <v>2361</v>
      </c>
      <c r="J913" s="226">
        <v>2.11</v>
      </c>
      <c r="K913" s="226"/>
      <c r="L913" s="226"/>
      <c r="M913" s="227">
        <v>22</v>
      </c>
      <c r="N913" s="227"/>
      <c r="O913" s="227"/>
      <c r="P913" s="222" t="s">
        <v>368</v>
      </c>
      <c r="Q913" s="222" t="s">
        <v>703</v>
      </c>
      <c r="R913" s="222" t="s">
        <v>2362</v>
      </c>
      <c r="S913" s="228">
        <v>1.55747398695477E-2</v>
      </c>
      <c r="T913" s="229" t="s">
        <v>372</v>
      </c>
      <c r="U913" s="229"/>
      <c r="V913" s="229"/>
      <c r="W913" s="230">
        <f>IF(BetTable[Sport]="","",BetTable[Stake]+BetTable[S2]+BetTable[S3])</f>
        <v>22</v>
      </c>
      <c r="X913" s="227">
        <f>IF(BetTable[Odds]="","",(BetTable[WBA1-Commission])-BetTable[TS])</f>
        <v>24.42</v>
      </c>
      <c r="Y913" s="231">
        <f>IF(BetTable[Outcome]="","",BetTable[WBA1]+BetTable[WBA2]+BetTable[WBA3]-BetTable[TS])</f>
        <v>24.42</v>
      </c>
      <c r="Z913" s="227">
        <f>(((BetTable[Odds]-1)*BetTable[Stake])*(1-(BetTable[Comm %]))+BetTable[Stake])</f>
        <v>46.42</v>
      </c>
      <c r="AA913" s="227">
        <f>(((BetTable[O2]-1)*BetTable[S2])*(1-(BetTable[C% 2]))+BetTable[S2])</f>
        <v>0</v>
      </c>
      <c r="AB913" s="227">
        <f>(((BetTable[O3]-1)*BetTable[S3])*(1-(BetTable[C% 3]))+BetTable[S3])</f>
        <v>0</v>
      </c>
      <c r="AC913" s="228">
        <f>IFERROR(IF(BetTable[Sport]="","",BetTable[R1]/BetTable[TS]),"")</f>
        <v>1.1100000000000001</v>
      </c>
      <c r="AD913" s="228" t="str">
        <f>IF(BetTable[O2]="","",#REF!/BetTable[TS])</f>
        <v/>
      </c>
      <c r="AE913" s="228" t="str">
        <f>IFERROR(IF(BetTable[Sport]="","",#REF!/BetTable[TS]),"")</f>
        <v/>
      </c>
      <c r="AF913" s="227">
        <f>IF(BetTable[Outcome]="Win",BetTable[WBA1-Commission],IF(BetTable[Outcome]="Win Half Stake",(BetTable[Stake]/2)+BetTable[WBA1-Commission]/2,IF(BetTable[Outcome]="Lose Half Stake",BetTable[Stake]/2,IF(BetTable[Outcome]="Lose",0,IF(BetTable[Outcome]="Void",BetTable[Stake],)))))</f>
        <v>46.42</v>
      </c>
      <c r="AG913" s="227">
        <f>IF(BetTable[Outcome2]="Win",BetTable[WBA2-Commission],IF(BetTable[Outcome2]="Win Half Stake",(BetTable[S2]/2)+BetTable[WBA2-Commission]/2,IF(BetTable[Outcome2]="Lose Half Stake",BetTable[S2]/2,IF(BetTable[Outcome2]="Lose",0,IF(BetTable[Outcome2]="Void",BetTable[S2],)))))</f>
        <v>0</v>
      </c>
      <c r="AH913" s="227">
        <f>IF(BetTable[Outcome3]="Win",BetTable[WBA3-Commission],IF(BetTable[Outcome3]="Win Half Stake",(BetTable[S3]/2)+BetTable[WBA3-Commission]/2,IF(BetTable[Outcome3]="Lose Half Stake",BetTable[S3]/2,IF(BetTable[Outcome3]="Lose",0,IF(BetTable[Outcome3]="Void",BetTable[S3],)))))</f>
        <v>0</v>
      </c>
      <c r="AI913" s="231">
        <f>IF(BetTable[Outcome]="",AI912,BetTable[Result]+AI912)</f>
        <v>1264.498250000001</v>
      </c>
      <c r="AJ913" s="223"/>
    </row>
    <row r="914" spans="1:36" x14ac:dyDescent="0.2">
      <c r="A914" s="222" t="s">
        <v>2094</v>
      </c>
      <c r="B914" s="223" t="s">
        <v>200</v>
      </c>
      <c r="C914" s="224" t="s">
        <v>1714</v>
      </c>
      <c r="D914" s="224"/>
      <c r="E914" s="224"/>
      <c r="F914" s="225"/>
      <c r="G914" s="225"/>
      <c r="H914" s="225"/>
      <c r="I914" s="223" t="s">
        <v>2289</v>
      </c>
      <c r="J914" s="226">
        <v>1.7</v>
      </c>
      <c r="K914" s="226"/>
      <c r="L914" s="226"/>
      <c r="M914" s="227">
        <v>35</v>
      </c>
      <c r="N914" s="227"/>
      <c r="O914" s="227"/>
      <c r="P914" s="222" t="s">
        <v>637</v>
      </c>
      <c r="Q914" s="222" t="s">
        <v>491</v>
      </c>
      <c r="R914" s="222" t="s">
        <v>2363</v>
      </c>
      <c r="S914" s="228">
        <v>1.5934065934065898E-2</v>
      </c>
      <c r="T914" s="229" t="s">
        <v>372</v>
      </c>
      <c r="U914" s="229"/>
      <c r="V914" s="229"/>
      <c r="W914" s="230">
        <f>IF(BetTable[Sport]="","",BetTable[Stake]+BetTable[S2]+BetTable[S3])</f>
        <v>35</v>
      </c>
      <c r="X914" s="227">
        <f>IF(BetTable[Odds]="","",(BetTable[WBA1-Commission])-BetTable[TS])</f>
        <v>24.5</v>
      </c>
      <c r="Y914" s="231">
        <f>IF(BetTable[Outcome]="","",BetTable[WBA1]+BetTable[WBA2]+BetTable[WBA3]-BetTable[TS])</f>
        <v>24.5</v>
      </c>
      <c r="Z914" s="227">
        <f>(((BetTable[Odds]-1)*BetTable[Stake])*(1-(BetTable[Comm %]))+BetTable[Stake])</f>
        <v>59.5</v>
      </c>
      <c r="AA914" s="227">
        <f>(((BetTable[O2]-1)*BetTable[S2])*(1-(BetTable[C% 2]))+BetTable[S2])</f>
        <v>0</v>
      </c>
      <c r="AB914" s="227">
        <f>(((BetTable[O3]-1)*BetTable[S3])*(1-(BetTable[C% 3]))+BetTable[S3])</f>
        <v>0</v>
      </c>
      <c r="AC914" s="228">
        <f>IFERROR(IF(BetTable[Sport]="","",BetTable[R1]/BetTable[TS]),"")</f>
        <v>0.7</v>
      </c>
      <c r="AD914" s="228" t="str">
        <f>IF(BetTable[O2]="","",#REF!/BetTable[TS])</f>
        <v/>
      </c>
      <c r="AE914" s="228" t="str">
        <f>IFERROR(IF(BetTable[Sport]="","",#REF!/BetTable[TS]),"")</f>
        <v/>
      </c>
      <c r="AF914" s="227">
        <f>IF(BetTable[Outcome]="Win",BetTable[WBA1-Commission],IF(BetTable[Outcome]="Win Half Stake",(BetTable[Stake]/2)+BetTable[WBA1-Commission]/2,IF(BetTable[Outcome]="Lose Half Stake",BetTable[Stake]/2,IF(BetTable[Outcome]="Lose",0,IF(BetTable[Outcome]="Void",BetTable[Stake],)))))</f>
        <v>59.5</v>
      </c>
      <c r="AG914" s="227">
        <f>IF(BetTable[Outcome2]="Win",BetTable[WBA2-Commission],IF(BetTable[Outcome2]="Win Half Stake",(BetTable[S2]/2)+BetTable[WBA2-Commission]/2,IF(BetTable[Outcome2]="Lose Half Stake",BetTable[S2]/2,IF(BetTable[Outcome2]="Lose",0,IF(BetTable[Outcome2]="Void",BetTable[S2],)))))</f>
        <v>0</v>
      </c>
      <c r="AH914" s="227">
        <f>IF(BetTable[Outcome3]="Win",BetTable[WBA3-Commission],IF(BetTable[Outcome3]="Win Half Stake",(BetTable[S3]/2)+BetTable[WBA3-Commission]/2,IF(BetTable[Outcome3]="Lose Half Stake",BetTable[S3]/2,IF(BetTable[Outcome3]="Lose",0,IF(BetTable[Outcome3]="Void",BetTable[S3],)))))</f>
        <v>0</v>
      </c>
      <c r="AI914" s="231">
        <f>IF(BetTable[Outcome]="",AI913,BetTable[Result]+AI913)</f>
        <v>1288.998250000001</v>
      </c>
      <c r="AJ914" s="223"/>
    </row>
    <row r="915" spans="1:36" x14ac:dyDescent="0.2">
      <c r="A915" s="222" t="s">
        <v>2094</v>
      </c>
      <c r="B915" s="223" t="s">
        <v>200</v>
      </c>
      <c r="C915" s="224" t="s">
        <v>1714</v>
      </c>
      <c r="D915" s="224"/>
      <c r="E915" s="224"/>
      <c r="F915" s="225"/>
      <c r="G915" s="225"/>
      <c r="H915" s="225"/>
      <c r="I915" s="223" t="s">
        <v>2364</v>
      </c>
      <c r="J915" s="226">
        <v>1.75</v>
      </c>
      <c r="K915" s="226"/>
      <c r="L915" s="226"/>
      <c r="M915" s="227">
        <v>41</v>
      </c>
      <c r="N915" s="227"/>
      <c r="O915" s="227"/>
      <c r="P915" s="222" t="s">
        <v>1725</v>
      </c>
      <c r="Q915" s="222" t="s">
        <v>659</v>
      </c>
      <c r="R915" s="222" t="s">
        <v>2365</v>
      </c>
      <c r="S915" s="228">
        <v>2.0049464820542699E-2</v>
      </c>
      <c r="T915" s="229" t="s">
        <v>382</v>
      </c>
      <c r="U915" s="229"/>
      <c r="V915" s="229"/>
      <c r="W915" s="230">
        <f>IF(BetTable[Sport]="","",BetTable[Stake]+BetTable[S2]+BetTable[S3])</f>
        <v>41</v>
      </c>
      <c r="X915" s="227">
        <f>IF(BetTable[Odds]="","",(BetTable[WBA1-Commission])-BetTable[TS])</f>
        <v>30.75</v>
      </c>
      <c r="Y915" s="231">
        <f>IF(BetTable[Outcome]="","",BetTable[WBA1]+BetTable[WBA2]+BetTable[WBA3]-BetTable[TS])</f>
        <v>-41</v>
      </c>
      <c r="Z915" s="227">
        <f>(((BetTable[Odds]-1)*BetTable[Stake])*(1-(BetTable[Comm %]))+BetTable[Stake])</f>
        <v>71.75</v>
      </c>
      <c r="AA915" s="227">
        <f>(((BetTable[O2]-1)*BetTable[S2])*(1-(BetTable[C% 2]))+BetTable[S2])</f>
        <v>0</v>
      </c>
      <c r="AB915" s="227">
        <f>(((BetTable[O3]-1)*BetTable[S3])*(1-(BetTable[C% 3]))+BetTable[S3])</f>
        <v>0</v>
      </c>
      <c r="AC915" s="228">
        <f>IFERROR(IF(BetTable[Sport]="","",BetTable[R1]/BetTable[TS]),"")</f>
        <v>0.75</v>
      </c>
      <c r="AD915" s="228" t="str">
        <f>IF(BetTable[O2]="","",#REF!/BetTable[TS])</f>
        <v/>
      </c>
      <c r="AE915" s="228" t="str">
        <f>IFERROR(IF(BetTable[Sport]="","",#REF!/BetTable[TS]),"")</f>
        <v/>
      </c>
      <c r="AF915" s="227">
        <f>IF(BetTable[Outcome]="Win",BetTable[WBA1-Commission],IF(BetTable[Outcome]="Win Half Stake",(BetTable[Stake]/2)+BetTable[WBA1-Commission]/2,IF(BetTable[Outcome]="Lose Half Stake",BetTable[Stake]/2,IF(BetTable[Outcome]="Lose",0,IF(BetTable[Outcome]="Void",BetTable[Stake],)))))</f>
        <v>0</v>
      </c>
      <c r="AG915" s="227">
        <f>IF(BetTable[Outcome2]="Win",BetTable[WBA2-Commission],IF(BetTable[Outcome2]="Win Half Stake",(BetTable[S2]/2)+BetTable[WBA2-Commission]/2,IF(BetTable[Outcome2]="Lose Half Stake",BetTable[S2]/2,IF(BetTable[Outcome2]="Lose",0,IF(BetTable[Outcome2]="Void",BetTable[S2],)))))</f>
        <v>0</v>
      </c>
      <c r="AH915" s="227">
        <f>IF(BetTable[Outcome3]="Win",BetTable[WBA3-Commission],IF(BetTable[Outcome3]="Win Half Stake",(BetTable[S3]/2)+BetTable[WBA3-Commission]/2,IF(BetTable[Outcome3]="Lose Half Stake",BetTable[S3]/2,IF(BetTable[Outcome3]="Lose",0,IF(BetTable[Outcome3]="Void",BetTable[S3],)))))</f>
        <v>0</v>
      </c>
      <c r="AI915" s="231">
        <f>IF(BetTable[Outcome]="",AI914,BetTable[Result]+AI914)</f>
        <v>1247.998250000001</v>
      </c>
      <c r="AJ915" s="223"/>
    </row>
    <row r="916" spans="1:36" x14ac:dyDescent="0.2">
      <c r="A916" s="222" t="s">
        <v>2094</v>
      </c>
      <c r="B916" s="223" t="s">
        <v>200</v>
      </c>
      <c r="C916" s="224" t="s">
        <v>1714</v>
      </c>
      <c r="D916" s="224"/>
      <c r="E916" s="224"/>
      <c r="F916" s="225"/>
      <c r="G916" s="225"/>
      <c r="H916" s="225"/>
      <c r="I916" s="223" t="s">
        <v>2366</v>
      </c>
      <c r="J916" s="226">
        <v>1.81</v>
      </c>
      <c r="K916" s="226"/>
      <c r="L916" s="226"/>
      <c r="M916" s="227">
        <v>40</v>
      </c>
      <c r="N916" s="227"/>
      <c r="O916" s="227"/>
      <c r="P916" s="222" t="s">
        <v>351</v>
      </c>
      <c r="Q916" s="222" t="s">
        <v>552</v>
      </c>
      <c r="R916" s="222" t="s">
        <v>2367</v>
      </c>
      <c r="S916" s="228">
        <v>2.11840689261951E-2</v>
      </c>
      <c r="T916" s="229" t="s">
        <v>549</v>
      </c>
      <c r="U916" s="229"/>
      <c r="V916" s="229"/>
      <c r="W916" s="230">
        <f>IF(BetTable[Sport]="","",BetTable[Stake]+BetTable[S2]+BetTable[S3])</f>
        <v>40</v>
      </c>
      <c r="X916" s="227">
        <f>IF(BetTable[Odds]="","",(BetTable[WBA1-Commission])-BetTable[TS])</f>
        <v>32.400000000000006</v>
      </c>
      <c r="Y916" s="231">
        <f>IF(BetTable[Outcome]="","",BetTable[WBA1]+BetTable[WBA2]+BetTable[WBA3]-BetTable[TS])</f>
        <v>-20</v>
      </c>
      <c r="Z916" s="227">
        <f>(((BetTable[Odds]-1)*BetTable[Stake])*(1-(BetTable[Comm %]))+BetTable[Stake])</f>
        <v>72.400000000000006</v>
      </c>
      <c r="AA916" s="227">
        <f>(((BetTable[O2]-1)*BetTable[S2])*(1-(BetTable[C% 2]))+BetTable[S2])</f>
        <v>0</v>
      </c>
      <c r="AB916" s="227">
        <f>(((BetTable[O3]-1)*BetTable[S3])*(1-(BetTable[C% 3]))+BetTable[S3])</f>
        <v>0</v>
      </c>
      <c r="AC916" s="228">
        <f>IFERROR(IF(BetTable[Sport]="","",BetTable[R1]/BetTable[TS]),"")</f>
        <v>0.81000000000000016</v>
      </c>
      <c r="AD916" s="228" t="str">
        <f>IF(BetTable[O2]="","",#REF!/BetTable[TS])</f>
        <v/>
      </c>
      <c r="AE916" s="228" t="str">
        <f>IFERROR(IF(BetTable[Sport]="","",#REF!/BetTable[TS]),"")</f>
        <v/>
      </c>
      <c r="AF916" s="227">
        <f>IF(BetTable[Outcome]="Win",BetTable[WBA1-Commission],IF(BetTable[Outcome]="Win Half Stake",(BetTable[Stake]/2)+BetTable[WBA1-Commission]/2,IF(BetTable[Outcome]="Lose Half Stake",BetTable[Stake]/2,IF(BetTable[Outcome]="Lose",0,IF(BetTable[Outcome]="Void",BetTable[Stake],)))))</f>
        <v>20</v>
      </c>
      <c r="AG916" s="227">
        <f>IF(BetTable[Outcome2]="Win",BetTable[WBA2-Commission],IF(BetTable[Outcome2]="Win Half Stake",(BetTable[S2]/2)+BetTable[WBA2-Commission]/2,IF(BetTable[Outcome2]="Lose Half Stake",BetTable[S2]/2,IF(BetTable[Outcome2]="Lose",0,IF(BetTable[Outcome2]="Void",BetTable[S2],)))))</f>
        <v>0</v>
      </c>
      <c r="AH916" s="227">
        <f>IF(BetTable[Outcome3]="Win",BetTable[WBA3-Commission],IF(BetTable[Outcome3]="Win Half Stake",(BetTable[S3]/2)+BetTable[WBA3-Commission]/2,IF(BetTable[Outcome3]="Lose Half Stake",BetTable[S3]/2,IF(BetTable[Outcome3]="Lose",0,IF(BetTable[Outcome3]="Void",BetTable[S3],)))))</f>
        <v>0</v>
      </c>
      <c r="AI916" s="231">
        <f>IF(BetTable[Outcome]="",AI915,BetTable[Result]+AI915)</f>
        <v>1227.998250000001</v>
      </c>
      <c r="AJ916" s="223"/>
    </row>
    <row r="917" spans="1:36" x14ac:dyDescent="0.2">
      <c r="A917" s="222" t="s">
        <v>2094</v>
      </c>
      <c r="B917" s="223" t="s">
        <v>200</v>
      </c>
      <c r="C917" s="224" t="s">
        <v>1714</v>
      </c>
      <c r="D917" s="224"/>
      <c r="E917" s="224"/>
      <c r="F917" s="225"/>
      <c r="G917" s="225"/>
      <c r="H917" s="225"/>
      <c r="I917" s="223" t="s">
        <v>2368</v>
      </c>
      <c r="J917" s="226">
        <v>1.99</v>
      </c>
      <c r="K917" s="226"/>
      <c r="L917" s="226"/>
      <c r="M917" s="227">
        <v>42</v>
      </c>
      <c r="N917" s="227"/>
      <c r="O917" s="227"/>
      <c r="P917" s="222" t="s">
        <v>688</v>
      </c>
      <c r="Q917" s="222" t="s">
        <v>530</v>
      </c>
      <c r="R917" s="222" t="s">
        <v>2369</v>
      </c>
      <c r="S917" s="228">
        <v>2.6621714937579501E-2</v>
      </c>
      <c r="T917" s="229" t="s">
        <v>372</v>
      </c>
      <c r="U917" s="229"/>
      <c r="V917" s="229"/>
      <c r="W917" s="230">
        <f>IF(BetTable[Sport]="","",BetTable[Stake]+BetTable[S2]+BetTable[S3])</f>
        <v>42</v>
      </c>
      <c r="X917" s="227">
        <f>IF(BetTable[Odds]="","",(BetTable[WBA1-Commission])-BetTable[TS])</f>
        <v>41.58</v>
      </c>
      <c r="Y917" s="231">
        <f>IF(BetTable[Outcome]="","",BetTable[WBA1]+BetTable[WBA2]+BetTable[WBA3]-BetTable[TS])</f>
        <v>41.58</v>
      </c>
      <c r="Z917" s="227">
        <f>(((BetTable[Odds]-1)*BetTable[Stake])*(1-(BetTable[Comm %]))+BetTable[Stake])</f>
        <v>83.58</v>
      </c>
      <c r="AA917" s="227">
        <f>(((BetTable[O2]-1)*BetTable[S2])*(1-(BetTable[C% 2]))+BetTable[S2])</f>
        <v>0</v>
      </c>
      <c r="AB917" s="227">
        <f>(((BetTable[O3]-1)*BetTable[S3])*(1-(BetTable[C% 3]))+BetTable[S3])</f>
        <v>0</v>
      </c>
      <c r="AC917" s="228">
        <f>IFERROR(IF(BetTable[Sport]="","",BetTable[R1]/BetTable[TS]),"")</f>
        <v>0.99</v>
      </c>
      <c r="AD917" s="228" t="str">
        <f>IF(BetTable[O2]="","",#REF!/BetTable[TS])</f>
        <v/>
      </c>
      <c r="AE917" s="228" t="str">
        <f>IFERROR(IF(BetTable[Sport]="","",#REF!/BetTable[TS]),"")</f>
        <v/>
      </c>
      <c r="AF917" s="227">
        <f>IF(BetTable[Outcome]="Win",BetTable[WBA1-Commission],IF(BetTable[Outcome]="Win Half Stake",(BetTable[Stake]/2)+BetTable[WBA1-Commission]/2,IF(BetTable[Outcome]="Lose Half Stake",BetTable[Stake]/2,IF(BetTable[Outcome]="Lose",0,IF(BetTable[Outcome]="Void",BetTable[Stake],)))))</f>
        <v>83.58</v>
      </c>
      <c r="AG917" s="227">
        <f>IF(BetTable[Outcome2]="Win",BetTable[WBA2-Commission],IF(BetTable[Outcome2]="Win Half Stake",(BetTable[S2]/2)+BetTable[WBA2-Commission]/2,IF(BetTable[Outcome2]="Lose Half Stake",BetTable[S2]/2,IF(BetTable[Outcome2]="Lose",0,IF(BetTable[Outcome2]="Void",BetTable[S2],)))))</f>
        <v>0</v>
      </c>
      <c r="AH917" s="227">
        <f>IF(BetTable[Outcome3]="Win",BetTable[WBA3-Commission],IF(BetTable[Outcome3]="Win Half Stake",(BetTable[S3]/2)+BetTable[WBA3-Commission]/2,IF(BetTable[Outcome3]="Lose Half Stake",BetTable[S3]/2,IF(BetTable[Outcome3]="Lose",0,IF(BetTable[Outcome3]="Void",BetTable[S3],)))))</f>
        <v>0</v>
      </c>
      <c r="AI917" s="231">
        <f>IF(BetTable[Outcome]="",AI916,BetTable[Result]+AI916)</f>
        <v>1269.5782500000009</v>
      </c>
      <c r="AJ917" s="223"/>
    </row>
    <row r="918" spans="1:36" x14ac:dyDescent="0.2">
      <c r="A918" s="222" t="s">
        <v>2094</v>
      </c>
      <c r="B918" s="223" t="s">
        <v>7</v>
      </c>
      <c r="C918" s="224" t="s">
        <v>91</v>
      </c>
      <c r="D918" s="224"/>
      <c r="E918" s="224"/>
      <c r="F918" s="225"/>
      <c r="G918" s="225"/>
      <c r="H918" s="225"/>
      <c r="I918" s="223" t="s">
        <v>2370</v>
      </c>
      <c r="J918" s="226">
        <v>1.91</v>
      </c>
      <c r="K918" s="226"/>
      <c r="L918" s="226"/>
      <c r="M918" s="227">
        <v>62</v>
      </c>
      <c r="N918" s="227"/>
      <c r="O918" s="227"/>
      <c r="P918" s="222" t="s">
        <v>2371</v>
      </c>
      <c r="Q918" s="222" t="s">
        <v>2372</v>
      </c>
      <c r="R918" s="222" t="s">
        <v>2373</v>
      </c>
      <c r="S918" s="228">
        <v>3.6602108733064902E-2</v>
      </c>
      <c r="T918" s="229" t="s">
        <v>382</v>
      </c>
      <c r="U918" s="229"/>
      <c r="V918" s="229"/>
      <c r="W918" s="230">
        <f>IF(BetTable[Sport]="","",BetTable[Stake]+BetTable[S2]+BetTable[S3])</f>
        <v>62</v>
      </c>
      <c r="X918" s="227">
        <f>IF(BetTable[Odds]="","",(BetTable[WBA1-Commission])-BetTable[TS])</f>
        <v>56.419999999999987</v>
      </c>
      <c r="Y918" s="231">
        <f>IF(BetTable[Outcome]="","",BetTable[WBA1]+BetTable[WBA2]+BetTable[WBA3]-BetTable[TS])</f>
        <v>-62</v>
      </c>
      <c r="Z918" s="227">
        <f>(((BetTable[Odds]-1)*BetTable[Stake])*(1-(BetTable[Comm %]))+BetTable[Stake])</f>
        <v>118.41999999999999</v>
      </c>
      <c r="AA918" s="227">
        <f>(((BetTable[O2]-1)*BetTable[S2])*(1-(BetTable[C% 2]))+BetTable[S2])</f>
        <v>0</v>
      </c>
      <c r="AB918" s="227">
        <f>(((BetTable[O3]-1)*BetTable[S3])*(1-(BetTable[C% 3]))+BetTable[S3])</f>
        <v>0</v>
      </c>
      <c r="AC918" s="228">
        <f>IFERROR(IF(BetTable[Sport]="","",BetTable[R1]/BetTable[TS]),"")</f>
        <v>0.90999999999999981</v>
      </c>
      <c r="AD918" s="228" t="str">
        <f>IF(BetTable[O2]="","",#REF!/BetTable[TS])</f>
        <v/>
      </c>
      <c r="AE918" s="228" t="str">
        <f>IFERROR(IF(BetTable[Sport]="","",#REF!/BetTable[TS]),"")</f>
        <v/>
      </c>
      <c r="AF918" s="227">
        <f>IF(BetTable[Outcome]="Win",BetTable[WBA1-Commission],IF(BetTable[Outcome]="Win Half Stake",(BetTable[Stake]/2)+BetTable[WBA1-Commission]/2,IF(BetTable[Outcome]="Lose Half Stake",BetTable[Stake]/2,IF(BetTable[Outcome]="Lose",0,IF(BetTable[Outcome]="Void",BetTable[Stake],)))))</f>
        <v>0</v>
      </c>
      <c r="AG918" s="227">
        <f>IF(BetTable[Outcome2]="Win",BetTable[WBA2-Commission],IF(BetTable[Outcome2]="Win Half Stake",(BetTable[S2]/2)+BetTable[WBA2-Commission]/2,IF(BetTable[Outcome2]="Lose Half Stake",BetTable[S2]/2,IF(BetTable[Outcome2]="Lose",0,IF(BetTable[Outcome2]="Void",BetTable[S2],)))))</f>
        <v>0</v>
      </c>
      <c r="AH918" s="227">
        <f>IF(BetTable[Outcome3]="Win",BetTable[WBA3-Commission],IF(BetTable[Outcome3]="Win Half Stake",(BetTable[S3]/2)+BetTable[WBA3-Commission]/2,IF(BetTable[Outcome3]="Lose Half Stake",BetTable[S3]/2,IF(BetTable[Outcome3]="Lose",0,IF(BetTable[Outcome3]="Void",BetTable[S3],)))))</f>
        <v>0</v>
      </c>
      <c r="AI918" s="231">
        <f>IF(BetTable[Outcome]="",AI917,BetTable[Result]+AI917)</f>
        <v>1207.5782500000009</v>
      </c>
      <c r="AJ918" s="223"/>
    </row>
    <row r="919" spans="1:36" x14ac:dyDescent="0.2">
      <c r="A919" s="222" t="s">
        <v>2094</v>
      </c>
      <c r="B919" s="223" t="s">
        <v>200</v>
      </c>
      <c r="C919" s="224" t="s">
        <v>1714</v>
      </c>
      <c r="D919" s="224"/>
      <c r="E919" s="224"/>
      <c r="F919" s="225"/>
      <c r="G919" s="225"/>
      <c r="H919" s="225"/>
      <c r="I919" s="223" t="s">
        <v>2361</v>
      </c>
      <c r="J919" s="226">
        <v>1.76</v>
      </c>
      <c r="K919" s="226"/>
      <c r="L919" s="226"/>
      <c r="M919" s="227">
        <v>33</v>
      </c>
      <c r="N919" s="227"/>
      <c r="O919" s="227"/>
      <c r="P919" s="222" t="s">
        <v>409</v>
      </c>
      <c r="Q919" s="222" t="s">
        <v>703</v>
      </c>
      <c r="R919" s="222" t="s">
        <v>2374</v>
      </c>
      <c r="S919" s="228">
        <v>1.6311977560419199E-2</v>
      </c>
      <c r="T919" s="229" t="s">
        <v>510</v>
      </c>
      <c r="U919" s="229"/>
      <c r="V919" s="229"/>
      <c r="W919" s="230">
        <f>IF(BetTable[Sport]="","",BetTable[Stake]+BetTable[S2]+BetTable[S3])</f>
        <v>33</v>
      </c>
      <c r="X919" s="227">
        <f>IF(BetTable[Odds]="","",(BetTable[WBA1-Commission])-BetTable[TS])</f>
        <v>25.08</v>
      </c>
      <c r="Y919" s="231">
        <f>IF(BetTable[Outcome]="","",BetTable[WBA1]+BetTable[WBA2]+BetTable[WBA3]-BetTable[TS])</f>
        <v>12.54</v>
      </c>
      <c r="Z919" s="227">
        <f>(((BetTable[Odds]-1)*BetTable[Stake])*(1-(BetTable[Comm %]))+BetTable[Stake])</f>
        <v>58.08</v>
      </c>
      <c r="AA919" s="227">
        <f>(((BetTable[O2]-1)*BetTable[S2])*(1-(BetTable[C% 2]))+BetTable[S2])</f>
        <v>0</v>
      </c>
      <c r="AB919" s="227">
        <f>(((BetTable[O3]-1)*BetTable[S3])*(1-(BetTable[C% 3]))+BetTable[S3])</f>
        <v>0</v>
      </c>
      <c r="AC919" s="228">
        <f>IFERROR(IF(BetTable[Sport]="","",BetTable[R1]/BetTable[TS]),"")</f>
        <v>0.7599999999999999</v>
      </c>
      <c r="AD919" s="228" t="str">
        <f>IF(BetTable[O2]="","",#REF!/BetTable[TS])</f>
        <v/>
      </c>
      <c r="AE919" s="228" t="str">
        <f>IFERROR(IF(BetTable[Sport]="","",#REF!/BetTable[TS]),"")</f>
        <v/>
      </c>
      <c r="AF919" s="227">
        <f>IF(BetTable[Outcome]="Win",BetTable[WBA1-Commission],IF(BetTable[Outcome]="Win Half Stake",(BetTable[Stake]/2)+BetTable[WBA1-Commission]/2,IF(BetTable[Outcome]="Lose Half Stake",BetTable[Stake]/2,IF(BetTable[Outcome]="Lose",0,IF(BetTable[Outcome]="Void",BetTable[Stake],)))))</f>
        <v>45.54</v>
      </c>
      <c r="AG919" s="227">
        <f>IF(BetTable[Outcome2]="Win",BetTable[WBA2-Commission],IF(BetTable[Outcome2]="Win Half Stake",(BetTable[S2]/2)+BetTable[WBA2-Commission]/2,IF(BetTable[Outcome2]="Lose Half Stake",BetTable[S2]/2,IF(BetTable[Outcome2]="Lose",0,IF(BetTable[Outcome2]="Void",BetTable[S2],)))))</f>
        <v>0</v>
      </c>
      <c r="AH919" s="227">
        <f>IF(BetTable[Outcome3]="Win",BetTable[WBA3-Commission],IF(BetTable[Outcome3]="Win Half Stake",(BetTable[S3]/2)+BetTable[WBA3-Commission]/2,IF(BetTable[Outcome3]="Lose Half Stake",BetTable[S3]/2,IF(BetTable[Outcome3]="Lose",0,IF(BetTable[Outcome3]="Void",BetTable[S3],)))))</f>
        <v>0</v>
      </c>
      <c r="AI919" s="231">
        <f>IF(BetTable[Outcome]="",AI918,BetTable[Result]+AI918)</f>
        <v>1220.1182500000009</v>
      </c>
      <c r="AJ919" s="223"/>
    </row>
    <row r="920" spans="1:36" x14ac:dyDescent="0.2">
      <c r="A920" s="222" t="s">
        <v>2375</v>
      </c>
      <c r="B920" s="223" t="s">
        <v>200</v>
      </c>
      <c r="C920" s="224" t="s">
        <v>1714</v>
      </c>
      <c r="D920" s="224"/>
      <c r="E920" s="224"/>
      <c r="F920" s="225"/>
      <c r="G920" s="225"/>
      <c r="H920" s="225"/>
      <c r="I920" s="223" t="s">
        <v>2376</v>
      </c>
      <c r="J920" s="226">
        <v>1.76</v>
      </c>
      <c r="K920" s="226"/>
      <c r="L920" s="226"/>
      <c r="M920" s="227">
        <v>35</v>
      </c>
      <c r="N920" s="227"/>
      <c r="O920" s="227"/>
      <c r="P920" s="222" t="s">
        <v>646</v>
      </c>
      <c r="Q920" s="222" t="s">
        <v>1132</v>
      </c>
      <c r="R920" s="222" t="s">
        <v>2377</v>
      </c>
      <c r="S920" s="228">
        <v>1.72061104808852E-2</v>
      </c>
      <c r="T920" s="229" t="s">
        <v>372</v>
      </c>
      <c r="U920" s="229"/>
      <c r="V920" s="229"/>
      <c r="W920" s="230">
        <f>IF(BetTable[Sport]="","",BetTable[Stake]+BetTable[S2]+BetTable[S3])</f>
        <v>35</v>
      </c>
      <c r="X920" s="227">
        <f>IF(BetTable[Odds]="","",(BetTable[WBA1-Commission])-BetTable[TS])</f>
        <v>26.6</v>
      </c>
      <c r="Y920" s="231">
        <f>IF(BetTable[Outcome]="","",BetTable[WBA1]+BetTable[WBA2]+BetTable[WBA3]-BetTable[TS])</f>
        <v>26.6</v>
      </c>
      <c r="Z920" s="227">
        <f>(((BetTable[Odds]-1)*BetTable[Stake])*(1-(BetTable[Comm %]))+BetTable[Stake])</f>
        <v>61.6</v>
      </c>
      <c r="AA920" s="227">
        <f>(((BetTable[O2]-1)*BetTable[S2])*(1-(BetTable[C% 2]))+BetTable[S2])</f>
        <v>0</v>
      </c>
      <c r="AB920" s="227">
        <f>(((BetTable[O3]-1)*BetTable[S3])*(1-(BetTable[C% 3]))+BetTable[S3])</f>
        <v>0</v>
      </c>
      <c r="AC920" s="228">
        <f>IFERROR(IF(BetTable[Sport]="","",BetTable[R1]/BetTable[TS]),"")</f>
        <v>0.76</v>
      </c>
      <c r="AD920" s="228" t="str">
        <f>IF(BetTable[O2]="","",#REF!/BetTable[TS])</f>
        <v/>
      </c>
      <c r="AE920" s="228" t="str">
        <f>IFERROR(IF(BetTable[Sport]="","",#REF!/BetTable[TS]),"")</f>
        <v/>
      </c>
      <c r="AF920" s="227">
        <f>IF(BetTable[Outcome]="Win",BetTable[WBA1-Commission],IF(BetTable[Outcome]="Win Half Stake",(BetTable[Stake]/2)+BetTable[WBA1-Commission]/2,IF(BetTable[Outcome]="Lose Half Stake",BetTable[Stake]/2,IF(BetTable[Outcome]="Lose",0,IF(BetTable[Outcome]="Void",BetTable[Stake],)))))</f>
        <v>61.6</v>
      </c>
      <c r="AG920" s="227">
        <f>IF(BetTable[Outcome2]="Win",BetTable[WBA2-Commission],IF(BetTable[Outcome2]="Win Half Stake",(BetTable[S2]/2)+BetTable[WBA2-Commission]/2,IF(BetTable[Outcome2]="Lose Half Stake",BetTable[S2]/2,IF(BetTable[Outcome2]="Lose",0,IF(BetTable[Outcome2]="Void",BetTable[S2],)))))</f>
        <v>0</v>
      </c>
      <c r="AH920" s="227">
        <f>IF(BetTable[Outcome3]="Win",BetTable[WBA3-Commission],IF(BetTable[Outcome3]="Win Half Stake",(BetTable[S3]/2)+BetTable[WBA3-Commission]/2,IF(BetTable[Outcome3]="Lose Half Stake",BetTable[S3]/2,IF(BetTable[Outcome3]="Lose",0,IF(BetTable[Outcome3]="Void",BetTable[S3],)))))</f>
        <v>0</v>
      </c>
      <c r="AI920" s="231">
        <f>IF(BetTable[Outcome]="",AI919,BetTable[Result]+AI919)</f>
        <v>1246.7182500000008</v>
      </c>
      <c r="AJ920" s="223"/>
    </row>
    <row r="921" spans="1:36" x14ac:dyDescent="0.2">
      <c r="A921" s="222" t="s">
        <v>2375</v>
      </c>
      <c r="B921" s="223" t="s">
        <v>200</v>
      </c>
      <c r="C921" s="224" t="s">
        <v>1714</v>
      </c>
      <c r="D921" s="224"/>
      <c r="E921" s="224"/>
      <c r="F921" s="225"/>
      <c r="G921" s="225"/>
      <c r="H921" s="225"/>
      <c r="I921" s="223" t="s">
        <v>2378</v>
      </c>
      <c r="J921" s="226">
        <v>2.1240000000000001</v>
      </c>
      <c r="K921" s="226"/>
      <c r="L921" s="226"/>
      <c r="M921" s="227">
        <v>36</v>
      </c>
      <c r="N921" s="227"/>
      <c r="O921" s="227"/>
      <c r="P921" s="222" t="s">
        <v>351</v>
      </c>
      <c r="Q921" s="222" t="s">
        <v>482</v>
      </c>
      <c r="R921" s="222" t="s">
        <v>2379</v>
      </c>
      <c r="S921" s="228">
        <v>2.63440590236435E-2</v>
      </c>
      <c r="T921" s="229" t="s">
        <v>372</v>
      </c>
      <c r="U921" s="229"/>
      <c r="V921" s="229"/>
      <c r="W921" s="230">
        <f>IF(BetTable[Sport]="","",BetTable[Stake]+BetTable[S2]+BetTable[S3])</f>
        <v>36</v>
      </c>
      <c r="X921" s="227">
        <f>IF(BetTable[Odds]="","",(BetTable[WBA1-Commission])-BetTable[TS])</f>
        <v>40.463999999999999</v>
      </c>
      <c r="Y921" s="231">
        <f>IF(BetTable[Outcome]="","",BetTable[WBA1]+BetTable[WBA2]+BetTable[WBA3]-BetTable[TS])</f>
        <v>40.463999999999999</v>
      </c>
      <c r="Z921" s="227">
        <f>(((BetTable[Odds]-1)*BetTable[Stake])*(1-(BetTable[Comm %]))+BetTable[Stake])</f>
        <v>76.463999999999999</v>
      </c>
      <c r="AA921" s="227">
        <f>(((BetTable[O2]-1)*BetTable[S2])*(1-(BetTable[C% 2]))+BetTable[S2])</f>
        <v>0</v>
      </c>
      <c r="AB921" s="227">
        <f>(((BetTable[O3]-1)*BetTable[S3])*(1-(BetTable[C% 3]))+BetTable[S3])</f>
        <v>0</v>
      </c>
      <c r="AC921" s="228">
        <f>IFERROR(IF(BetTable[Sport]="","",BetTable[R1]/BetTable[TS]),"")</f>
        <v>1.1239999999999999</v>
      </c>
      <c r="AD921" s="228" t="str">
        <f>IF(BetTable[O2]="","",#REF!/BetTable[TS])</f>
        <v/>
      </c>
      <c r="AE921" s="228" t="str">
        <f>IFERROR(IF(BetTable[Sport]="","",#REF!/BetTable[TS]),"")</f>
        <v/>
      </c>
      <c r="AF921" s="227">
        <f>IF(BetTable[Outcome]="Win",BetTable[WBA1-Commission],IF(BetTable[Outcome]="Win Half Stake",(BetTable[Stake]/2)+BetTable[WBA1-Commission]/2,IF(BetTable[Outcome]="Lose Half Stake",BetTable[Stake]/2,IF(BetTable[Outcome]="Lose",0,IF(BetTable[Outcome]="Void",BetTable[Stake],)))))</f>
        <v>76.463999999999999</v>
      </c>
      <c r="AG921" s="227">
        <f>IF(BetTable[Outcome2]="Win",BetTable[WBA2-Commission],IF(BetTable[Outcome2]="Win Half Stake",(BetTable[S2]/2)+BetTable[WBA2-Commission]/2,IF(BetTable[Outcome2]="Lose Half Stake",BetTable[S2]/2,IF(BetTable[Outcome2]="Lose",0,IF(BetTable[Outcome2]="Void",BetTable[S2],)))))</f>
        <v>0</v>
      </c>
      <c r="AH921" s="227">
        <f>IF(BetTable[Outcome3]="Win",BetTable[WBA3-Commission],IF(BetTable[Outcome3]="Win Half Stake",(BetTable[S3]/2)+BetTable[WBA3-Commission]/2,IF(BetTable[Outcome3]="Lose Half Stake",BetTable[S3]/2,IF(BetTable[Outcome3]="Lose",0,IF(BetTable[Outcome3]="Void",BetTable[S3],)))))</f>
        <v>0</v>
      </c>
      <c r="AI921" s="231">
        <f>IF(BetTable[Outcome]="",AI920,BetTable[Result]+AI920)</f>
        <v>1287.1822500000007</v>
      </c>
      <c r="AJ921" s="223"/>
    </row>
    <row r="922" spans="1:36" x14ac:dyDescent="0.2">
      <c r="A922" s="222" t="s">
        <v>2375</v>
      </c>
      <c r="B922" s="223" t="s">
        <v>7</v>
      </c>
      <c r="C922" s="224" t="s">
        <v>216</v>
      </c>
      <c r="D922" s="224"/>
      <c r="E922" s="224"/>
      <c r="F922" s="225"/>
      <c r="G922" s="225"/>
      <c r="H922" s="225"/>
      <c r="I922" s="223" t="s">
        <v>2380</v>
      </c>
      <c r="J922" s="226">
        <v>1.87</v>
      </c>
      <c r="K922" s="226"/>
      <c r="L922" s="226"/>
      <c r="M922" s="227">
        <v>28</v>
      </c>
      <c r="N922" s="227"/>
      <c r="O922" s="227"/>
      <c r="P922" s="222" t="s">
        <v>2381</v>
      </c>
      <c r="Q922" s="222" t="s">
        <v>482</v>
      </c>
      <c r="R922" s="222" t="s">
        <v>2382</v>
      </c>
      <c r="S922" s="228">
        <v>5.7031741852009203E-2</v>
      </c>
      <c r="T922" s="229" t="s">
        <v>382</v>
      </c>
      <c r="U922" s="229"/>
      <c r="V922" s="229"/>
      <c r="W922" s="230">
        <f>IF(BetTable[Sport]="","",BetTable[Stake]+BetTable[S2]+BetTable[S3])</f>
        <v>28</v>
      </c>
      <c r="X922" s="227">
        <f>IF(BetTable[Odds]="","",(BetTable[WBA1-Commission])-BetTable[TS])</f>
        <v>24.36</v>
      </c>
      <c r="Y922" s="231">
        <f>IF(BetTable[Outcome]="","",BetTable[WBA1]+BetTable[WBA2]+BetTable[WBA3]-BetTable[TS])</f>
        <v>-28</v>
      </c>
      <c r="Z922" s="227">
        <f>(((BetTable[Odds]-1)*BetTable[Stake])*(1-(BetTable[Comm %]))+BetTable[Stake])</f>
        <v>52.36</v>
      </c>
      <c r="AA922" s="227">
        <f>(((BetTable[O2]-1)*BetTable[S2])*(1-(BetTable[C% 2]))+BetTable[S2])</f>
        <v>0</v>
      </c>
      <c r="AB922" s="227">
        <f>(((BetTable[O3]-1)*BetTable[S3])*(1-(BetTable[C% 3]))+BetTable[S3])</f>
        <v>0</v>
      </c>
      <c r="AC922" s="228">
        <f>IFERROR(IF(BetTable[Sport]="","",BetTable[R1]/BetTable[TS]),"")</f>
        <v>0.87</v>
      </c>
      <c r="AD922" s="228" t="str">
        <f>IF(BetTable[O2]="","",#REF!/BetTable[TS])</f>
        <v/>
      </c>
      <c r="AE922" s="228" t="str">
        <f>IFERROR(IF(BetTable[Sport]="","",#REF!/BetTable[TS]),"")</f>
        <v/>
      </c>
      <c r="AF922" s="227">
        <f>IF(BetTable[Outcome]="Win",BetTable[WBA1-Commission],IF(BetTable[Outcome]="Win Half Stake",(BetTable[Stake]/2)+BetTable[WBA1-Commission]/2,IF(BetTable[Outcome]="Lose Half Stake",BetTable[Stake]/2,IF(BetTable[Outcome]="Lose",0,IF(BetTable[Outcome]="Void",BetTable[Stake],)))))</f>
        <v>0</v>
      </c>
      <c r="AG922" s="227">
        <f>IF(BetTable[Outcome2]="Win",BetTable[WBA2-Commission],IF(BetTable[Outcome2]="Win Half Stake",(BetTable[S2]/2)+BetTable[WBA2-Commission]/2,IF(BetTable[Outcome2]="Lose Half Stake",BetTable[S2]/2,IF(BetTable[Outcome2]="Lose",0,IF(BetTable[Outcome2]="Void",BetTable[S2],)))))</f>
        <v>0</v>
      </c>
      <c r="AH922" s="227">
        <f>IF(BetTable[Outcome3]="Win",BetTable[WBA3-Commission],IF(BetTable[Outcome3]="Win Half Stake",(BetTable[S3]/2)+BetTable[WBA3-Commission]/2,IF(BetTable[Outcome3]="Lose Half Stake",BetTable[S3]/2,IF(BetTable[Outcome3]="Lose",0,IF(BetTable[Outcome3]="Void",BetTable[S3],)))))</f>
        <v>0</v>
      </c>
      <c r="AI922" s="231">
        <f>IF(BetTable[Outcome]="",AI921,BetTable[Result]+AI921)</f>
        <v>1259.1822500000007</v>
      </c>
      <c r="AJ922" s="223"/>
    </row>
    <row r="923" spans="1:36" x14ac:dyDescent="0.2">
      <c r="A923" s="222" t="s">
        <v>2375</v>
      </c>
      <c r="B923" s="223" t="s">
        <v>201</v>
      </c>
      <c r="C923" s="224" t="s">
        <v>216</v>
      </c>
      <c r="D923" s="224"/>
      <c r="E923" s="224"/>
      <c r="F923" s="225"/>
      <c r="G923" s="225"/>
      <c r="H923" s="225"/>
      <c r="I923" s="223" t="s">
        <v>2383</v>
      </c>
      <c r="J923" s="226">
        <v>3.1</v>
      </c>
      <c r="K923" s="226"/>
      <c r="L923" s="226"/>
      <c r="M923" s="227">
        <v>28</v>
      </c>
      <c r="N923" s="227"/>
      <c r="O923" s="227"/>
      <c r="P923" s="222" t="s">
        <v>428</v>
      </c>
      <c r="Q923" s="222" t="s">
        <v>503</v>
      </c>
      <c r="R923" s="222" t="s">
        <v>2384</v>
      </c>
      <c r="S923" s="228">
        <v>3.8194105734657702E-2</v>
      </c>
      <c r="T923" s="229" t="s">
        <v>382</v>
      </c>
      <c r="U923" s="229"/>
      <c r="V923" s="229"/>
      <c r="W923" s="230">
        <f>IF(BetTable[Sport]="","",BetTable[Stake]+BetTable[S2]+BetTable[S3])</f>
        <v>28</v>
      </c>
      <c r="X923" s="227">
        <f>IF(BetTable[Odds]="","",(BetTable[WBA1-Commission])-BetTable[TS])</f>
        <v>58.800000000000011</v>
      </c>
      <c r="Y923" s="231">
        <f>IF(BetTable[Outcome]="","",BetTable[WBA1]+BetTable[WBA2]+BetTable[WBA3]-BetTable[TS])</f>
        <v>-28</v>
      </c>
      <c r="Z923" s="227">
        <f>(((BetTable[Odds]-1)*BetTable[Stake])*(1-(BetTable[Comm %]))+BetTable[Stake])</f>
        <v>86.800000000000011</v>
      </c>
      <c r="AA923" s="227">
        <f>(((BetTable[O2]-1)*BetTable[S2])*(1-(BetTable[C% 2]))+BetTable[S2])</f>
        <v>0</v>
      </c>
      <c r="AB923" s="227">
        <f>(((BetTable[O3]-1)*BetTable[S3])*(1-(BetTable[C% 3]))+BetTable[S3])</f>
        <v>0</v>
      </c>
      <c r="AC923" s="228">
        <f>IFERROR(IF(BetTable[Sport]="","",BetTable[R1]/BetTable[TS]),"")</f>
        <v>2.1000000000000005</v>
      </c>
      <c r="AD923" s="228" t="str">
        <f>IF(BetTable[O2]="","",#REF!/BetTable[TS])</f>
        <v/>
      </c>
      <c r="AE923" s="228" t="str">
        <f>IFERROR(IF(BetTable[Sport]="","",#REF!/BetTable[TS]),"")</f>
        <v/>
      </c>
      <c r="AF923" s="227">
        <f>IF(BetTable[Outcome]="Win",BetTable[WBA1-Commission],IF(BetTable[Outcome]="Win Half Stake",(BetTable[Stake]/2)+BetTable[WBA1-Commission]/2,IF(BetTable[Outcome]="Lose Half Stake",BetTable[Stake]/2,IF(BetTable[Outcome]="Lose",0,IF(BetTable[Outcome]="Void",BetTable[Stake],)))))</f>
        <v>0</v>
      </c>
      <c r="AG923" s="227">
        <f>IF(BetTable[Outcome2]="Win",BetTable[WBA2-Commission],IF(BetTable[Outcome2]="Win Half Stake",(BetTable[S2]/2)+BetTable[WBA2-Commission]/2,IF(BetTable[Outcome2]="Lose Half Stake",BetTable[S2]/2,IF(BetTable[Outcome2]="Lose",0,IF(BetTable[Outcome2]="Void",BetTable[S2],)))))</f>
        <v>0</v>
      </c>
      <c r="AH923" s="227">
        <f>IF(BetTable[Outcome3]="Win",BetTable[WBA3-Commission],IF(BetTable[Outcome3]="Win Half Stake",(BetTable[S3]/2)+BetTable[WBA3-Commission]/2,IF(BetTable[Outcome3]="Lose Half Stake",BetTable[S3]/2,IF(BetTable[Outcome3]="Lose",0,IF(BetTable[Outcome3]="Void",BetTable[S3],)))))</f>
        <v>0</v>
      </c>
      <c r="AI923" s="231">
        <f>IF(BetTable[Outcome]="",AI922,BetTable[Result]+AI922)</f>
        <v>1231.1822500000007</v>
      </c>
      <c r="AJ923" s="223"/>
    </row>
    <row r="924" spans="1:36" x14ac:dyDescent="0.2">
      <c r="A924" s="222" t="s">
        <v>2375</v>
      </c>
      <c r="B924" s="223" t="s">
        <v>7</v>
      </c>
      <c r="C924" s="224" t="s">
        <v>216</v>
      </c>
      <c r="D924" s="224"/>
      <c r="E924" s="224"/>
      <c r="F924" s="225"/>
      <c r="G924" s="225"/>
      <c r="H924" s="225"/>
      <c r="I924" s="223" t="s">
        <v>2385</v>
      </c>
      <c r="J924" s="226">
        <v>1.909</v>
      </c>
      <c r="K924" s="226"/>
      <c r="L924" s="226"/>
      <c r="M924" s="227">
        <v>55</v>
      </c>
      <c r="N924" s="227"/>
      <c r="O924" s="227"/>
      <c r="P924" s="222" t="s">
        <v>1443</v>
      </c>
      <c r="Q924" s="222" t="s">
        <v>574</v>
      </c>
      <c r="R924" s="222" t="s">
        <v>2386</v>
      </c>
      <c r="S924" s="228">
        <v>3.5835839598997402E-2</v>
      </c>
      <c r="T924" s="229" t="s">
        <v>372</v>
      </c>
      <c r="U924" s="229"/>
      <c r="V924" s="229"/>
      <c r="W924" s="230">
        <f>IF(BetTable[Sport]="","",BetTable[Stake]+BetTable[S2]+BetTable[S3])</f>
        <v>55</v>
      </c>
      <c r="X924" s="227">
        <f>IF(BetTable[Odds]="","",(BetTable[WBA1-Commission])-BetTable[TS])</f>
        <v>49.995000000000005</v>
      </c>
      <c r="Y924" s="231">
        <f>IF(BetTable[Outcome]="","",BetTable[WBA1]+BetTable[WBA2]+BetTable[WBA3]-BetTable[TS])</f>
        <v>49.995000000000005</v>
      </c>
      <c r="Z924" s="227">
        <f>(((BetTable[Odds]-1)*BetTable[Stake])*(1-(BetTable[Comm %]))+BetTable[Stake])</f>
        <v>104.995</v>
      </c>
      <c r="AA924" s="227">
        <f>(((BetTable[O2]-1)*BetTable[S2])*(1-(BetTable[C% 2]))+BetTable[S2])</f>
        <v>0</v>
      </c>
      <c r="AB924" s="227">
        <f>(((BetTable[O3]-1)*BetTable[S3])*(1-(BetTable[C% 3]))+BetTable[S3])</f>
        <v>0</v>
      </c>
      <c r="AC924" s="228">
        <f>IFERROR(IF(BetTable[Sport]="","",BetTable[R1]/BetTable[TS]),"")</f>
        <v>0.90900000000000003</v>
      </c>
      <c r="AD924" s="228" t="str">
        <f>IF(BetTable[O2]="","",#REF!/BetTable[TS])</f>
        <v/>
      </c>
      <c r="AE924" s="228" t="str">
        <f>IFERROR(IF(BetTable[Sport]="","",#REF!/BetTable[TS]),"")</f>
        <v/>
      </c>
      <c r="AF924" s="227">
        <f>IF(BetTable[Outcome]="Win",BetTable[WBA1-Commission],IF(BetTable[Outcome]="Win Half Stake",(BetTable[Stake]/2)+BetTable[WBA1-Commission]/2,IF(BetTable[Outcome]="Lose Half Stake",BetTable[Stake]/2,IF(BetTable[Outcome]="Lose",0,IF(BetTable[Outcome]="Void",BetTable[Stake],)))))</f>
        <v>104.995</v>
      </c>
      <c r="AG924" s="227">
        <f>IF(BetTable[Outcome2]="Win",BetTable[WBA2-Commission],IF(BetTable[Outcome2]="Win Half Stake",(BetTable[S2]/2)+BetTable[WBA2-Commission]/2,IF(BetTable[Outcome2]="Lose Half Stake",BetTable[S2]/2,IF(BetTable[Outcome2]="Lose",0,IF(BetTable[Outcome2]="Void",BetTable[S2],)))))</f>
        <v>0</v>
      </c>
      <c r="AH924" s="227">
        <f>IF(BetTable[Outcome3]="Win",BetTable[WBA3-Commission],IF(BetTable[Outcome3]="Win Half Stake",(BetTable[S3]/2)+BetTable[WBA3-Commission]/2,IF(BetTable[Outcome3]="Lose Half Stake",BetTable[S3]/2,IF(BetTable[Outcome3]="Lose",0,IF(BetTable[Outcome3]="Void",BetTable[S3],)))))</f>
        <v>0</v>
      </c>
      <c r="AI924" s="231">
        <f>IF(BetTable[Outcome]="",AI923,BetTable[Result]+AI923)</f>
        <v>1281.1772500000006</v>
      </c>
      <c r="AJ924" s="223"/>
    </row>
    <row r="925" spans="1:36" x14ac:dyDescent="0.2">
      <c r="A925" s="222" t="s">
        <v>2375</v>
      </c>
      <c r="B925" s="223" t="s">
        <v>7</v>
      </c>
      <c r="C925" s="224" t="s">
        <v>216</v>
      </c>
      <c r="D925" s="224"/>
      <c r="E925" s="224"/>
      <c r="F925" s="225"/>
      <c r="G925" s="225"/>
      <c r="H925" s="225"/>
      <c r="I925" s="223" t="s">
        <v>2387</v>
      </c>
      <c r="J925" s="226">
        <v>1.909</v>
      </c>
      <c r="K925" s="226"/>
      <c r="L925" s="226"/>
      <c r="M925" s="227">
        <v>31</v>
      </c>
      <c r="N925" s="227"/>
      <c r="O925" s="227"/>
      <c r="P925" s="222" t="s">
        <v>2312</v>
      </c>
      <c r="Q925" s="222" t="s">
        <v>503</v>
      </c>
      <c r="R925" s="222" t="s">
        <v>2388</v>
      </c>
      <c r="S925" s="228">
        <v>1.79345482666881E-2</v>
      </c>
      <c r="T925" s="229" t="s">
        <v>382</v>
      </c>
      <c r="U925" s="229"/>
      <c r="V925" s="229"/>
      <c r="W925" s="230">
        <f>IF(BetTable[Sport]="","",BetTable[Stake]+BetTable[S2]+BetTable[S3])</f>
        <v>31</v>
      </c>
      <c r="X925" s="227">
        <f>IF(BetTable[Odds]="","",(BetTable[WBA1-Commission])-BetTable[TS])</f>
        <v>28.179000000000002</v>
      </c>
      <c r="Y925" s="231">
        <f>IF(BetTable[Outcome]="","",BetTable[WBA1]+BetTable[WBA2]+BetTable[WBA3]-BetTable[TS])</f>
        <v>-31</v>
      </c>
      <c r="Z925" s="227">
        <f>(((BetTable[Odds]-1)*BetTable[Stake])*(1-(BetTable[Comm %]))+BetTable[Stake])</f>
        <v>59.179000000000002</v>
      </c>
      <c r="AA925" s="227">
        <f>(((BetTable[O2]-1)*BetTable[S2])*(1-(BetTable[C% 2]))+BetTable[S2])</f>
        <v>0</v>
      </c>
      <c r="AB925" s="227">
        <f>(((BetTable[O3]-1)*BetTable[S3])*(1-(BetTable[C% 3]))+BetTable[S3])</f>
        <v>0</v>
      </c>
      <c r="AC925" s="228">
        <f>IFERROR(IF(BetTable[Sport]="","",BetTable[R1]/BetTable[TS]),"")</f>
        <v>0.90900000000000003</v>
      </c>
      <c r="AD925" s="228" t="str">
        <f>IF(BetTable[O2]="","",#REF!/BetTable[TS])</f>
        <v/>
      </c>
      <c r="AE925" s="228" t="str">
        <f>IFERROR(IF(BetTable[Sport]="","",#REF!/BetTable[TS]),"")</f>
        <v/>
      </c>
      <c r="AF925" s="227">
        <f>IF(BetTable[Outcome]="Win",BetTable[WBA1-Commission],IF(BetTable[Outcome]="Win Half Stake",(BetTable[Stake]/2)+BetTable[WBA1-Commission]/2,IF(BetTable[Outcome]="Lose Half Stake",BetTable[Stake]/2,IF(BetTable[Outcome]="Lose",0,IF(BetTable[Outcome]="Void",BetTable[Stake],)))))</f>
        <v>0</v>
      </c>
      <c r="AG925" s="227">
        <f>IF(BetTable[Outcome2]="Win",BetTable[WBA2-Commission],IF(BetTable[Outcome2]="Win Half Stake",(BetTable[S2]/2)+BetTable[WBA2-Commission]/2,IF(BetTable[Outcome2]="Lose Half Stake",BetTable[S2]/2,IF(BetTable[Outcome2]="Lose",0,IF(BetTable[Outcome2]="Void",BetTable[S2],)))))</f>
        <v>0</v>
      </c>
      <c r="AH925" s="227">
        <f>IF(BetTable[Outcome3]="Win",BetTable[WBA3-Commission],IF(BetTable[Outcome3]="Win Half Stake",(BetTable[S3]/2)+BetTable[WBA3-Commission]/2,IF(BetTable[Outcome3]="Lose Half Stake",BetTable[S3]/2,IF(BetTable[Outcome3]="Lose",0,IF(BetTable[Outcome3]="Void",BetTable[S3],)))))</f>
        <v>0</v>
      </c>
      <c r="AI925" s="231">
        <f>IF(BetTable[Outcome]="",AI924,BetTable[Result]+AI924)</f>
        <v>1250.1772500000006</v>
      </c>
      <c r="AJ925" s="223"/>
    </row>
    <row r="926" spans="1:36" x14ac:dyDescent="0.2">
      <c r="A926" s="222" t="s">
        <v>2375</v>
      </c>
      <c r="B926" s="223" t="s">
        <v>7</v>
      </c>
      <c r="C926" s="224" t="s">
        <v>1714</v>
      </c>
      <c r="D926" s="224"/>
      <c r="E926" s="224"/>
      <c r="F926" s="225"/>
      <c r="G926" s="225"/>
      <c r="H926" s="225"/>
      <c r="I926" s="223" t="s">
        <v>2389</v>
      </c>
      <c r="J926" s="226">
        <v>1.9</v>
      </c>
      <c r="K926" s="226"/>
      <c r="L926" s="226"/>
      <c r="M926" s="227">
        <v>39</v>
      </c>
      <c r="N926" s="227"/>
      <c r="O926" s="227"/>
      <c r="P926" s="222" t="s">
        <v>2299</v>
      </c>
      <c r="Q926" s="222" t="s">
        <v>779</v>
      </c>
      <c r="R926" s="222" t="s">
        <v>2390</v>
      </c>
      <c r="S926" s="228">
        <v>2.2915482825094501E-2</v>
      </c>
      <c r="T926" s="229" t="s">
        <v>372</v>
      </c>
      <c r="U926" s="229"/>
      <c r="V926" s="229"/>
      <c r="W926" s="230">
        <f>IF(BetTable[Sport]="","",BetTable[Stake]+BetTable[S2]+BetTable[S3])</f>
        <v>39</v>
      </c>
      <c r="X926" s="227">
        <f>IF(BetTable[Odds]="","",(BetTable[WBA1-Commission])-BetTable[TS])</f>
        <v>35.099999999999994</v>
      </c>
      <c r="Y926" s="231">
        <f>IF(BetTable[Outcome]="","",BetTable[WBA1]+BetTable[WBA2]+BetTable[WBA3]-BetTable[TS])</f>
        <v>35.099999999999994</v>
      </c>
      <c r="Z926" s="227">
        <f>(((BetTable[Odds]-1)*BetTable[Stake])*(1-(BetTable[Comm %]))+BetTable[Stake])</f>
        <v>74.099999999999994</v>
      </c>
      <c r="AA926" s="227">
        <f>(((BetTable[O2]-1)*BetTable[S2])*(1-(BetTable[C% 2]))+BetTable[S2])</f>
        <v>0</v>
      </c>
      <c r="AB926" s="227">
        <f>(((BetTable[O3]-1)*BetTable[S3])*(1-(BetTable[C% 3]))+BetTable[S3])</f>
        <v>0</v>
      </c>
      <c r="AC926" s="228">
        <f>IFERROR(IF(BetTable[Sport]="","",BetTable[R1]/BetTable[TS]),"")</f>
        <v>0.8999999999999998</v>
      </c>
      <c r="AD926" s="228" t="str">
        <f>IF(BetTable[O2]="","",#REF!/BetTable[TS])</f>
        <v/>
      </c>
      <c r="AE926" s="228" t="str">
        <f>IFERROR(IF(BetTable[Sport]="","",#REF!/BetTable[TS]),"")</f>
        <v/>
      </c>
      <c r="AF926" s="227">
        <f>IF(BetTable[Outcome]="Win",BetTable[WBA1-Commission],IF(BetTable[Outcome]="Win Half Stake",(BetTable[Stake]/2)+BetTable[WBA1-Commission]/2,IF(BetTable[Outcome]="Lose Half Stake",BetTable[Stake]/2,IF(BetTable[Outcome]="Lose",0,IF(BetTable[Outcome]="Void",BetTable[Stake],)))))</f>
        <v>74.099999999999994</v>
      </c>
      <c r="AG926" s="227">
        <f>IF(BetTable[Outcome2]="Win",BetTable[WBA2-Commission],IF(BetTable[Outcome2]="Win Half Stake",(BetTable[S2]/2)+BetTable[WBA2-Commission]/2,IF(BetTable[Outcome2]="Lose Half Stake",BetTable[S2]/2,IF(BetTable[Outcome2]="Lose",0,IF(BetTable[Outcome2]="Void",BetTable[S2],)))))</f>
        <v>0</v>
      </c>
      <c r="AH926" s="227">
        <f>IF(BetTable[Outcome3]="Win",BetTable[WBA3-Commission],IF(BetTable[Outcome3]="Win Half Stake",(BetTable[S3]/2)+BetTable[WBA3-Commission]/2,IF(BetTable[Outcome3]="Lose Half Stake",BetTable[S3]/2,IF(BetTable[Outcome3]="Lose",0,IF(BetTable[Outcome3]="Void",BetTable[S3],)))))</f>
        <v>0</v>
      </c>
      <c r="AI926" s="231">
        <f>IF(BetTable[Outcome]="",AI925,BetTable[Result]+AI925)</f>
        <v>1285.2772500000005</v>
      </c>
      <c r="AJ926" s="223"/>
    </row>
    <row r="927" spans="1:36" x14ac:dyDescent="0.2">
      <c r="A927" s="222" t="s">
        <v>2375</v>
      </c>
      <c r="B927" s="223" t="s">
        <v>7</v>
      </c>
      <c r="C927" s="224" t="s">
        <v>216</v>
      </c>
      <c r="D927" s="224"/>
      <c r="E927" s="224"/>
      <c r="F927" s="225"/>
      <c r="G927" s="225"/>
      <c r="H927" s="225"/>
      <c r="I927" s="223" t="s">
        <v>2380</v>
      </c>
      <c r="J927" s="226">
        <v>1.87</v>
      </c>
      <c r="K927" s="226"/>
      <c r="L927" s="226"/>
      <c r="M927" s="227">
        <v>28</v>
      </c>
      <c r="N927" s="227"/>
      <c r="O927" s="227"/>
      <c r="P927" s="222" t="s">
        <v>2391</v>
      </c>
      <c r="Q927" s="222" t="s">
        <v>466</v>
      </c>
      <c r="R927" s="222" t="s">
        <v>2392</v>
      </c>
      <c r="S927" s="228">
        <v>3.1944046103414003E-2</v>
      </c>
      <c r="T927" s="229" t="s">
        <v>382</v>
      </c>
      <c r="U927" s="229"/>
      <c r="V927" s="229"/>
      <c r="W927" s="230">
        <f>IF(BetTable[Sport]="","",BetTable[Stake]+BetTable[S2]+BetTable[S3])</f>
        <v>28</v>
      </c>
      <c r="X927" s="227">
        <f>IF(BetTable[Odds]="","",(BetTable[WBA1-Commission])-BetTable[TS])</f>
        <v>24.36</v>
      </c>
      <c r="Y927" s="231">
        <f>IF(BetTable[Outcome]="","",BetTable[WBA1]+BetTable[WBA2]+BetTable[WBA3]-BetTable[TS])</f>
        <v>-28</v>
      </c>
      <c r="Z927" s="227">
        <f>(((BetTable[Odds]-1)*BetTable[Stake])*(1-(BetTable[Comm %]))+BetTable[Stake])</f>
        <v>52.36</v>
      </c>
      <c r="AA927" s="227">
        <f>(((BetTable[O2]-1)*BetTable[S2])*(1-(BetTable[C% 2]))+BetTable[S2])</f>
        <v>0</v>
      </c>
      <c r="AB927" s="227">
        <f>(((BetTable[O3]-1)*BetTable[S3])*(1-(BetTable[C% 3]))+BetTable[S3])</f>
        <v>0</v>
      </c>
      <c r="AC927" s="228">
        <f>IFERROR(IF(BetTable[Sport]="","",BetTable[R1]/BetTable[TS]),"")</f>
        <v>0.87</v>
      </c>
      <c r="AD927" s="228" t="str">
        <f>IF(BetTable[O2]="","",#REF!/BetTable[TS])</f>
        <v/>
      </c>
      <c r="AE927" s="228" t="str">
        <f>IFERROR(IF(BetTable[Sport]="","",#REF!/BetTable[TS]),"")</f>
        <v/>
      </c>
      <c r="AF927" s="227">
        <f>IF(BetTable[Outcome]="Win",BetTable[WBA1-Commission],IF(BetTable[Outcome]="Win Half Stake",(BetTable[Stake]/2)+BetTable[WBA1-Commission]/2,IF(BetTable[Outcome]="Lose Half Stake",BetTable[Stake]/2,IF(BetTable[Outcome]="Lose",0,IF(BetTable[Outcome]="Void",BetTable[Stake],)))))</f>
        <v>0</v>
      </c>
      <c r="AG927" s="227">
        <f>IF(BetTable[Outcome2]="Win",BetTable[WBA2-Commission],IF(BetTable[Outcome2]="Win Half Stake",(BetTable[S2]/2)+BetTable[WBA2-Commission]/2,IF(BetTable[Outcome2]="Lose Half Stake",BetTable[S2]/2,IF(BetTable[Outcome2]="Lose",0,IF(BetTable[Outcome2]="Void",BetTable[S2],)))))</f>
        <v>0</v>
      </c>
      <c r="AH927" s="227">
        <f>IF(BetTable[Outcome3]="Win",BetTable[WBA3-Commission],IF(BetTable[Outcome3]="Win Half Stake",(BetTable[S3]/2)+BetTable[WBA3-Commission]/2,IF(BetTable[Outcome3]="Lose Half Stake",BetTable[S3]/2,IF(BetTable[Outcome3]="Lose",0,IF(BetTable[Outcome3]="Void",BetTable[S3],)))))</f>
        <v>0</v>
      </c>
      <c r="AI927" s="231">
        <f>IF(BetTable[Outcome]="",AI926,BetTable[Result]+AI926)</f>
        <v>1257.2772500000005</v>
      </c>
      <c r="AJ927" s="223"/>
    </row>
    <row r="928" spans="1:36" x14ac:dyDescent="0.2">
      <c r="A928" s="222" t="s">
        <v>2375</v>
      </c>
      <c r="B928" s="223" t="s">
        <v>9</v>
      </c>
      <c r="C928" s="224" t="s">
        <v>216</v>
      </c>
      <c r="D928" s="224"/>
      <c r="E928" s="224"/>
      <c r="F928" s="225"/>
      <c r="G928" s="225"/>
      <c r="H928" s="225"/>
      <c r="I928" s="223" t="s">
        <v>2393</v>
      </c>
      <c r="J928" s="226">
        <v>3.95</v>
      </c>
      <c r="K928" s="226"/>
      <c r="L928" s="226"/>
      <c r="M928" s="227">
        <v>10</v>
      </c>
      <c r="N928" s="227"/>
      <c r="O928" s="227"/>
      <c r="P928" s="222" t="s">
        <v>610</v>
      </c>
      <c r="Q928" s="222" t="s">
        <v>2394</v>
      </c>
      <c r="R928" s="222" t="s">
        <v>2395</v>
      </c>
      <c r="S928" s="228">
        <v>1.9353437850436399E-2</v>
      </c>
      <c r="T928" s="229" t="s">
        <v>382</v>
      </c>
      <c r="U928" s="229"/>
      <c r="V928" s="229"/>
      <c r="W928" s="230">
        <f>IF(BetTable[Sport]="","",BetTable[Stake]+BetTable[S2]+BetTable[S3])</f>
        <v>10</v>
      </c>
      <c r="X928" s="227">
        <f>IF(BetTable[Odds]="","",(BetTable[WBA1-Commission])-BetTable[TS])</f>
        <v>29.5</v>
      </c>
      <c r="Y928" s="231">
        <f>IF(BetTable[Outcome]="","",BetTable[WBA1]+BetTable[WBA2]+BetTable[WBA3]-BetTable[TS])</f>
        <v>-10</v>
      </c>
      <c r="Z928" s="227">
        <f>(((BetTable[Odds]-1)*BetTable[Stake])*(1-(BetTable[Comm %]))+BetTable[Stake])</f>
        <v>39.5</v>
      </c>
      <c r="AA928" s="227">
        <f>(((BetTable[O2]-1)*BetTable[S2])*(1-(BetTable[C% 2]))+BetTable[S2])</f>
        <v>0</v>
      </c>
      <c r="AB928" s="227">
        <f>(((BetTable[O3]-1)*BetTable[S3])*(1-(BetTable[C% 3]))+BetTable[S3])</f>
        <v>0</v>
      </c>
      <c r="AC928" s="228">
        <f>IFERROR(IF(BetTable[Sport]="","",BetTable[R1]/BetTable[TS]),"")</f>
        <v>2.95</v>
      </c>
      <c r="AD928" s="228" t="str">
        <f>IF(BetTable[O2]="","",#REF!/BetTable[TS])</f>
        <v/>
      </c>
      <c r="AE928" s="228" t="str">
        <f>IFERROR(IF(BetTable[Sport]="","",#REF!/BetTable[TS]),"")</f>
        <v/>
      </c>
      <c r="AF928" s="227">
        <f>IF(BetTable[Outcome]="Win",BetTable[WBA1-Commission],IF(BetTable[Outcome]="Win Half Stake",(BetTable[Stake]/2)+BetTable[WBA1-Commission]/2,IF(BetTable[Outcome]="Lose Half Stake",BetTable[Stake]/2,IF(BetTable[Outcome]="Lose",0,IF(BetTable[Outcome]="Void",BetTable[Stake],)))))</f>
        <v>0</v>
      </c>
      <c r="AG928" s="227">
        <f>IF(BetTable[Outcome2]="Win",BetTable[WBA2-Commission],IF(BetTable[Outcome2]="Win Half Stake",(BetTable[S2]/2)+BetTable[WBA2-Commission]/2,IF(BetTable[Outcome2]="Lose Half Stake",BetTable[S2]/2,IF(BetTable[Outcome2]="Lose",0,IF(BetTable[Outcome2]="Void",BetTable[S2],)))))</f>
        <v>0</v>
      </c>
      <c r="AH928" s="227">
        <f>IF(BetTable[Outcome3]="Win",BetTable[WBA3-Commission],IF(BetTable[Outcome3]="Win Half Stake",(BetTable[S3]/2)+BetTable[WBA3-Commission]/2,IF(BetTable[Outcome3]="Lose Half Stake",BetTable[S3]/2,IF(BetTable[Outcome3]="Lose",0,IF(BetTable[Outcome3]="Void",BetTable[S3],)))))</f>
        <v>0</v>
      </c>
      <c r="AI928" s="231">
        <f>IF(BetTable[Outcome]="",AI927,BetTable[Result]+AI927)</f>
        <v>1247.2772500000005</v>
      </c>
      <c r="AJ928" s="223"/>
    </row>
    <row r="929" spans="1:36" x14ac:dyDescent="0.2">
      <c r="A929" s="222" t="s">
        <v>2375</v>
      </c>
      <c r="B929" s="223" t="s">
        <v>200</v>
      </c>
      <c r="C929" s="224" t="s">
        <v>185</v>
      </c>
      <c r="D929" s="224"/>
      <c r="E929" s="224"/>
      <c r="F929" s="225"/>
      <c r="G929" s="225"/>
      <c r="H929" s="225"/>
      <c r="I929" s="223" t="s">
        <v>2396</v>
      </c>
      <c r="J929" s="226">
        <v>4.5</v>
      </c>
      <c r="K929" s="226"/>
      <c r="L929" s="226"/>
      <c r="M929" s="227">
        <v>12</v>
      </c>
      <c r="N929" s="227"/>
      <c r="O929" s="227"/>
      <c r="P929" s="222" t="s">
        <v>435</v>
      </c>
      <c r="Q929" s="222" t="s">
        <v>581</v>
      </c>
      <c r="R929" s="222" t="s">
        <v>2397</v>
      </c>
      <c r="S929" s="228">
        <v>2.7066129868582499E-2</v>
      </c>
      <c r="T929" s="229" t="s">
        <v>382</v>
      </c>
      <c r="U929" s="229"/>
      <c r="V929" s="229"/>
      <c r="W929" s="230">
        <f>IF(BetTable[Sport]="","",BetTable[Stake]+BetTable[S2]+BetTable[S3])</f>
        <v>12</v>
      </c>
      <c r="X929" s="227">
        <f>IF(BetTable[Odds]="","",(BetTable[WBA1-Commission])-BetTable[TS])</f>
        <v>42</v>
      </c>
      <c r="Y929" s="231">
        <f>IF(BetTable[Outcome]="","",BetTable[WBA1]+BetTable[WBA2]+BetTable[WBA3]-BetTable[TS])</f>
        <v>-12</v>
      </c>
      <c r="Z929" s="227">
        <f>(((BetTable[Odds]-1)*BetTable[Stake])*(1-(BetTable[Comm %]))+BetTable[Stake])</f>
        <v>54</v>
      </c>
      <c r="AA929" s="227">
        <f>(((BetTable[O2]-1)*BetTable[S2])*(1-(BetTable[C% 2]))+BetTable[S2])</f>
        <v>0</v>
      </c>
      <c r="AB929" s="227">
        <f>(((BetTable[O3]-1)*BetTable[S3])*(1-(BetTable[C% 3]))+BetTable[S3])</f>
        <v>0</v>
      </c>
      <c r="AC929" s="228">
        <f>IFERROR(IF(BetTable[Sport]="","",BetTable[R1]/BetTable[TS]),"")</f>
        <v>3.5</v>
      </c>
      <c r="AD929" s="228" t="str">
        <f>IF(BetTable[O2]="","",#REF!/BetTable[TS])</f>
        <v/>
      </c>
      <c r="AE929" s="228" t="str">
        <f>IFERROR(IF(BetTable[Sport]="","",#REF!/BetTable[TS]),"")</f>
        <v/>
      </c>
      <c r="AF929" s="227">
        <f>IF(BetTable[Outcome]="Win",BetTable[WBA1-Commission],IF(BetTable[Outcome]="Win Half Stake",(BetTable[Stake]/2)+BetTable[WBA1-Commission]/2,IF(BetTable[Outcome]="Lose Half Stake",BetTable[Stake]/2,IF(BetTable[Outcome]="Lose",0,IF(BetTable[Outcome]="Void",BetTable[Stake],)))))</f>
        <v>0</v>
      </c>
      <c r="AG929" s="227">
        <f>IF(BetTable[Outcome2]="Win",BetTable[WBA2-Commission],IF(BetTable[Outcome2]="Win Half Stake",(BetTable[S2]/2)+BetTable[WBA2-Commission]/2,IF(BetTable[Outcome2]="Lose Half Stake",BetTable[S2]/2,IF(BetTable[Outcome2]="Lose",0,IF(BetTable[Outcome2]="Void",BetTable[S2],)))))</f>
        <v>0</v>
      </c>
      <c r="AH929" s="227">
        <f>IF(BetTable[Outcome3]="Win",BetTable[WBA3-Commission],IF(BetTable[Outcome3]="Win Half Stake",(BetTable[S3]/2)+BetTable[WBA3-Commission]/2,IF(BetTable[Outcome3]="Lose Half Stake",BetTable[S3]/2,IF(BetTable[Outcome3]="Lose",0,IF(BetTable[Outcome3]="Void",BetTable[S3],)))))</f>
        <v>0</v>
      </c>
      <c r="AI929" s="231">
        <f>IF(BetTable[Outcome]="",AI928,BetTable[Result]+AI928)</f>
        <v>1235.2772500000005</v>
      </c>
      <c r="AJ929" s="223"/>
    </row>
    <row r="930" spans="1:36" x14ac:dyDescent="0.2">
      <c r="A930" s="222" t="s">
        <v>2375</v>
      </c>
      <c r="B930" s="223" t="s">
        <v>200</v>
      </c>
      <c r="C930" s="224" t="s">
        <v>185</v>
      </c>
      <c r="D930" s="224"/>
      <c r="E930" s="224"/>
      <c r="F930" s="225"/>
      <c r="G930" s="225"/>
      <c r="H930" s="225"/>
      <c r="I930" s="223" t="s">
        <v>2398</v>
      </c>
      <c r="J930" s="226">
        <v>2.875</v>
      </c>
      <c r="K930" s="226"/>
      <c r="L930" s="226"/>
      <c r="M930" s="227">
        <v>14</v>
      </c>
      <c r="N930" s="227"/>
      <c r="O930" s="227"/>
      <c r="P930" s="222" t="s">
        <v>435</v>
      </c>
      <c r="Q930" s="222" t="s">
        <v>839</v>
      </c>
      <c r="R930" s="222" t="s">
        <v>2399</v>
      </c>
      <c r="S930" s="228">
        <v>1.6701153493606301E-2</v>
      </c>
      <c r="T930" s="229" t="s">
        <v>372</v>
      </c>
      <c r="U930" s="229"/>
      <c r="V930" s="229"/>
      <c r="W930" s="230">
        <f>IF(BetTable[Sport]="","",BetTable[Stake]+BetTable[S2]+BetTable[S3])</f>
        <v>14</v>
      </c>
      <c r="X930" s="227">
        <f>IF(BetTable[Odds]="","",(BetTable[WBA1-Commission])-BetTable[TS])</f>
        <v>26.25</v>
      </c>
      <c r="Y930" s="231">
        <f>IF(BetTable[Outcome]="","",BetTable[WBA1]+BetTable[WBA2]+BetTable[WBA3]-BetTable[TS])</f>
        <v>26.25</v>
      </c>
      <c r="Z930" s="227">
        <f>(((BetTable[Odds]-1)*BetTable[Stake])*(1-(BetTable[Comm %]))+BetTable[Stake])</f>
        <v>40.25</v>
      </c>
      <c r="AA930" s="227">
        <f>(((BetTable[O2]-1)*BetTable[S2])*(1-(BetTable[C% 2]))+BetTable[S2])</f>
        <v>0</v>
      </c>
      <c r="AB930" s="227">
        <f>(((BetTable[O3]-1)*BetTable[S3])*(1-(BetTable[C% 3]))+BetTable[S3])</f>
        <v>0</v>
      </c>
      <c r="AC930" s="228">
        <f>IFERROR(IF(BetTable[Sport]="","",BetTable[R1]/BetTable[TS]),"")</f>
        <v>1.875</v>
      </c>
      <c r="AD930" s="228" t="str">
        <f>IF(BetTable[O2]="","",#REF!/BetTable[TS])</f>
        <v/>
      </c>
      <c r="AE930" s="228" t="str">
        <f>IFERROR(IF(BetTable[Sport]="","",#REF!/BetTable[TS]),"")</f>
        <v/>
      </c>
      <c r="AF930" s="227">
        <f>IF(BetTable[Outcome]="Win",BetTable[WBA1-Commission],IF(BetTable[Outcome]="Win Half Stake",(BetTable[Stake]/2)+BetTable[WBA1-Commission]/2,IF(BetTable[Outcome]="Lose Half Stake",BetTable[Stake]/2,IF(BetTable[Outcome]="Lose",0,IF(BetTable[Outcome]="Void",BetTable[Stake],)))))</f>
        <v>40.25</v>
      </c>
      <c r="AG930" s="227">
        <f>IF(BetTable[Outcome2]="Win",BetTable[WBA2-Commission],IF(BetTable[Outcome2]="Win Half Stake",(BetTable[S2]/2)+BetTable[WBA2-Commission]/2,IF(BetTable[Outcome2]="Lose Half Stake",BetTable[S2]/2,IF(BetTable[Outcome2]="Lose",0,IF(BetTable[Outcome2]="Void",BetTable[S2],)))))</f>
        <v>0</v>
      </c>
      <c r="AH930" s="227">
        <f>IF(BetTable[Outcome3]="Win",BetTable[WBA3-Commission],IF(BetTable[Outcome3]="Win Half Stake",(BetTable[S3]/2)+BetTable[WBA3-Commission]/2,IF(BetTable[Outcome3]="Lose Half Stake",BetTable[S3]/2,IF(BetTable[Outcome3]="Lose",0,IF(BetTable[Outcome3]="Void",BetTable[S3],)))))</f>
        <v>0</v>
      </c>
      <c r="AI930" s="231">
        <f>IF(BetTable[Outcome]="",AI929,BetTable[Result]+AI929)</f>
        <v>1261.5272500000005</v>
      </c>
      <c r="AJ930" s="223"/>
    </row>
    <row r="931" spans="1:36" x14ac:dyDescent="0.2">
      <c r="A931" s="222" t="s">
        <v>2375</v>
      </c>
      <c r="B931" s="223" t="s">
        <v>7</v>
      </c>
      <c r="C931" s="224" t="s">
        <v>216</v>
      </c>
      <c r="D931" s="224"/>
      <c r="E931" s="224"/>
      <c r="F931" s="225"/>
      <c r="G931" s="225"/>
      <c r="H931" s="225"/>
      <c r="I931" s="223" t="s">
        <v>2400</v>
      </c>
      <c r="J931" s="226">
        <v>1.909</v>
      </c>
      <c r="K931" s="226"/>
      <c r="L931" s="226"/>
      <c r="M931" s="227">
        <v>55</v>
      </c>
      <c r="N931" s="227"/>
      <c r="O931" s="227"/>
      <c r="P931" s="222" t="s">
        <v>685</v>
      </c>
      <c r="Q931" s="222" t="s">
        <v>968</v>
      </c>
      <c r="R931" s="222" t="s">
        <v>2401</v>
      </c>
      <c r="S931" s="228">
        <v>5.8134363723203103E-2</v>
      </c>
      <c r="T931" s="229" t="s">
        <v>372</v>
      </c>
      <c r="U931" s="229"/>
      <c r="V931" s="229"/>
      <c r="W931" s="230">
        <f>IF(BetTable[Sport]="","",BetTable[Stake]+BetTable[S2]+BetTable[S3])</f>
        <v>55</v>
      </c>
      <c r="X931" s="227">
        <f>IF(BetTable[Odds]="","",(BetTable[WBA1-Commission])-BetTable[TS])</f>
        <v>49.995000000000005</v>
      </c>
      <c r="Y931" s="231">
        <f>IF(BetTable[Outcome]="","",BetTable[WBA1]+BetTable[WBA2]+BetTable[WBA3]-BetTable[TS])</f>
        <v>49.995000000000005</v>
      </c>
      <c r="Z931" s="227">
        <f>(((BetTable[Odds]-1)*BetTable[Stake])*(1-(BetTable[Comm %]))+BetTable[Stake])</f>
        <v>104.995</v>
      </c>
      <c r="AA931" s="227">
        <f>(((BetTable[O2]-1)*BetTable[S2])*(1-(BetTable[C% 2]))+BetTable[S2])</f>
        <v>0</v>
      </c>
      <c r="AB931" s="227">
        <f>(((BetTable[O3]-1)*BetTable[S3])*(1-(BetTable[C% 3]))+BetTable[S3])</f>
        <v>0</v>
      </c>
      <c r="AC931" s="228">
        <f>IFERROR(IF(BetTable[Sport]="","",BetTable[R1]/BetTable[TS]),"")</f>
        <v>0.90900000000000003</v>
      </c>
      <c r="AD931" s="228" t="str">
        <f>IF(BetTable[O2]="","",#REF!/BetTable[TS])</f>
        <v/>
      </c>
      <c r="AE931" s="228" t="str">
        <f>IFERROR(IF(BetTable[Sport]="","",#REF!/BetTable[TS]),"")</f>
        <v/>
      </c>
      <c r="AF931" s="227">
        <f>IF(BetTable[Outcome]="Win",BetTable[WBA1-Commission],IF(BetTable[Outcome]="Win Half Stake",(BetTable[Stake]/2)+BetTable[WBA1-Commission]/2,IF(BetTable[Outcome]="Lose Half Stake",BetTable[Stake]/2,IF(BetTable[Outcome]="Lose",0,IF(BetTable[Outcome]="Void",BetTable[Stake],)))))</f>
        <v>104.995</v>
      </c>
      <c r="AG931" s="227">
        <f>IF(BetTable[Outcome2]="Win",BetTable[WBA2-Commission],IF(BetTable[Outcome2]="Win Half Stake",(BetTable[S2]/2)+BetTable[WBA2-Commission]/2,IF(BetTable[Outcome2]="Lose Half Stake",BetTable[S2]/2,IF(BetTable[Outcome2]="Lose",0,IF(BetTable[Outcome2]="Void",BetTable[S2],)))))</f>
        <v>0</v>
      </c>
      <c r="AH931" s="227">
        <f>IF(BetTable[Outcome3]="Win",BetTable[WBA3-Commission],IF(BetTable[Outcome3]="Win Half Stake",(BetTable[S3]/2)+BetTable[WBA3-Commission]/2,IF(BetTable[Outcome3]="Lose Half Stake",BetTable[S3]/2,IF(BetTable[Outcome3]="Lose",0,IF(BetTable[Outcome3]="Void",BetTable[S3],)))))</f>
        <v>0</v>
      </c>
      <c r="AI931" s="231">
        <f>IF(BetTable[Outcome]="",AI930,BetTable[Result]+AI930)</f>
        <v>1311.5222500000004</v>
      </c>
      <c r="AJ931" s="223"/>
    </row>
    <row r="932" spans="1:36" x14ac:dyDescent="0.2">
      <c r="A932" s="222" t="s">
        <v>2375</v>
      </c>
      <c r="B932" s="223" t="s">
        <v>7</v>
      </c>
      <c r="C932" s="224" t="s">
        <v>216</v>
      </c>
      <c r="D932" s="224"/>
      <c r="E932" s="224"/>
      <c r="F932" s="225"/>
      <c r="G932" s="225"/>
      <c r="H932" s="225"/>
      <c r="I932" s="223" t="s">
        <v>2402</v>
      </c>
      <c r="J932" s="226">
        <v>1.98</v>
      </c>
      <c r="K932" s="226"/>
      <c r="L932" s="226"/>
      <c r="M932" s="227">
        <v>29</v>
      </c>
      <c r="N932" s="227"/>
      <c r="O932" s="227"/>
      <c r="P932" s="222" t="s">
        <v>2403</v>
      </c>
      <c r="Q932" s="222" t="s">
        <v>466</v>
      </c>
      <c r="R932" s="222" t="s">
        <v>2404</v>
      </c>
      <c r="S932" s="228">
        <v>1.8268620598412499E-2</v>
      </c>
      <c r="T932" s="229" t="s">
        <v>372</v>
      </c>
      <c r="U932" s="229"/>
      <c r="V932" s="229"/>
      <c r="W932" s="230">
        <f>IF(BetTable[Sport]="","",BetTable[Stake]+BetTable[S2]+BetTable[S3])</f>
        <v>29</v>
      </c>
      <c r="X932" s="227">
        <f>IF(BetTable[Odds]="","",(BetTable[WBA1-Commission])-BetTable[TS])</f>
        <v>28.42</v>
      </c>
      <c r="Y932" s="231">
        <f>IF(BetTable[Outcome]="","",BetTable[WBA1]+BetTable[WBA2]+BetTable[WBA3]-BetTable[TS])</f>
        <v>28.42</v>
      </c>
      <c r="Z932" s="227">
        <f>(((BetTable[Odds]-1)*BetTable[Stake])*(1-(BetTable[Comm %]))+BetTable[Stake])</f>
        <v>57.42</v>
      </c>
      <c r="AA932" s="227">
        <f>(((BetTable[O2]-1)*BetTable[S2])*(1-(BetTable[C% 2]))+BetTable[S2])</f>
        <v>0</v>
      </c>
      <c r="AB932" s="227">
        <f>(((BetTable[O3]-1)*BetTable[S3])*(1-(BetTable[C% 3]))+BetTable[S3])</f>
        <v>0</v>
      </c>
      <c r="AC932" s="228">
        <f>IFERROR(IF(BetTable[Sport]="","",BetTable[R1]/BetTable[TS]),"")</f>
        <v>0.98000000000000009</v>
      </c>
      <c r="AD932" s="228" t="str">
        <f>IF(BetTable[O2]="","",#REF!/BetTable[TS])</f>
        <v/>
      </c>
      <c r="AE932" s="228" t="str">
        <f>IFERROR(IF(BetTable[Sport]="","",#REF!/BetTable[TS]),"")</f>
        <v/>
      </c>
      <c r="AF932" s="227">
        <f>IF(BetTable[Outcome]="Win",BetTable[WBA1-Commission],IF(BetTable[Outcome]="Win Half Stake",(BetTable[Stake]/2)+BetTable[WBA1-Commission]/2,IF(BetTable[Outcome]="Lose Half Stake",BetTable[Stake]/2,IF(BetTable[Outcome]="Lose",0,IF(BetTable[Outcome]="Void",BetTable[Stake],)))))</f>
        <v>57.42</v>
      </c>
      <c r="AG932" s="227">
        <f>IF(BetTable[Outcome2]="Win",BetTable[WBA2-Commission],IF(BetTable[Outcome2]="Win Half Stake",(BetTable[S2]/2)+BetTable[WBA2-Commission]/2,IF(BetTable[Outcome2]="Lose Half Stake",BetTable[S2]/2,IF(BetTable[Outcome2]="Lose",0,IF(BetTable[Outcome2]="Void",BetTable[S2],)))))</f>
        <v>0</v>
      </c>
      <c r="AH932" s="227">
        <f>IF(BetTable[Outcome3]="Win",BetTable[WBA3-Commission],IF(BetTable[Outcome3]="Win Half Stake",(BetTable[S3]/2)+BetTable[WBA3-Commission]/2,IF(BetTable[Outcome3]="Lose Half Stake",BetTable[S3]/2,IF(BetTable[Outcome3]="Lose",0,IF(BetTable[Outcome3]="Void",BetTable[S3],)))))</f>
        <v>0</v>
      </c>
      <c r="AI932" s="231">
        <f>IF(BetTable[Outcome]="",AI931,BetTable[Result]+AI931)</f>
        <v>1339.9422500000005</v>
      </c>
      <c r="AJ932" s="223"/>
    </row>
    <row r="933" spans="1:36" x14ac:dyDescent="0.2">
      <c r="A933" s="222" t="s">
        <v>2375</v>
      </c>
      <c r="B933" s="223" t="s">
        <v>200</v>
      </c>
      <c r="C933" s="224" t="s">
        <v>1714</v>
      </c>
      <c r="D933" s="224"/>
      <c r="E933" s="224"/>
      <c r="F933" s="225"/>
      <c r="G933" s="225"/>
      <c r="H933" s="225"/>
      <c r="I933" s="223" t="s">
        <v>2405</v>
      </c>
      <c r="J933" s="226">
        <v>1.88</v>
      </c>
      <c r="K933" s="226"/>
      <c r="L933" s="226"/>
      <c r="M933" s="227">
        <v>36</v>
      </c>
      <c r="N933" s="227"/>
      <c r="O933" s="227"/>
      <c r="P933" s="222" t="s">
        <v>409</v>
      </c>
      <c r="Q933" s="222" t="s">
        <v>1171</v>
      </c>
      <c r="R933" s="222" t="s">
        <v>2406</v>
      </c>
      <c r="S933" s="228">
        <v>2.0720015053636801E-2</v>
      </c>
      <c r="T933" s="229" t="s">
        <v>382</v>
      </c>
      <c r="U933" s="229"/>
      <c r="V933" s="229"/>
      <c r="W933" s="230">
        <f>IF(BetTable[Sport]="","",BetTable[Stake]+BetTable[S2]+BetTable[S3])</f>
        <v>36</v>
      </c>
      <c r="X933" s="227">
        <f>IF(BetTable[Odds]="","",(BetTable[WBA1-Commission])-BetTable[TS])</f>
        <v>31.679999999999993</v>
      </c>
      <c r="Y933" s="231">
        <f>IF(BetTable[Outcome]="","",BetTable[WBA1]+BetTable[WBA2]+BetTable[WBA3]-BetTable[TS])</f>
        <v>-36</v>
      </c>
      <c r="Z933" s="227">
        <f>(((BetTable[Odds]-1)*BetTable[Stake])*(1-(BetTable[Comm %]))+BetTable[Stake])</f>
        <v>67.679999999999993</v>
      </c>
      <c r="AA933" s="227">
        <f>(((BetTable[O2]-1)*BetTable[S2])*(1-(BetTable[C% 2]))+BetTable[S2])</f>
        <v>0</v>
      </c>
      <c r="AB933" s="227">
        <f>(((BetTable[O3]-1)*BetTable[S3])*(1-(BetTable[C% 3]))+BetTable[S3])</f>
        <v>0</v>
      </c>
      <c r="AC933" s="228">
        <f>IFERROR(IF(BetTable[Sport]="","",BetTable[R1]/BetTable[TS]),"")</f>
        <v>0.87999999999999978</v>
      </c>
      <c r="AD933" s="228" t="str">
        <f>IF(BetTable[O2]="","",#REF!/BetTable[TS])</f>
        <v/>
      </c>
      <c r="AE933" s="228" t="str">
        <f>IFERROR(IF(BetTable[Sport]="","",#REF!/BetTable[TS]),"")</f>
        <v/>
      </c>
      <c r="AF933" s="227">
        <f>IF(BetTable[Outcome]="Win",BetTable[WBA1-Commission],IF(BetTable[Outcome]="Win Half Stake",(BetTable[Stake]/2)+BetTable[WBA1-Commission]/2,IF(BetTable[Outcome]="Lose Half Stake",BetTable[Stake]/2,IF(BetTable[Outcome]="Lose",0,IF(BetTable[Outcome]="Void",BetTable[Stake],)))))</f>
        <v>0</v>
      </c>
      <c r="AG933" s="227">
        <f>IF(BetTable[Outcome2]="Win",BetTable[WBA2-Commission],IF(BetTable[Outcome2]="Win Half Stake",(BetTable[S2]/2)+BetTable[WBA2-Commission]/2,IF(BetTable[Outcome2]="Lose Half Stake",BetTable[S2]/2,IF(BetTable[Outcome2]="Lose",0,IF(BetTable[Outcome2]="Void",BetTable[S2],)))))</f>
        <v>0</v>
      </c>
      <c r="AH933" s="227">
        <f>IF(BetTable[Outcome3]="Win",BetTable[WBA3-Commission],IF(BetTable[Outcome3]="Win Half Stake",(BetTable[S3]/2)+BetTable[WBA3-Commission]/2,IF(BetTable[Outcome3]="Lose Half Stake",BetTable[S3]/2,IF(BetTable[Outcome3]="Lose",0,IF(BetTable[Outcome3]="Void",BetTable[S3],)))))</f>
        <v>0</v>
      </c>
      <c r="AI933" s="231">
        <f>IF(BetTable[Outcome]="",AI932,BetTable[Result]+AI932)</f>
        <v>1303.9422500000005</v>
      </c>
      <c r="AJ933" s="223"/>
    </row>
    <row r="934" spans="1:36" x14ac:dyDescent="0.2">
      <c r="A934" s="222" t="s">
        <v>2375</v>
      </c>
      <c r="B934" s="223" t="s">
        <v>200</v>
      </c>
      <c r="C934" s="224" t="s">
        <v>1714</v>
      </c>
      <c r="D934" s="224"/>
      <c r="E934" s="224"/>
      <c r="F934" s="225"/>
      <c r="G934" s="225"/>
      <c r="H934" s="225"/>
      <c r="I934" s="223" t="s">
        <v>2407</v>
      </c>
      <c r="J934" s="226">
        <v>1.57</v>
      </c>
      <c r="K934" s="226"/>
      <c r="L934" s="226"/>
      <c r="M934" s="227">
        <v>96</v>
      </c>
      <c r="N934" s="227"/>
      <c r="O934" s="227"/>
      <c r="P934" s="222" t="s">
        <v>435</v>
      </c>
      <c r="Q934" s="222" t="s">
        <v>632</v>
      </c>
      <c r="R934" s="222" t="s">
        <v>2408</v>
      </c>
      <c r="S934" s="228">
        <v>3.5422166026677297E-2</v>
      </c>
      <c r="T934" s="229" t="s">
        <v>372</v>
      </c>
      <c r="U934" s="229"/>
      <c r="V934" s="229"/>
      <c r="W934" s="230">
        <f>IF(BetTable[Sport]="","",BetTable[Stake]+BetTable[S2]+BetTable[S3])</f>
        <v>96</v>
      </c>
      <c r="X934" s="227">
        <f>IF(BetTable[Odds]="","",(BetTable[WBA1-Commission])-BetTable[TS])</f>
        <v>54.72</v>
      </c>
      <c r="Y934" s="231">
        <f>IF(BetTable[Outcome]="","",BetTable[WBA1]+BetTable[WBA2]+BetTable[WBA3]-BetTable[TS])</f>
        <v>54.72</v>
      </c>
      <c r="Z934" s="227">
        <f>(((BetTable[Odds]-1)*BetTable[Stake])*(1-(BetTable[Comm %]))+BetTable[Stake])</f>
        <v>150.72</v>
      </c>
      <c r="AA934" s="227">
        <f>(((BetTable[O2]-1)*BetTable[S2])*(1-(BetTable[C% 2]))+BetTable[S2])</f>
        <v>0</v>
      </c>
      <c r="AB934" s="227">
        <f>(((BetTable[O3]-1)*BetTable[S3])*(1-(BetTable[C% 3]))+BetTable[S3])</f>
        <v>0</v>
      </c>
      <c r="AC934" s="228">
        <f>IFERROR(IF(BetTable[Sport]="","",BetTable[R1]/BetTable[TS]),"")</f>
        <v>0.56999999999999995</v>
      </c>
      <c r="AD934" s="228" t="str">
        <f>IF(BetTable[O2]="","",#REF!/BetTable[TS])</f>
        <v/>
      </c>
      <c r="AE934" s="228" t="str">
        <f>IFERROR(IF(BetTable[Sport]="","",#REF!/BetTable[TS]),"")</f>
        <v/>
      </c>
      <c r="AF934" s="227">
        <f>IF(BetTable[Outcome]="Win",BetTable[WBA1-Commission],IF(BetTable[Outcome]="Win Half Stake",(BetTable[Stake]/2)+BetTable[WBA1-Commission]/2,IF(BetTable[Outcome]="Lose Half Stake",BetTable[Stake]/2,IF(BetTable[Outcome]="Lose",0,IF(BetTable[Outcome]="Void",BetTable[Stake],)))))</f>
        <v>150.72</v>
      </c>
      <c r="AG934" s="227">
        <f>IF(BetTable[Outcome2]="Win",BetTable[WBA2-Commission],IF(BetTable[Outcome2]="Win Half Stake",(BetTable[S2]/2)+BetTable[WBA2-Commission]/2,IF(BetTable[Outcome2]="Lose Half Stake",BetTable[S2]/2,IF(BetTable[Outcome2]="Lose",0,IF(BetTable[Outcome2]="Void",BetTable[S2],)))))</f>
        <v>0</v>
      </c>
      <c r="AH934" s="227">
        <f>IF(BetTable[Outcome3]="Win",BetTable[WBA3-Commission],IF(BetTable[Outcome3]="Win Half Stake",(BetTable[S3]/2)+BetTable[WBA3-Commission]/2,IF(BetTable[Outcome3]="Lose Half Stake",BetTable[S3]/2,IF(BetTable[Outcome3]="Lose",0,IF(BetTable[Outcome3]="Void",BetTable[S3],)))))</f>
        <v>0</v>
      </c>
      <c r="AI934" s="231">
        <f>IF(BetTable[Outcome]="",AI933,BetTable[Result]+AI933)</f>
        <v>1358.6622500000005</v>
      </c>
      <c r="AJ934" s="223"/>
    </row>
    <row r="935" spans="1:36" x14ac:dyDescent="0.2">
      <c r="A935" s="222" t="s">
        <v>2375</v>
      </c>
      <c r="B935" s="223" t="s">
        <v>200</v>
      </c>
      <c r="C935" s="224" t="s">
        <v>1714</v>
      </c>
      <c r="D935" s="224"/>
      <c r="E935" s="224"/>
      <c r="F935" s="225"/>
      <c r="G935" s="225"/>
      <c r="H935" s="225"/>
      <c r="I935" s="223" t="s">
        <v>2409</v>
      </c>
      <c r="J935" s="226">
        <v>1.71</v>
      </c>
      <c r="K935" s="226"/>
      <c r="L935" s="226"/>
      <c r="M935" s="227">
        <v>78</v>
      </c>
      <c r="N935" s="227"/>
      <c r="O935" s="227"/>
      <c r="P935" s="222" t="s">
        <v>435</v>
      </c>
      <c r="Q935" s="222" t="s">
        <v>506</v>
      </c>
      <c r="R935" s="222" t="s">
        <v>2410</v>
      </c>
      <c r="S935" s="228">
        <v>3.5789028158793902E-2</v>
      </c>
      <c r="T935" s="229" t="s">
        <v>372</v>
      </c>
      <c r="U935" s="229"/>
      <c r="V935" s="229"/>
      <c r="W935" s="230">
        <f>IF(BetTable[Sport]="","",BetTable[Stake]+BetTable[S2]+BetTable[S3])</f>
        <v>78</v>
      </c>
      <c r="X935" s="227">
        <f>IF(BetTable[Odds]="","",(BetTable[WBA1-Commission])-BetTable[TS])</f>
        <v>55.379999999999995</v>
      </c>
      <c r="Y935" s="231">
        <f>IF(BetTable[Outcome]="","",BetTable[WBA1]+BetTable[WBA2]+BetTable[WBA3]-BetTable[TS])</f>
        <v>55.379999999999995</v>
      </c>
      <c r="Z935" s="227">
        <f>(((BetTable[Odds]-1)*BetTable[Stake])*(1-(BetTable[Comm %]))+BetTable[Stake])</f>
        <v>133.38</v>
      </c>
      <c r="AA935" s="227">
        <f>(((BetTable[O2]-1)*BetTable[S2])*(1-(BetTable[C% 2]))+BetTable[S2])</f>
        <v>0</v>
      </c>
      <c r="AB935" s="227">
        <f>(((BetTable[O3]-1)*BetTable[S3])*(1-(BetTable[C% 3]))+BetTable[S3])</f>
        <v>0</v>
      </c>
      <c r="AC935" s="228">
        <f>IFERROR(IF(BetTable[Sport]="","",BetTable[R1]/BetTable[TS]),"")</f>
        <v>0.71</v>
      </c>
      <c r="AD935" s="228" t="str">
        <f>IF(BetTable[O2]="","",#REF!/BetTable[TS])</f>
        <v/>
      </c>
      <c r="AE935" s="228" t="str">
        <f>IFERROR(IF(BetTable[Sport]="","",#REF!/BetTable[TS]),"")</f>
        <v/>
      </c>
      <c r="AF935" s="227">
        <f>IF(BetTable[Outcome]="Win",BetTable[WBA1-Commission],IF(BetTable[Outcome]="Win Half Stake",(BetTable[Stake]/2)+BetTable[WBA1-Commission]/2,IF(BetTable[Outcome]="Lose Half Stake",BetTable[Stake]/2,IF(BetTable[Outcome]="Lose",0,IF(BetTable[Outcome]="Void",BetTable[Stake],)))))</f>
        <v>133.38</v>
      </c>
      <c r="AG935" s="227">
        <f>IF(BetTable[Outcome2]="Win",BetTable[WBA2-Commission],IF(BetTable[Outcome2]="Win Half Stake",(BetTable[S2]/2)+BetTable[WBA2-Commission]/2,IF(BetTable[Outcome2]="Lose Half Stake",BetTable[S2]/2,IF(BetTable[Outcome2]="Lose",0,IF(BetTable[Outcome2]="Void",BetTable[S2],)))))</f>
        <v>0</v>
      </c>
      <c r="AH935" s="227">
        <f>IF(BetTable[Outcome3]="Win",BetTable[WBA3-Commission],IF(BetTable[Outcome3]="Win Half Stake",(BetTable[S3]/2)+BetTable[WBA3-Commission]/2,IF(BetTable[Outcome3]="Lose Half Stake",BetTable[S3]/2,IF(BetTable[Outcome3]="Lose",0,IF(BetTable[Outcome3]="Void",BetTable[S3],)))))</f>
        <v>0</v>
      </c>
      <c r="AI935" s="231">
        <f>IF(BetTable[Outcome]="",AI934,BetTable[Result]+AI934)</f>
        <v>1414.0422500000004</v>
      </c>
      <c r="AJ935" s="223"/>
    </row>
    <row r="936" spans="1:36" x14ac:dyDescent="0.2">
      <c r="A936" s="222" t="s">
        <v>2375</v>
      </c>
      <c r="B936" s="223" t="s">
        <v>200</v>
      </c>
      <c r="C936" s="224" t="s">
        <v>1714</v>
      </c>
      <c r="D936" s="224"/>
      <c r="E936" s="224"/>
      <c r="F936" s="225"/>
      <c r="G936" s="225"/>
      <c r="H936" s="225"/>
      <c r="I936" s="223" t="s">
        <v>2411</v>
      </c>
      <c r="J936" s="226">
        <v>1.76</v>
      </c>
      <c r="K936" s="226"/>
      <c r="L936" s="226"/>
      <c r="M936" s="227">
        <v>52</v>
      </c>
      <c r="N936" s="227"/>
      <c r="O936" s="227"/>
      <c r="P936" s="222" t="s">
        <v>351</v>
      </c>
      <c r="Q936" s="222" t="s">
        <v>429</v>
      </c>
      <c r="R936" s="222" t="s">
        <v>2412</v>
      </c>
      <c r="S936" s="228">
        <v>2.53982026650139E-2</v>
      </c>
      <c r="T936" s="229" t="s">
        <v>372</v>
      </c>
      <c r="U936" s="229"/>
      <c r="V936" s="229"/>
      <c r="W936" s="230">
        <f>IF(BetTable[Sport]="","",BetTable[Stake]+BetTable[S2]+BetTable[S3])</f>
        <v>52</v>
      </c>
      <c r="X936" s="227">
        <f>IF(BetTable[Odds]="","",(BetTable[WBA1-Commission])-BetTable[TS])</f>
        <v>39.52000000000001</v>
      </c>
      <c r="Y936" s="231">
        <f>IF(BetTable[Outcome]="","",BetTable[WBA1]+BetTable[WBA2]+BetTable[WBA3]-BetTable[TS])</f>
        <v>39.52000000000001</v>
      </c>
      <c r="Z936" s="227">
        <f>(((BetTable[Odds]-1)*BetTable[Stake])*(1-(BetTable[Comm %]))+BetTable[Stake])</f>
        <v>91.52000000000001</v>
      </c>
      <c r="AA936" s="227">
        <f>(((BetTable[O2]-1)*BetTable[S2])*(1-(BetTable[C% 2]))+BetTable[S2])</f>
        <v>0</v>
      </c>
      <c r="AB936" s="227">
        <f>(((BetTable[O3]-1)*BetTable[S3])*(1-(BetTable[C% 3]))+BetTable[S3])</f>
        <v>0</v>
      </c>
      <c r="AC936" s="228">
        <f>IFERROR(IF(BetTable[Sport]="","",BetTable[R1]/BetTable[TS]),"")</f>
        <v>0.76000000000000023</v>
      </c>
      <c r="AD936" s="228" t="str">
        <f>IF(BetTable[O2]="","",#REF!/BetTable[TS])</f>
        <v/>
      </c>
      <c r="AE936" s="228" t="str">
        <f>IFERROR(IF(BetTable[Sport]="","",#REF!/BetTable[TS]),"")</f>
        <v/>
      </c>
      <c r="AF936" s="227">
        <f>IF(BetTable[Outcome]="Win",BetTable[WBA1-Commission],IF(BetTable[Outcome]="Win Half Stake",(BetTable[Stake]/2)+BetTable[WBA1-Commission]/2,IF(BetTable[Outcome]="Lose Half Stake",BetTable[Stake]/2,IF(BetTable[Outcome]="Lose",0,IF(BetTable[Outcome]="Void",BetTable[Stake],)))))</f>
        <v>91.52000000000001</v>
      </c>
      <c r="AG936" s="227">
        <f>IF(BetTable[Outcome2]="Win",BetTable[WBA2-Commission],IF(BetTable[Outcome2]="Win Half Stake",(BetTable[S2]/2)+BetTable[WBA2-Commission]/2,IF(BetTable[Outcome2]="Lose Half Stake",BetTable[S2]/2,IF(BetTable[Outcome2]="Lose",0,IF(BetTable[Outcome2]="Void",BetTable[S2],)))))</f>
        <v>0</v>
      </c>
      <c r="AH936" s="227">
        <f>IF(BetTable[Outcome3]="Win",BetTable[WBA3-Commission],IF(BetTable[Outcome3]="Win Half Stake",(BetTable[S3]/2)+BetTable[WBA3-Commission]/2,IF(BetTable[Outcome3]="Lose Half Stake",BetTable[S3]/2,IF(BetTable[Outcome3]="Lose",0,IF(BetTable[Outcome3]="Void",BetTable[S3],)))))</f>
        <v>0</v>
      </c>
      <c r="AI936" s="231">
        <f>IF(BetTable[Outcome]="",AI935,BetTable[Result]+AI935)</f>
        <v>1453.5622500000004</v>
      </c>
      <c r="AJ936" s="223"/>
    </row>
    <row r="937" spans="1:36" x14ac:dyDescent="0.2">
      <c r="A937" s="222" t="s">
        <v>2375</v>
      </c>
      <c r="B937" s="223" t="s">
        <v>200</v>
      </c>
      <c r="C937" s="224" t="s">
        <v>1714</v>
      </c>
      <c r="D937" s="224"/>
      <c r="E937" s="224"/>
      <c r="F937" s="225"/>
      <c r="G937" s="225"/>
      <c r="H937" s="225"/>
      <c r="I937" s="223" t="s">
        <v>2413</v>
      </c>
      <c r="J937" s="226">
        <v>1.43</v>
      </c>
      <c r="K937" s="226"/>
      <c r="L937" s="226"/>
      <c r="M937" s="227">
        <v>76</v>
      </c>
      <c r="N937" s="227"/>
      <c r="O937" s="227"/>
      <c r="P937" s="222" t="s">
        <v>435</v>
      </c>
      <c r="Q937" s="222" t="s">
        <v>659</v>
      </c>
      <c r="R937" s="222" t="s">
        <v>2414</v>
      </c>
      <c r="S937" s="228">
        <v>2.1252399017313101E-2</v>
      </c>
      <c r="T937" s="229" t="s">
        <v>382</v>
      </c>
      <c r="U937" s="229"/>
      <c r="V937" s="229"/>
      <c r="W937" s="230">
        <f>IF(BetTable[Sport]="","",BetTable[Stake]+BetTable[S2]+BetTable[S3])</f>
        <v>76</v>
      </c>
      <c r="X937" s="227">
        <f>IF(BetTable[Odds]="","",(BetTable[WBA1-Commission])-BetTable[TS])</f>
        <v>32.679999999999993</v>
      </c>
      <c r="Y937" s="231">
        <f>IF(BetTable[Outcome]="","",BetTable[WBA1]+BetTable[WBA2]+BetTable[WBA3]-BetTable[TS])</f>
        <v>-76</v>
      </c>
      <c r="Z937" s="227">
        <f>(((BetTable[Odds]-1)*BetTable[Stake])*(1-(BetTable[Comm %]))+BetTable[Stake])</f>
        <v>108.67999999999999</v>
      </c>
      <c r="AA937" s="227">
        <f>(((BetTable[O2]-1)*BetTable[S2])*(1-(BetTable[C% 2]))+BetTable[S2])</f>
        <v>0</v>
      </c>
      <c r="AB937" s="227">
        <f>(((BetTable[O3]-1)*BetTable[S3])*(1-(BetTable[C% 3]))+BetTable[S3])</f>
        <v>0</v>
      </c>
      <c r="AC937" s="228">
        <f>IFERROR(IF(BetTable[Sport]="","",BetTable[R1]/BetTable[TS]),"")</f>
        <v>0.42999999999999988</v>
      </c>
      <c r="AD937" s="228" t="str">
        <f>IF(BetTable[O2]="","",#REF!/BetTable[TS])</f>
        <v/>
      </c>
      <c r="AE937" s="228" t="str">
        <f>IFERROR(IF(BetTable[Sport]="","",#REF!/BetTable[TS]),"")</f>
        <v/>
      </c>
      <c r="AF937" s="227">
        <f>IF(BetTable[Outcome]="Win",BetTable[WBA1-Commission],IF(BetTable[Outcome]="Win Half Stake",(BetTable[Stake]/2)+BetTable[WBA1-Commission]/2,IF(BetTable[Outcome]="Lose Half Stake",BetTable[Stake]/2,IF(BetTable[Outcome]="Lose",0,IF(BetTable[Outcome]="Void",BetTable[Stake],)))))</f>
        <v>0</v>
      </c>
      <c r="AG937" s="227">
        <f>IF(BetTable[Outcome2]="Win",BetTable[WBA2-Commission],IF(BetTable[Outcome2]="Win Half Stake",(BetTable[S2]/2)+BetTable[WBA2-Commission]/2,IF(BetTable[Outcome2]="Lose Half Stake",BetTable[S2]/2,IF(BetTable[Outcome2]="Lose",0,IF(BetTable[Outcome2]="Void",BetTable[S2],)))))</f>
        <v>0</v>
      </c>
      <c r="AH937" s="227">
        <f>IF(BetTable[Outcome3]="Win",BetTable[WBA3-Commission],IF(BetTable[Outcome3]="Win Half Stake",(BetTable[S3]/2)+BetTable[WBA3-Commission]/2,IF(BetTable[Outcome3]="Lose Half Stake",BetTable[S3]/2,IF(BetTable[Outcome3]="Lose",0,IF(BetTable[Outcome3]="Void",BetTable[S3],)))))</f>
        <v>0</v>
      </c>
      <c r="AI937" s="231">
        <f>IF(BetTable[Outcome]="",AI936,BetTable[Result]+AI936)</f>
        <v>1377.5622500000004</v>
      </c>
      <c r="AJ937" s="223"/>
    </row>
    <row r="938" spans="1:36" x14ac:dyDescent="0.2">
      <c r="A938" s="222" t="s">
        <v>2375</v>
      </c>
      <c r="B938" s="223" t="s">
        <v>200</v>
      </c>
      <c r="C938" s="224" t="s">
        <v>1714</v>
      </c>
      <c r="D938" s="224"/>
      <c r="E938" s="224"/>
      <c r="F938" s="225"/>
      <c r="G938" s="225"/>
      <c r="H938" s="225"/>
      <c r="I938" s="223" t="s">
        <v>2415</v>
      </c>
      <c r="J938" s="226">
        <v>1.94</v>
      </c>
      <c r="K938" s="226"/>
      <c r="L938" s="226"/>
      <c r="M938" s="227">
        <v>53</v>
      </c>
      <c r="N938" s="227"/>
      <c r="O938" s="227"/>
      <c r="P938" s="222" t="s">
        <v>791</v>
      </c>
      <c r="Q938" s="222" t="s">
        <v>677</v>
      </c>
      <c r="R938" s="222" t="s">
        <v>2416</v>
      </c>
      <c r="S938" s="228">
        <v>3.2189900964119098E-2</v>
      </c>
      <c r="T938" s="229" t="s">
        <v>382</v>
      </c>
      <c r="U938" s="229"/>
      <c r="V938" s="229"/>
      <c r="W938" s="230">
        <f>IF(BetTable[Sport]="","",BetTable[Stake]+BetTable[S2]+BetTable[S3])</f>
        <v>53</v>
      </c>
      <c r="X938" s="227">
        <f>IF(BetTable[Odds]="","",(BetTable[WBA1-Commission])-BetTable[TS])</f>
        <v>49.819999999999993</v>
      </c>
      <c r="Y938" s="231">
        <f>IF(BetTable[Outcome]="","",BetTable[WBA1]+BetTable[WBA2]+BetTable[WBA3]-BetTable[TS])</f>
        <v>-53</v>
      </c>
      <c r="Z938" s="227">
        <f>(((BetTable[Odds]-1)*BetTable[Stake])*(1-(BetTable[Comm %]))+BetTable[Stake])</f>
        <v>102.82</v>
      </c>
      <c r="AA938" s="227">
        <f>(((BetTable[O2]-1)*BetTable[S2])*(1-(BetTable[C% 2]))+BetTable[S2])</f>
        <v>0</v>
      </c>
      <c r="AB938" s="227">
        <f>(((BetTable[O3]-1)*BetTable[S3])*(1-(BetTable[C% 3]))+BetTable[S3])</f>
        <v>0</v>
      </c>
      <c r="AC938" s="228">
        <f>IFERROR(IF(BetTable[Sport]="","",BetTable[R1]/BetTable[TS]),"")</f>
        <v>0.93999999999999984</v>
      </c>
      <c r="AD938" s="228" t="str">
        <f>IF(BetTable[O2]="","",#REF!/BetTable[TS])</f>
        <v/>
      </c>
      <c r="AE938" s="228" t="str">
        <f>IFERROR(IF(BetTable[Sport]="","",#REF!/BetTable[TS]),"")</f>
        <v/>
      </c>
      <c r="AF938" s="227">
        <f>IF(BetTable[Outcome]="Win",BetTable[WBA1-Commission],IF(BetTable[Outcome]="Win Half Stake",(BetTable[Stake]/2)+BetTable[WBA1-Commission]/2,IF(BetTable[Outcome]="Lose Half Stake",BetTable[Stake]/2,IF(BetTable[Outcome]="Lose",0,IF(BetTable[Outcome]="Void",BetTable[Stake],)))))</f>
        <v>0</v>
      </c>
      <c r="AG938" s="227">
        <f>IF(BetTable[Outcome2]="Win",BetTable[WBA2-Commission],IF(BetTable[Outcome2]="Win Half Stake",(BetTable[S2]/2)+BetTable[WBA2-Commission]/2,IF(BetTable[Outcome2]="Lose Half Stake",BetTable[S2]/2,IF(BetTable[Outcome2]="Lose",0,IF(BetTable[Outcome2]="Void",BetTable[S2],)))))</f>
        <v>0</v>
      </c>
      <c r="AH938" s="227">
        <f>IF(BetTable[Outcome3]="Win",BetTable[WBA3-Commission],IF(BetTable[Outcome3]="Win Half Stake",(BetTable[S3]/2)+BetTable[WBA3-Commission]/2,IF(BetTable[Outcome3]="Lose Half Stake",BetTable[S3]/2,IF(BetTable[Outcome3]="Lose",0,IF(BetTable[Outcome3]="Void",BetTable[S3],)))))</f>
        <v>0</v>
      </c>
      <c r="AI938" s="231">
        <f>IF(BetTable[Outcome]="",AI937,BetTable[Result]+AI937)</f>
        <v>1324.5622500000004</v>
      </c>
      <c r="AJ938" s="223"/>
    </row>
    <row r="939" spans="1:36" x14ac:dyDescent="0.2">
      <c r="A939" s="222" t="s">
        <v>2375</v>
      </c>
      <c r="B939" s="223" t="s">
        <v>7</v>
      </c>
      <c r="C939" s="224" t="s">
        <v>216</v>
      </c>
      <c r="D939" s="224"/>
      <c r="E939" s="224"/>
      <c r="F939" s="225"/>
      <c r="G939" s="225"/>
      <c r="H939" s="225"/>
      <c r="I939" s="223" t="s">
        <v>2417</v>
      </c>
      <c r="J939" s="226">
        <v>1.909</v>
      </c>
      <c r="K939" s="226"/>
      <c r="L939" s="226"/>
      <c r="M939" s="227">
        <v>55</v>
      </c>
      <c r="N939" s="227"/>
      <c r="O939" s="227"/>
      <c r="P939" s="222" t="s">
        <v>332</v>
      </c>
      <c r="Q939" s="222" t="s">
        <v>552</v>
      </c>
      <c r="R939" s="222" t="s">
        <v>2418</v>
      </c>
      <c r="S939" s="228">
        <v>4.6569787113594698E-2</v>
      </c>
      <c r="T939" s="229" t="s">
        <v>372</v>
      </c>
      <c r="U939" s="229"/>
      <c r="V939" s="229"/>
      <c r="W939" s="230">
        <f>IF(BetTable[Sport]="","",BetTable[Stake]+BetTable[S2]+BetTable[S3])</f>
        <v>55</v>
      </c>
      <c r="X939" s="227">
        <f>IF(BetTable[Odds]="","",(BetTable[WBA1-Commission])-BetTable[TS])</f>
        <v>49.995000000000005</v>
      </c>
      <c r="Y939" s="231">
        <f>IF(BetTable[Outcome]="","",BetTable[WBA1]+BetTable[WBA2]+BetTable[WBA3]-BetTable[TS])</f>
        <v>49.995000000000005</v>
      </c>
      <c r="Z939" s="227">
        <f>(((BetTable[Odds]-1)*BetTable[Stake])*(1-(BetTable[Comm %]))+BetTable[Stake])</f>
        <v>104.995</v>
      </c>
      <c r="AA939" s="227">
        <f>(((BetTable[O2]-1)*BetTable[S2])*(1-(BetTable[C% 2]))+BetTable[S2])</f>
        <v>0</v>
      </c>
      <c r="AB939" s="227">
        <f>(((BetTable[O3]-1)*BetTable[S3])*(1-(BetTable[C% 3]))+BetTable[S3])</f>
        <v>0</v>
      </c>
      <c r="AC939" s="228">
        <f>IFERROR(IF(BetTable[Sport]="","",BetTable[R1]/BetTable[TS]),"")</f>
        <v>0.90900000000000003</v>
      </c>
      <c r="AD939" s="228" t="str">
        <f>IF(BetTable[O2]="","",#REF!/BetTable[TS])</f>
        <v/>
      </c>
      <c r="AE939" s="228" t="str">
        <f>IFERROR(IF(BetTable[Sport]="","",#REF!/BetTable[TS]),"")</f>
        <v/>
      </c>
      <c r="AF939" s="227">
        <f>IF(BetTable[Outcome]="Win",BetTable[WBA1-Commission],IF(BetTable[Outcome]="Win Half Stake",(BetTable[Stake]/2)+BetTable[WBA1-Commission]/2,IF(BetTable[Outcome]="Lose Half Stake",BetTable[Stake]/2,IF(BetTable[Outcome]="Lose",0,IF(BetTable[Outcome]="Void",BetTable[Stake],)))))</f>
        <v>104.995</v>
      </c>
      <c r="AG939" s="227">
        <f>IF(BetTable[Outcome2]="Win",BetTable[WBA2-Commission],IF(BetTable[Outcome2]="Win Half Stake",(BetTable[S2]/2)+BetTable[WBA2-Commission]/2,IF(BetTable[Outcome2]="Lose Half Stake",BetTable[S2]/2,IF(BetTable[Outcome2]="Lose",0,IF(BetTable[Outcome2]="Void",BetTable[S2],)))))</f>
        <v>0</v>
      </c>
      <c r="AH939" s="227">
        <f>IF(BetTable[Outcome3]="Win",BetTable[WBA3-Commission],IF(BetTable[Outcome3]="Win Half Stake",(BetTable[S3]/2)+BetTable[WBA3-Commission]/2,IF(BetTable[Outcome3]="Lose Half Stake",BetTable[S3]/2,IF(BetTable[Outcome3]="Lose",0,IF(BetTable[Outcome3]="Void",BetTable[S3],)))))</f>
        <v>0</v>
      </c>
      <c r="AI939" s="231">
        <f>IF(BetTable[Outcome]="",AI938,BetTable[Result]+AI938)</f>
        <v>1374.5572500000003</v>
      </c>
      <c r="AJ939" s="223"/>
    </row>
    <row r="940" spans="1:36" x14ac:dyDescent="0.2">
      <c r="A940" s="222" t="s">
        <v>2375</v>
      </c>
      <c r="B940" s="223" t="s">
        <v>7</v>
      </c>
      <c r="C940" s="224" t="s">
        <v>216</v>
      </c>
      <c r="D940" s="224"/>
      <c r="E940" s="224"/>
      <c r="F940" s="225"/>
      <c r="G940" s="225"/>
      <c r="H940" s="225"/>
      <c r="I940" s="223" t="s">
        <v>2419</v>
      </c>
      <c r="J940" s="226">
        <v>1.909</v>
      </c>
      <c r="K940" s="226"/>
      <c r="L940" s="226"/>
      <c r="M940" s="227">
        <v>40</v>
      </c>
      <c r="N940" s="227"/>
      <c r="O940" s="227"/>
      <c r="P940" s="222" t="s">
        <v>655</v>
      </c>
      <c r="Q940" s="222" t="s">
        <v>552</v>
      </c>
      <c r="R940" s="222" t="s">
        <v>2420</v>
      </c>
      <c r="S940" s="228">
        <v>2.4273986578506698E-2</v>
      </c>
      <c r="T940" s="229" t="s">
        <v>382</v>
      </c>
      <c r="U940" s="229"/>
      <c r="V940" s="229"/>
      <c r="W940" s="230">
        <f>IF(BetTable[Sport]="","",BetTable[Stake]+BetTable[S2]+BetTable[S3])</f>
        <v>40</v>
      </c>
      <c r="X940" s="227">
        <f>IF(BetTable[Odds]="","",(BetTable[WBA1-Commission])-BetTable[TS])</f>
        <v>36.36</v>
      </c>
      <c r="Y940" s="231">
        <f>IF(BetTable[Outcome]="","",BetTable[WBA1]+BetTable[WBA2]+BetTable[WBA3]-BetTable[TS])</f>
        <v>-40</v>
      </c>
      <c r="Z940" s="227">
        <f>(((BetTable[Odds]-1)*BetTable[Stake])*(1-(BetTable[Comm %]))+BetTable[Stake])</f>
        <v>76.36</v>
      </c>
      <c r="AA940" s="227">
        <f>(((BetTable[O2]-1)*BetTable[S2])*(1-(BetTable[C% 2]))+BetTable[S2])</f>
        <v>0</v>
      </c>
      <c r="AB940" s="227">
        <f>(((BetTable[O3]-1)*BetTable[S3])*(1-(BetTable[C% 3]))+BetTable[S3])</f>
        <v>0</v>
      </c>
      <c r="AC940" s="228">
        <f>IFERROR(IF(BetTable[Sport]="","",BetTable[R1]/BetTable[TS]),"")</f>
        <v>0.90900000000000003</v>
      </c>
      <c r="AD940" s="228" t="str">
        <f>IF(BetTable[O2]="","",#REF!/BetTable[TS])</f>
        <v/>
      </c>
      <c r="AE940" s="228" t="str">
        <f>IFERROR(IF(BetTable[Sport]="","",#REF!/BetTable[TS]),"")</f>
        <v/>
      </c>
      <c r="AF940" s="227">
        <f>IF(BetTable[Outcome]="Win",BetTable[WBA1-Commission],IF(BetTable[Outcome]="Win Half Stake",(BetTable[Stake]/2)+BetTable[WBA1-Commission]/2,IF(BetTable[Outcome]="Lose Half Stake",BetTable[Stake]/2,IF(BetTable[Outcome]="Lose",0,IF(BetTable[Outcome]="Void",BetTable[Stake],)))))</f>
        <v>0</v>
      </c>
      <c r="AG940" s="227">
        <f>IF(BetTable[Outcome2]="Win",BetTable[WBA2-Commission],IF(BetTable[Outcome2]="Win Half Stake",(BetTable[S2]/2)+BetTable[WBA2-Commission]/2,IF(BetTable[Outcome2]="Lose Half Stake",BetTable[S2]/2,IF(BetTable[Outcome2]="Lose",0,IF(BetTable[Outcome2]="Void",BetTable[S2],)))))</f>
        <v>0</v>
      </c>
      <c r="AH940" s="227">
        <f>IF(BetTable[Outcome3]="Win",BetTable[WBA3-Commission],IF(BetTable[Outcome3]="Win Half Stake",(BetTable[S3]/2)+BetTable[WBA3-Commission]/2,IF(BetTable[Outcome3]="Lose Half Stake",BetTable[S3]/2,IF(BetTable[Outcome3]="Lose",0,IF(BetTable[Outcome3]="Void",BetTable[S3],)))))</f>
        <v>0</v>
      </c>
      <c r="AI940" s="231">
        <f>IF(BetTable[Outcome]="",AI939,BetTable[Result]+AI939)</f>
        <v>1334.5572500000003</v>
      </c>
      <c r="AJ940" s="223"/>
    </row>
    <row r="941" spans="1:36" x14ac:dyDescent="0.2">
      <c r="A941" s="222" t="s">
        <v>2375</v>
      </c>
      <c r="B941" s="223" t="s">
        <v>200</v>
      </c>
      <c r="C941" s="224" t="s">
        <v>91</v>
      </c>
      <c r="D941" s="224"/>
      <c r="E941" s="224"/>
      <c r="F941" s="225"/>
      <c r="G941" s="225"/>
      <c r="H941" s="225"/>
      <c r="I941" s="223" t="s">
        <v>2421</v>
      </c>
      <c r="J941" s="226">
        <v>1.36</v>
      </c>
      <c r="K941" s="226"/>
      <c r="L941" s="226"/>
      <c r="M941" s="227">
        <v>103</v>
      </c>
      <c r="N941" s="227"/>
      <c r="O941" s="227"/>
      <c r="P941" s="222" t="s">
        <v>435</v>
      </c>
      <c r="Q941" s="222" t="s">
        <v>632</v>
      </c>
      <c r="R941" s="222" t="s">
        <v>2422</v>
      </c>
      <c r="S941" s="228">
        <v>2.69730357508546E-2</v>
      </c>
      <c r="T941" s="229" t="s">
        <v>372</v>
      </c>
      <c r="U941" s="229"/>
      <c r="V941" s="229"/>
      <c r="W941" s="230">
        <f>IF(BetTable[Sport]="","",BetTable[Stake]+BetTable[S2]+BetTable[S3])</f>
        <v>103</v>
      </c>
      <c r="X941" s="227">
        <f>IF(BetTable[Odds]="","",(BetTable[WBA1-Commission])-BetTable[TS])</f>
        <v>37.080000000000013</v>
      </c>
      <c r="Y941" s="231">
        <f>IF(BetTable[Outcome]="","",BetTable[WBA1]+BetTable[WBA2]+BetTable[WBA3]-BetTable[TS])</f>
        <v>37.080000000000013</v>
      </c>
      <c r="Z941" s="227">
        <f>(((BetTable[Odds]-1)*BetTable[Stake])*(1-(BetTable[Comm %]))+BetTable[Stake])</f>
        <v>140.08000000000001</v>
      </c>
      <c r="AA941" s="227">
        <f>(((BetTable[O2]-1)*BetTable[S2])*(1-(BetTable[C% 2]))+BetTable[S2])</f>
        <v>0</v>
      </c>
      <c r="AB941" s="227">
        <f>(((BetTable[O3]-1)*BetTable[S3])*(1-(BetTable[C% 3]))+BetTable[S3])</f>
        <v>0</v>
      </c>
      <c r="AC941" s="228">
        <f>IFERROR(IF(BetTable[Sport]="","",BetTable[R1]/BetTable[TS]),"")</f>
        <v>0.3600000000000001</v>
      </c>
      <c r="AD941" s="228" t="str">
        <f>IF(BetTable[O2]="","",#REF!/BetTable[TS])</f>
        <v/>
      </c>
      <c r="AE941" s="228" t="str">
        <f>IFERROR(IF(BetTable[Sport]="","",#REF!/BetTable[TS]),"")</f>
        <v/>
      </c>
      <c r="AF941" s="227">
        <f>IF(BetTable[Outcome]="Win",BetTable[WBA1-Commission],IF(BetTable[Outcome]="Win Half Stake",(BetTable[Stake]/2)+BetTable[WBA1-Commission]/2,IF(BetTable[Outcome]="Lose Half Stake",BetTable[Stake]/2,IF(BetTable[Outcome]="Lose",0,IF(BetTable[Outcome]="Void",BetTable[Stake],)))))</f>
        <v>140.08000000000001</v>
      </c>
      <c r="AG941" s="227">
        <f>IF(BetTable[Outcome2]="Win",BetTable[WBA2-Commission],IF(BetTable[Outcome2]="Win Half Stake",(BetTable[S2]/2)+BetTable[WBA2-Commission]/2,IF(BetTable[Outcome2]="Lose Half Stake",BetTable[S2]/2,IF(BetTable[Outcome2]="Lose",0,IF(BetTable[Outcome2]="Void",BetTable[S2],)))))</f>
        <v>0</v>
      </c>
      <c r="AH941" s="227">
        <f>IF(BetTable[Outcome3]="Win",BetTable[WBA3-Commission],IF(BetTable[Outcome3]="Win Half Stake",(BetTable[S3]/2)+BetTable[WBA3-Commission]/2,IF(BetTable[Outcome3]="Lose Half Stake",BetTable[S3]/2,IF(BetTable[Outcome3]="Lose",0,IF(BetTable[Outcome3]="Void",BetTable[S3],)))))</f>
        <v>0</v>
      </c>
      <c r="AI941" s="231">
        <f>IF(BetTable[Outcome]="",AI940,BetTable[Result]+AI940)</f>
        <v>1371.6372500000002</v>
      </c>
      <c r="AJ941" s="223"/>
    </row>
    <row r="942" spans="1:36" x14ac:dyDescent="0.2">
      <c r="A942" s="222" t="s">
        <v>2375</v>
      </c>
      <c r="B942" s="223" t="s">
        <v>7</v>
      </c>
      <c r="C942" s="224" t="s">
        <v>216</v>
      </c>
      <c r="D942" s="224"/>
      <c r="E942" s="224"/>
      <c r="F942" s="225"/>
      <c r="G942" s="225"/>
      <c r="H942" s="225"/>
      <c r="I942" s="223" t="s">
        <v>2423</v>
      </c>
      <c r="J942" s="226">
        <v>1.909</v>
      </c>
      <c r="K942" s="226"/>
      <c r="L942" s="226"/>
      <c r="M942" s="227">
        <v>25</v>
      </c>
      <c r="N942" s="227"/>
      <c r="O942" s="227"/>
      <c r="P942" s="222" t="s">
        <v>1208</v>
      </c>
      <c r="Q942" s="222" t="s">
        <v>530</v>
      </c>
      <c r="R942" s="222" t="s">
        <v>2424</v>
      </c>
      <c r="S942" s="228">
        <v>5.8134363723203103E-2</v>
      </c>
      <c r="T942" s="229" t="s">
        <v>372</v>
      </c>
      <c r="U942" s="229"/>
      <c r="V942" s="229"/>
      <c r="W942" s="230">
        <f>IF(BetTable[Sport]="","",BetTable[Stake]+BetTable[S2]+BetTable[S3])</f>
        <v>25</v>
      </c>
      <c r="X942" s="227">
        <f>IF(BetTable[Odds]="","",(BetTable[WBA1-Commission])-BetTable[TS])</f>
        <v>22.725000000000001</v>
      </c>
      <c r="Y942" s="231">
        <f>IF(BetTable[Outcome]="","",BetTable[WBA1]+BetTable[WBA2]+BetTable[WBA3]-BetTable[TS])</f>
        <v>22.725000000000001</v>
      </c>
      <c r="Z942" s="227">
        <f>(((BetTable[Odds]-1)*BetTable[Stake])*(1-(BetTable[Comm %]))+BetTable[Stake])</f>
        <v>47.725000000000001</v>
      </c>
      <c r="AA942" s="227">
        <f>(((BetTable[O2]-1)*BetTable[S2])*(1-(BetTable[C% 2]))+BetTable[S2])</f>
        <v>0</v>
      </c>
      <c r="AB942" s="227">
        <f>(((BetTable[O3]-1)*BetTable[S3])*(1-(BetTable[C% 3]))+BetTable[S3])</f>
        <v>0</v>
      </c>
      <c r="AC942" s="228">
        <f>IFERROR(IF(BetTable[Sport]="","",BetTable[R1]/BetTable[TS]),"")</f>
        <v>0.90900000000000003</v>
      </c>
      <c r="AD942" s="228" t="str">
        <f>IF(BetTable[O2]="","",#REF!/BetTable[TS])</f>
        <v/>
      </c>
      <c r="AE942" s="228" t="str">
        <f>IFERROR(IF(BetTable[Sport]="","",#REF!/BetTable[TS]),"")</f>
        <v/>
      </c>
      <c r="AF942" s="227">
        <f>IF(BetTable[Outcome]="Win",BetTable[WBA1-Commission],IF(BetTable[Outcome]="Win Half Stake",(BetTable[Stake]/2)+BetTable[WBA1-Commission]/2,IF(BetTable[Outcome]="Lose Half Stake",BetTable[Stake]/2,IF(BetTable[Outcome]="Lose",0,IF(BetTable[Outcome]="Void",BetTable[Stake],)))))</f>
        <v>47.725000000000001</v>
      </c>
      <c r="AG942" s="227">
        <f>IF(BetTable[Outcome2]="Win",BetTable[WBA2-Commission],IF(BetTable[Outcome2]="Win Half Stake",(BetTable[S2]/2)+BetTable[WBA2-Commission]/2,IF(BetTable[Outcome2]="Lose Half Stake",BetTable[S2]/2,IF(BetTable[Outcome2]="Lose",0,IF(BetTable[Outcome2]="Void",BetTable[S2],)))))</f>
        <v>0</v>
      </c>
      <c r="AH942" s="227">
        <f>IF(BetTable[Outcome3]="Win",BetTable[WBA3-Commission],IF(BetTable[Outcome3]="Win Half Stake",(BetTable[S3]/2)+BetTable[WBA3-Commission]/2,IF(BetTable[Outcome3]="Lose Half Stake",BetTable[S3]/2,IF(BetTable[Outcome3]="Lose",0,IF(BetTable[Outcome3]="Void",BetTable[S3],)))))</f>
        <v>0</v>
      </c>
      <c r="AI942" s="231">
        <f>IF(BetTable[Outcome]="",AI941,BetTable[Result]+AI941)</f>
        <v>1394.3622500000001</v>
      </c>
      <c r="AJ942" s="223"/>
    </row>
    <row r="943" spans="1:36" x14ac:dyDescent="0.2">
      <c r="A943" s="222" t="s">
        <v>2375</v>
      </c>
      <c r="B943" s="223" t="s">
        <v>7</v>
      </c>
      <c r="C943" s="224" t="s">
        <v>216</v>
      </c>
      <c r="D943" s="224"/>
      <c r="E943" s="224"/>
      <c r="F943" s="225"/>
      <c r="G943" s="225"/>
      <c r="H943" s="225"/>
      <c r="I943" s="223" t="s">
        <v>2417</v>
      </c>
      <c r="J943" s="226">
        <v>1.909</v>
      </c>
      <c r="K943" s="226"/>
      <c r="L943" s="226"/>
      <c r="M943" s="227">
        <v>55</v>
      </c>
      <c r="N943" s="227"/>
      <c r="O943" s="227"/>
      <c r="P943" s="222" t="s">
        <v>2425</v>
      </c>
      <c r="Q943" s="222" t="s">
        <v>552</v>
      </c>
      <c r="R943" s="222" t="s">
        <v>2426</v>
      </c>
      <c r="S943" s="228">
        <v>4.48194445803528E-2</v>
      </c>
      <c r="T943" s="229" t="s">
        <v>372</v>
      </c>
      <c r="U943" s="229"/>
      <c r="V943" s="229"/>
      <c r="W943" s="230">
        <f>IF(BetTable[Sport]="","",BetTable[Stake]+BetTable[S2]+BetTable[S3])</f>
        <v>55</v>
      </c>
      <c r="X943" s="227">
        <f>IF(BetTable[Odds]="","",(BetTable[WBA1-Commission])-BetTable[TS])</f>
        <v>49.995000000000005</v>
      </c>
      <c r="Y943" s="231">
        <f>IF(BetTable[Outcome]="","",BetTable[WBA1]+BetTable[WBA2]+BetTable[WBA3]-BetTable[TS])</f>
        <v>49.995000000000005</v>
      </c>
      <c r="Z943" s="227">
        <f>(((BetTable[Odds]-1)*BetTable[Stake])*(1-(BetTable[Comm %]))+BetTable[Stake])</f>
        <v>104.995</v>
      </c>
      <c r="AA943" s="227">
        <f>(((BetTable[O2]-1)*BetTable[S2])*(1-(BetTable[C% 2]))+BetTable[S2])</f>
        <v>0</v>
      </c>
      <c r="AB943" s="227">
        <f>(((BetTable[O3]-1)*BetTable[S3])*(1-(BetTable[C% 3]))+BetTable[S3])</f>
        <v>0</v>
      </c>
      <c r="AC943" s="228">
        <f>IFERROR(IF(BetTable[Sport]="","",BetTable[R1]/BetTable[TS]),"")</f>
        <v>0.90900000000000003</v>
      </c>
      <c r="AD943" s="228" t="str">
        <f>IF(BetTable[O2]="","",#REF!/BetTable[TS])</f>
        <v/>
      </c>
      <c r="AE943" s="228" t="str">
        <f>IFERROR(IF(BetTable[Sport]="","",#REF!/BetTable[TS]),"")</f>
        <v/>
      </c>
      <c r="AF943" s="227">
        <f>IF(BetTable[Outcome]="Win",BetTable[WBA1-Commission],IF(BetTable[Outcome]="Win Half Stake",(BetTable[Stake]/2)+BetTable[WBA1-Commission]/2,IF(BetTable[Outcome]="Lose Half Stake",BetTable[Stake]/2,IF(BetTable[Outcome]="Lose",0,IF(BetTable[Outcome]="Void",BetTable[Stake],)))))</f>
        <v>104.995</v>
      </c>
      <c r="AG943" s="227">
        <f>IF(BetTable[Outcome2]="Win",BetTable[WBA2-Commission],IF(BetTable[Outcome2]="Win Half Stake",(BetTable[S2]/2)+BetTable[WBA2-Commission]/2,IF(BetTable[Outcome2]="Lose Half Stake",BetTable[S2]/2,IF(BetTable[Outcome2]="Lose",0,IF(BetTable[Outcome2]="Void",BetTable[S2],)))))</f>
        <v>0</v>
      </c>
      <c r="AH943" s="227">
        <f>IF(BetTable[Outcome3]="Win",BetTable[WBA3-Commission],IF(BetTable[Outcome3]="Win Half Stake",(BetTable[S3]/2)+BetTable[WBA3-Commission]/2,IF(BetTable[Outcome3]="Lose Half Stake",BetTable[S3]/2,IF(BetTable[Outcome3]="Lose",0,IF(BetTable[Outcome3]="Void",BetTable[S3],)))))</f>
        <v>0</v>
      </c>
      <c r="AI943" s="231">
        <f>IF(BetTable[Outcome]="",AI942,BetTable[Result]+AI942)</f>
        <v>1444.35725</v>
      </c>
      <c r="AJ943" s="223"/>
    </row>
    <row r="944" spans="1:36" x14ac:dyDescent="0.2">
      <c r="A944" s="222" t="s">
        <v>2375</v>
      </c>
      <c r="B944" s="223" t="s">
        <v>7</v>
      </c>
      <c r="C944" s="224" t="s">
        <v>216</v>
      </c>
      <c r="D944" s="224"/>
      <c r="E944" s="224"/>
      <c r="F944" s="225"/>
      <c r="G944" s="225"/>
      <c r="H944" s="225"/>
      <c r="I944" s="223" t="s">
        <v>2427</v>
      </c>
      <c r="J944" s="226">
        <v>1.909</v>
      </c>
      <c r="K944" s="226"/>
      <c r="L944" s="226"/>
      <c r="M944" s="227">
        <v>55</v>
      </c>
      <c r="N944" s="227"/>
      <c r="O944" s="227"/>
      <c r="P944" s="222" t="s">
        <v>592</v>
      </c>
      <c r="Q944" s="222" t="s">
        <v>461</v>
      </c>
      <c r="R944" s="222" t="s">
        <v>2428</v>
      </c>
      <c r="S944" s="228">
        <v>4.4331611739629399E-2</v>
      </c>
      <c r="T944" s="229" t="s">
        <v>372</v>
      </c>
      <c r="U944" s="229"/>
      <c r="V944" s="229"/>
      <c r="W944" s="230">
        <f>IF(BetTable[Sport]="","",BetTable[Stake]+BetTable[S2]+BetTable[S3])</f>
        <v>55</v>
      </c>
      <c r="X944" s="227">
        <f>IF(BetTable[Odds]="","",(BetTable[WBA1-Commission])-BetTable[TS])</f>
        <v>49.995000000000005</v>
      </c>
      <c r="Y944" s="231">
        <f>IF(BetTable[Outcome]="","",BetTable[WBA1]+BetTable[WBA2]+BetTable[WBA3]-BetTable[TS])</f>
        <v>49.995000000000005</v>
      </c>
      <c r="Z944" s="227">
        <f>(((BetTable[Odds]-1)*BetTable[Stake])*(1-(BetTable[Comm %]))+BetTable[Stake])</f>
        <v>104.995</v>
      </c>
      <c r="AA944" s="227">
        <f>(((BetTable[O2]-1)*BetTable[S2])*(1-(BetTable[C% 2]))+BetTable[S2])</f>
        <v>0</v>
      </c>
      <c r="AB944" s="227">
        <f>(((BetTable[O3]-1)*BetTable[S3])*(1-(BetTable[C% 3]))+BetTable[S3])</f>
        <v>0</v>
      </c>
      <c r="AC944" s="228">
        <f>IFERROR(IF(BetTable[Sport]="","",BetTable[R1]/BetTable[TS]),"")</f>
        <v>0.90900000000000003</v>
      </c>
      <c r="AD944" s="228" t="str">
        <f>IF(BetTable[O2]="","",#REF!/BetTable[TS])</f>
        <v/>
      </c>
      <c r="AE944" s="228" t="str">
        <f>IFERROR(IF(BetTable[Sport]="","",#REF!/BetTable[TS]),"")</f>
        <v/>
      </c>
      <c r="AF944" s="227">
        <f>IF(BetTable[Outcome]="Win",BetTable[WBA1-Commission],IF(BetTable[Outcome]="Win Half Stake",(BetTable[Stake]/2)+BetTable[WBA1-Commission]/2,IF(BetTable[Outcome]="Lose Half Stake",BetTable[Stake]/2,IF(BetTable[Outcome]="Lose",0,IF(BetTable[Outcome]="Void",BetTable[Stake],)))))</f>
        <v>104.995</v>
      </c>
      <c r="AG944" s="227">
        <f>IF(BetTable[Outcome2]="Win",BetTable[WBA2-Commission],IF(BetTable[Outcome2]="Win Half Stake",(BetTable[S2]/2)+BetTable[WBA2-Commission]/2,IF(BetTable[Outcome2]="Lose Half Stake",BetTable[S2]/2,IF(BetTable[Outcome2]="Lose",0,IF(BetTable[Outcome2]="Void",BetTable[S2],)))))</f>
        <v>0</v>
      </c>
      <c r="AH944" s="227">
        <f>IF(BetTable[Outcome3]="Win",BetTable[WBA3-Commission],IF(BetTable[Outcome3]="Win Half Stake",(BetTable[S3]/2)+BetTable[WBA3-Commission]/2,IF(BetTable[Outcome3]="Lose Half Stake",BetTable[S3]/2,IF(BetTable[Outcome3]="Lose",0,IF(BetTable[Outcome3]="Void",BetTable[S3],)))))</f>
        <v>0</v>
      </c>
      <c r="AI944" s="231">
        <f>IF(BetTable[Outcome]="",AI943,BetTable[Result]+AI943)</f>
        <v>1494.3522499999999</v>
      </c>
      <c r="AJ944" s="223"/>
    </row>
    <row r="945" spans="1:36" x14ac:dyDescent="0.2">
      <c r="A945" s="222" t="s">
        <v>2375</v>
      </c>
      <c r="B945" s="223" t="s">
        <v>7</v>
      </c>
      <c r="C945" s="224" t="s">
        <v>216</v>
      </c>
      <c r="D945" s="224"/>
      <c r="E945" s="224"/>
      <c r="F945" s="225"/>
      <c r="G945" s="225"/>
      <c r="H945" s="225"/>
      <c r="I945" s="223" t="s">
        <v>2429</v>
      </c>
      <c r="J945" s="226">
        <v>1.87</v>
      </c>
      <c r="K945" s="226"/>
      <c r="L945" s="226"/>
      <c r="M945" s="227">
        <v>28</v>
      </c>
      <c r="N945" s="227"/>
      <c r="O945" s="227"/>
      <c r="P945" s="222" t="s">
        <v>2025</v>
      </c>
      <c r="Q945" s="222" t="s">
        <v>503</v>
      </c>
      <c r="R945" s="222" t="s">
        <v>2430</v>
      </c>
      <c r="S945" s="228">
        <v>3.6517160902247103E-2</v>
      </c>
      <c r="T945" s="229" t="s">
        <v>382</v>
      </c>
      <c r="U945" s="229"/>
      <c r="V945" s="229"/>
      <c r="W945" s="230">
        <f>IF(BetTable[Sport]="","",BetTable[Stake]+BetTable[S2]+BetTable[S3])</f>
        <v>28</v>
      </c>
      <c r="X945" s="227">
        <f>IF(BetTable[Odds]="","",(BetTable[WBA1-Commission])-BetTable[TS])</f>
        <v>24.36</v>
      </c>
      <c r="Y945" s="231">
        <f>IF(BetTable[Outcome]="","",BetTable[WBA1]+BetTable[WBA2]+BetTable[WBA3]-BetTable[TS])</f>
        <v>-28</v>
      </c>
      <c r="Z945" s="227">
        <f>(((BetTable[Odds]-1)*BetTable[Stake])*(1-(BetTable[Comm %]))+BetTable[Stake])</f>
        <v>52.36</v>
      </c>
      <c r="AA945" s="227">
        <f>(((BetTable[O2]-1)*BetTable[S2])*(1-(BetTable[C% 2]))+BetTable[S2])</f>
        <v>0</v>
      </c>
      <c r="AB945" s="227">
        <f>(((BetTable[O3]-1)*BetTable[S3])*(1-(BetTable[C% 3]))+BetTable[S3])</f>
        <v>0</v>
      </c>
      <c r="AC945" s="228">
        <f>IFERROR(IF(BetTable[Sport]="","",BetTable[R1]/BetTable[TS]),"")</f>
        <v>0.87</v>
      </c>
      <c r="AD945" s="228" t="str">
        <f>IF(BetTable[O2]="","",#REF!/BetTable[TS])</f>
        <v/>
      </c>
      <c r="AE945" s="228" t="str">
        <f>IFERROR(IF(BetTable[Sport]="","",#REF!/BetTable[TS]),"")</f>
        <v/>
      </c>
      <c r="AF945" s="227">
        <f>IF(BetTable[Outcome]="Win",BetTable[WBA1-Commission],IF(BetTable[Outcome]="Win Half Stake",(BetTable[Stake]/2)+BetTable[WBA1-Commission]/2,IF(BetTable[Outcome]="Lose Half Stake",BetTable[Stake]/2,IF(BetTable[Outcome]="Lose",0,IF(BetTable[Outcome]="Void",BetTable[Stake],)))))</f>
        <v>0</v>
      </c>
      <c r="AG945" s="227">
        <f>IF(BetTable[Outcome2]="Win",BetTable[WBA2-Commission],IF(BetTable[Outcome2]="Win Half Stake",(BetTable[S2]/2)+BetTable[WBA2-Commission]/2,IF(BetTable[Outcome2]="Lose Half Stake",BetTable[S2]/2,IF(BetTable[Outcome2]="Lose",0,IF(BetTable[Outcome2]="Void",BetTable[S2],)))))</f>
        <v>0</v>
      </c>
      <c r="AH945" s="227">
        <f>IF(BetTable[Outcome3]="Win",BetTable[WBA3-Commission],IF(BetTable[Outcome3]="Win Half Stake",(BetTable[S3]/2)+BetTable[WBA3-Commission]/2,IF(BetTable[Outcome3]="Lose Half Stake",BetTable[S3]/2,IF(BetTable[Outcome3]="Lose",0,IF(BetTable[Outcome3]="Void",BetTable[S3],)))))</f>
        <v>0</v>
      </c>
      <c r="AI945" s="231">
        <f>IF(BetTable[Outcome]="",AI944,BetTable[Result]+AI944)</f>
        <v>1466.3522499999999</v>
      </c>
      <c r="AJ945" s="223"/>
    </row>
    <row r="946" spans="1:36" x14ac:dyDescent="0.2">
      <c r="A946" s="222" t="s">
        <v>2375</v>
      </c>
      <c r="B946" s="223" t="s">
        <v>7</v>
      </c>
      <c r="C946" s="224" t="s">
        <v>91</v>
      </c>
      <c r="D946" s="224"/>
      <c r="E946" s="224"/>
      <c r="F946" s="225"/>
      <c r="G946" s="225"/>
      <c r="H946" s="225"/>
      <c r="I946" s="223" t="s">
        <v>2431</v>
      </c>
      <c r="J946" s="226">
        <v>1.82</v>
      </c>
      <c r="K946" s="226"/>
      <c r="L946" s="226"/>
      <c r="M946" s="227">
        <v>64</v>
      </c>
      <c r="N946" s="227"/>
      <c r="O946" s="227"/>
      <c r="P946" s="222" t="s">
        <v>2432</v>
      </c>
      <c r="Q946" s="222" t="s">
        <v>632</v>
      </c>
      <c r="R946" s="222" t="s">
        <v>2433</v>
      </c>
      <c r="S946" s="228">
        <v>4.04362043857905E-2</v>
      </c>
      <c r="T946" s="229" t="s">
        <v>382</v>
      </c>
      <c r="U946" s="229"/>
      <c r="V946" s="229"/>
      <c r="W946" s="230">
        <f>IF(BetTable[Sport]="","",BetTable[Stake]+BetTable[S2]+BetTable[S3])</f>
        <v>64</v>
      </c>
      <c r="X946" s="227">
        <f>IF(BetTable[Odds]="","",(BetTable[WBA1-Commission])-BetTable[TS])</f>
        <v>52.480000000000004</v>
      </c>
      <c r="Y946" s="231">
        <f>IF(BetTable[Outcome]="","",BetTable[WBA1]+BetTable[WBA2]+BetTable[WBA3]-BetTable[TS])</f>
        <v>-64</v>
      </c>
      <c r="Z946" s="227">
        <f>(((BetTable[Odds]-1)*BetTable[Stake])*(1-(BetTable[Comm %]))+BetTable[Stake])</f>
        <v>116.48</v>
      </c>
      <c r="AA946" s="227">
        <f>(((BetTable[O2]-1)*BetTable[S2])*(1-(BetTable[C% 2]))+BetTable[S2])</f>
        <v>0</v>
      </c>
      <c r="AB946" s="227">
        <f>(((BetTable[O3]-1)*BetTable[S3])*(1-(BetTable[C% 3]))+BetTable[S3])</f>
        <v>0</v>
      </c>
      <c r="AC946" s="228">
        <f>IFERROR(IF(BetTable[Sport]="","",BetTable[R1]/BetTable[TS]),"")</f>
        <v>0.82000000000000006</v>
      </c>
      <c r="AD946" s="228" t="str">
        <f>IF(BetTable[O2]="","",#REF!/BetTable[TS])</f>
        <v/>
      </c>
      <c r="AE946" s="228" t="str">
        <f>IFERROR(IF(BetTable[Sport]="","",#REF!/BetTable[TS]),"")</f>
        <v/>
      </c>
      <c r="AF946" s="227">
        <f>IF(BetTable[Outcome]="Win",BetTable[WBA1-Commission],IF(BetTable[Outcome]="Win Half Stake",(BetTable[Stake]/2)+BetTable[WBA1-Commission]/2,IF(BetTable[Outcome]="Lose Half Stake",BetTable[Stake]/2,IF(BetTable[Outcome]="Lose",0,IF(BetTable[Outcome]="Void",BetTable[Stake],)))))</f>
        <v>0</v>
      </c>
      <c r="AG946" s="227">
        <f>IF(BetTable[Outcome2]="Win",BetTable[WBA2-Commission],IF(BetTable[Outcome2]="Win Half Stake",(BetTable[S2]/2)+BetTable[WBA2-Commission]/2,IF(BetTable[Outcome2]="Lose Half Stake",BetTable[S2]/2,IF(BetTable[Outcome2]="Lose",0,IF(BetTable[Outcome2]="Void",BetTable[S2],)))))</f>
        <v>0</v>
      </c>
      <c r="AH946" s="227">
        <f>IF(BetTable[Outcome3]="Win",BetTable[WBA3-Commission],IF(BetTable[Outcome3]="Win Half Stake",(BetTable[S3]/2)+BetTable[WBA3-Commission]/2,IF(BetTable[Outcome3]="Lose Half Stake",BetTable[S3]/2,IF(BetTable[Outcome3]="Lose",0,IF(BetTable[Outcome3]="Void",BetTable[S3],)))))</f>
        <v>0</v>
      </c>
      <c r="AI946" s="231">
        <f>IF(BetTable[Outcome]="",AI945,BetTable[Result]+AI945)</f>
        <v>1402.3522499999999</v>
      </c>
      <c r="AJ946" s="223"/>
    </row>
    <row r="947" spans="1:36" x14ac:dyDescent="0.2">
      <c r="A947" s="222" t="s">
        <v>2375</v>
      </c>
      <c r="B947" s="223" t="s">
        <v>200</v>
      </c>
      <c r="C947" s="224" t="s">
        <v>216</v>
      </c>
      <c r="D947" s="224"/>
      <c r="E947" s="224"/>
      <c r="F947" s="225"/>
      <c r="G947" s="225"/>
      <c r="H947" s="225"/>
      <c r="I947" s="223" t="s">
        <v>2434</v>
      </c>
      <c r="J947" s="226">
        <v>1.552</v>
      </c>
      <c r="K947" s="226"/>
      <c r="L947" s="226"/>
      <c r="M947" s="227">
        <v>103</v>
      </c>
      <c r="N947" s="227"/>
      <c r="O947" s="227"/>
      <c r="P947" s="222" t="s">
        <v>688</v>
      </c>
      <c r="Q947" s="222" t="s">
        <v>506</v>
      </c>
      <c r="R947" s="222" t="s">
        <v>2435</v>
      </c>
      <c r="S947" s="228">
        <v>3.8991341147645901E-2</v>
      </c>
      <c r="T947" s="229" t="s">
        <v>382</v>
      </c>
      <c r="U947" s="229"/>
      <c r="V947" s="229"/>
      <c r="W947" s="230">
        <f>IF(BetTable[Sport]="","",BetTable[Stake]+BetTable[S2]+BetTable[S3])</f>
        <v>103</v>
      </c>
      <c r="X947" s="227">
        <f>IF(BetTable[Odds]="","",(BetTable[WBA1-Commission])-BetTable[TS])</f>
        <v>56.855999999999995</v>
      </c>
      <c r="Y947" s="231">
        <f>IF(BetTable[Outcome]="","",BetTable[WBA1]+BetTable[WBA2]+BetTable[WBA3]-BetTable[TS])</f>
        <v>-103</v>
      </c>
      <c r="Z947" s="227">
        <f>(((BetTable[Odds]-1)*BetTable[Stake])*(1-(BetTable[Comm %]))+BetTable[Stake])</f>
        <v>159.85599999999999</v>
      </c>
      <c r="AA947" s="227">
        <f>(((BetTable[O2]-1)*BetTable[S2])*(1-(BetTable[C% 2]))+BetTable[S2])</f>
        <v>0</v>
      </c>
      <c r="AB947" s="227">
        <f>(((BetTable[O3]-1)*BetTable[S3])*(1-(BetTable[C% 3]))+BetTable[S3])</f>
        <v>0</v>
      </c>
      <c r="AC947" s="228">
        <f>IFERROR(IF(BetTable[Sport]="","",BetTable[R1]/BetTable[TS]),"")</f>
        <v>0.55199999999999994</v>
      </c>
      <c r="AD947" s="228" t="str">
        <f>IF(BetTable[O2]="","",#REF!/BetTable[TS])</f>
        <v/>
      </c>
      <c r="AE947" s="228" t="str">
        <f>IFERROR(IF(BetTable[Sport]="","",#REF!/BetTable[TS]),"")</f>
        <v/>
      </c>
      <c r="AF947" s="227">
        <f>IF(BetTable[Outcome]="Win",BetTable[WBA1-Commission],IF(BetTable[Outcome]="Win Half Stake",(BetTable[Stake]/2)+BetTable[WBA1-Commission]/2,IF(BetTable[Outcome]="Lose Half Stake",BetTable[Stake]/2,IF(BetTable[Outcome]="Lose",0,IF(BetTable[Outcome]="Void",BetTable[Stake],)))))</f>
        <v>0</v>
      </c>
      <c r="AG947" s="227">
        <f>IF(BetTable[Outcome2]="Win",BetTable[WBA2-Commission],IF(BetTable[Outcome2]="Win Half Stake",(BetTable[S2]/2)+BetTable[WBA2-Commission]/2,IF(BetTable[Outcome2]="Lose Half Stake",BetTable[S2]/2,IF(BetTable[Outcome2]="Lose",0,IF(BetTable[Outcome2]="Void",BetTable[S2],)))))</f>
        <v>0</v>
      </c>
      <c r="AH947" s="227">
        <f>IF(BetTable[Outcome3]="Win",BetTable[WBA3-Commission],IF(BetTable[Outcome3]="Win Half Stake",(BetTable[S3]/2)+BetTable[WBA3-Commission]/2,IF(BetTable[Outcome3]="Lose Half Stake",BetTable[S3]/2,IF(BetTable[Outcome3]="Lose",0,IF(BetTable[Outcome3]="Void",BetTable[S3],)))))</f>
        <v>0</v>
      </c>
      <c r="AI947" s="231">
        <f>IF(BetTable[Outcome]="",AI946,BetTable[Result]+AI946)</f>
        <v>1299.3522499999999</v>
      </c>
      <c r="AJ947" s="223"/>
    </row>
    <row r="948" spans="1:36" x14ac:dyDescent="0.2">
      <c r="A948" s="222" t="s">
        <v>2375</v>
      </c>
      <c r="B948" s="223" t="s">
        <v>8</v>
      </c>
      <c r="C948" s="224" t="s">
        <v>216</v>
      </c>
      <c r="D948" s="224"/>
      <c r="E948" s="224"/>
      <c r="F948" s="225"/>
      <c r="G948" s="225"/>
      <c r="H948" s="225"/>
      <c r="I948" s="223" t="s">
        <v>2436</v>
      </c>
      <c r="J948" s="226">
        <v>1.526</v>
      </c>
      <c r="K948" s="226"/>
      <c r="L948" s="226"/>
      <c r="M948" s="227">
        <v>47</v>
      </c>
      <c r="N948" s="227"/>
      <c r="O948" s="227"/>
      <c r="P948" s="222" t="s">
        <v>428</v>
      </c>
      <c r="Q948" s="222" t="s">
        <v>656</v>
      </c>
      <c r="R948" s="222" t="s">
        <v>2437</v>
      </c>
      <c r="S948" s="228">
        <v>2.7069547431075001E-2</v>
      </c>
      <c r="T948" s="229" t="s">
        <v>372</v>
      </c>
      <c r="U948" s="229"/>
      <c r="V948" s="229"/>
      <c r="W948" s="230">
        <f>IF(BetTable[Sport]="","",BetTable[Stake]+BetTable[S2]+BetTable[S3])</f>
        <v>47</v>
      </c>
      <c r="X948" s="227">
        <f>IF(BetTable[Odds]="","",(BetTable[WBA1-Commission])-BetTable[TS])</f>
        <v>24.722000000000008</v>
      </c>
      <c r="Y948" s="231">
        <f>IF(BetTable[Outcome]="","",BetTable[WBA1]+BetTable[WBA2]+BetTable[WBA3]-BetTable[TS])</f>
        <v>24.722000000000008</v>
      </c>
      <c r="Z948" s="227">
        <f>(((BetTable[Odds]-1)*BetTable[Stake])*(1-(BetTable[Comm %]))+BetTable[Stake])</f>
        <v>71.722000000000008</v>
      </c>
      <c r="AA948" s="227">
        <f>(((BetTable[O2]-1)*BetTable[S2])*(1-(BetTable[C% 2]))+BetTable[S2])</f>
        <v>0</v>
      </c>
      <c r="AB948" s="227">
        <f>(((BetTable[O3]-1)*BetTable[S3])*(1-(BetTable[C% 3]))+BetTable[S3])</f>
        <v>0</v>
      </c>
      <c r="AC948" s="228">
        <f>IFERROR(IF(BetTable[Sport]="","",BetTable[R1]/BetTable[TS]),"")</f>
        <v>0.52600000000000013</v>
      </c>
      <c r="AD948" s="228" t="str">
        <f>IF(BetTable[O2]="","",#REF!/BetTable[TS])</f>
        <v/>
      </c>
      <c r="AE948" s="228" t="str">
        <f>IFERROR(IF(BetTable[Sport]="","",#REF!/BetTable[TS]),"")</f>
        <v/>
      </c>
      <c r="AF948" s="227">
        <f>IF(BetTable[Outcome]="Win",BetTable[WBA1-Commission],IF(BetTable[Outcome]="Win Half Stake",(BetTable[Stake]/2)+BetTable[WBA1-Commission]/2,IF(BetTable[Outcome]="Lose Half Stake",BetTable[Stake]/2,IF(BetTable[Outcome]="Lose",0,IF(BetTable[Outcome]="Void",BetTable[Stake],)))))</f>
        <v>71.722000000000008</v>
      </c>
      <c r="AG948" s="227">
        <f>IF(BetTable[Outcome2]="Win",BetTable[WBA2-Commission],IF(BetTable[Outcome2]="Win Half Stake",(BetTable[S2]/2)+BetTable[WBA2-Commission]/2,IF(BetTable[Outcome2]="Lose Half Stake",BetTable[S2]/2,IF(BetTable[Outcome2]="Lose",0,IF(BetTable[Outcome2]="Void",BetTable[S2],)))))</f>
        <v>0</v>
      </c>
      <c r="AH948" s="227">
        <f>IF(BetTable[Outcome3]="Win",BetTable[WBA3-Commission],IF(BetTable[Outcome3]="Win Half Stake",(BetTable[S3]/2)+BetTable[WBA3-Commission]/2,IF(BetTable[Outcome3]="Lose Half Stake",BetTable[S3]/2,IF(BetTable[Outcome3]="Lose",0,IF(BetTable[Outcome3]="Void",BetTable[S3],)))))</f>
        <v>0</v>
      </c>
      <c r="AI948" s="231">
        <f>IF(BetTable[Outcome]="",AI947,BetTable[Result]+AI947)</f>
        <v>1324.0742499999999</v>
      </c>
      <c r="AJ948" s="223"/>
    </row>
    <row r="949" spans="1:36" x14ac:dyDescent="0.2">
      <c r="A949" s="222" t="s">
        <v>2375</v>
      </c>
      <c r="B949" s="223" t="s">
        <v>7</v>
      </c>
      <c r="C949" s="224" t="s">
        <v>216</v>
      </c>
      <c r="D949" s="224"/>
      <c r="E949" s="224"/>
      <c r="F949" s="225"/>
      <c r="G949" s="225"/>
      <c r="H949" s="225"/>
      <c r="I949" s="223" t="s">
        <v>2438</v>
      </c>
      <c r="J949" s="226">
        <v>1.909</v>
      </c>
      <c r="K949" s="226"/>
      <c r="L949" s="226"/>
      <c r="M949" s="227">
        <v>31</v>
      </c>
      <c r="N949" s="227"/>
      <c r="O949" s="227"/>
      <c r="P949" s="222" t="s">
        <v>2439</v>
      </c>
      <c r="Q949" s="222" t="s">
        <v>503</v>
      </c>
      <c r="R949" s="222" t="s">
        <v>2440</v>
      </c>
      <c r="S949" s="228">
        <v>3.2889123454208198E-2</v>
      </c>
      <c r="T949" s="229" t="s">
        <v>382</v>
      </c>
      <c r="U949" s="229"/>
      <c r="V949" s="229"/>
      <c r="W949" s="230">
        <f>IF(BetTable[Sport]="","",BetTable[Stake]+BetTable[S2]+BetTable[S3])</f>
        <v>31</v>
      </c>
      <c r="X949" s="227">
        <f>IF(BetTable[Odds]="","",(BetTable[WBA1-Commission])-BetTable[TS])</f>
        <v>28.179000000000002</v>
      </c>
      <c r="Y949" s="231">
        <f>IF(BetTable[Outcome]="","",BetTable[WBA1]+BetTable[WBA2]+BetTable[WBA3]-BetTable[TS])</f>
        <v>-31</v>
      </c>
      <c r="Z949" s="227">
        <f>(((BetTable[Odds]-1)*BetTable[Stake])*(1-(BetTable[Comm %]))+BetTable[Stake])</f>
        <v>59.179000000000002</v>
      </c>
      <c r="AA949" s="227">
        <f>(((BetTable[O2]-1)*BetTable[S2])*(1-(BetTable[C% 2]))+BetTable[S2])</f>
        <v>0</v>
      </c>
      <c r="AB949" s="227">
        <f>(((BetTable[O3]-1)*BetTable[S3])*(1-(BetTable[C% 3]))+BetTable[S3])</f>
        <v>0</v>
      </c>
      <c r="AC949" s="228">
        <f>IFERROR(IF(BetTable[Sport]="","",BetTable[R1]/BetTable[TS]),"")</f>
        <v>0.90900000000000003</v>
      </c>
      <c r="AD949" s="228" t="str">
        <f>IF(BetTable[O2]="","",#REF!/BetTable[TS])</f>
        <v/>
      </c>
      <c r="AE949" s="228" t="str">
        <f>IFERROR(IF(BetTable[Sport]="","",#REF!/BetTable[TS]),"")</f>
        <v/>
      </c>
      <c r="AF949" s="227">
        <f>IF(BetTable[Outcome]="Win",BetTable[WBA1-Commission],IF(BetTable[Outcome]="Win Half Stake",(BetTable[Stake]/2)+BetTable[WBA1-Commission]/2,IF(BetTable[Outcome]="Lose Half Stake",BetTable[Stake]/2,IF(BetTable[Outcome]="Lose",0,IF(BetTable[Outcome]="Void",BetTable[Stake],)))))</f>
        <v>0</v>
      </c>
      <c r="AG949" s="227">
        <f>IF(BetTable[Outcome2]="Win",BetTable[WBA2-Commission],IF(BetTable[Outcome2]="Win Half Stake",(BetTable[S2]/2)+BetTable[WBA2-Commission]/2,IF(BetTable[Outcome2]="Lose Half Stake",BetTable[S2]/2,IF(BetTable[Outcome2]="Lose",0,IF(BetTable[Outcome2]="Void",BetTable[S2],)))))</f>
        <v>0</v>
      </c>
      <c r="AH949" s="227">
        <f>IF(BetTable[Outcome3]="Win",BetTable[WBA3-Commission],IF(BetTable[Outcome3]="Win Half Stake",(BetTable[S3]/2)+BetTable[WBA3-Commission]/2,IF(BetTable[Outcome3]="Lose Half Stake",BetTable[S3]/2,IF(BetTable[Outcome3]="Lose",0,IF(BetTable[Outcome3]="Void",BetTable[S3],)))))</f>
        <v>0</v>
      </c>
      <c r="AI949" s="231">
        <f>IF(BetTable[Outcome]="",AI948,BetTable[Result]+AI948)</f>
        <v>1293.0742499999999</v>
      </c>
      <c r="AJ949" s="223"/>
    </row>
    <row r="950" spans="1:36" x14ac:dyDescent="0.2">
      <c r="A950" s="222" t="s">
        <v>2375</v>
      </c>
      <c r="B950" s="223" t="s">
        <v>200</v>
      </c>
      <c r="C950" s="224" t="s">
        <v>1714</v>
      </c>
      <c r="D950" s="224"/>
      <c r="E950" s="224"/>
      <c r="F950" s="225"/>
      <c r="G950" s="225"/>
      <c r="H950" s="225"/>
      <c r="I950" s="223" t="s">
        <v>2441</v>
      </c>
      <c r="J950" s="226">
        <v>1.79</v>
      </c>
      <c r="K950" s="226"/>
      <c r="L950" s="226"/>
      <c r="M950" s="227">
        <v>59</v>
      </c>
      <c r="N950" s="227"/>
      <c r="O950" s="227"/>
      <c r="P950" s="222" t="s">
        <v>385</v>
      </c>
      <c r="Q950" s="222" t="s">
        <v>1842</v>
      </c>
      <c r="R950" s="222" t="s">
        <v>2442</v>
      </c>
      <c r="S950" s="228">
        <v>3.0273677949268201E-2</v>
      </c>
      <c r="T950" s="229" t="s">
        <v>383</v>
      </c>
      <c r="U950" s="229"/>
      <c r="V950" s="229"/>
      <c r="W950" s="230">
        <f>IF(BetTable[Sport]="","",BetTable[Stake]+BetTable[S2]+BetTable[S3])</f>
        <v>59</v>
      </c>
      <c r="X950" s="227">
        <f>IF(BetTable[Odds]="","",(BetTable[WBA1-Commission])-BetTable[TS])</f>
        <v>46.61</v>
      </c>
      <c r="Y950" s="231">
        <f>IF(BetTable[Outcome]="","",BetTable[WBA1]+BetTable[WBA2]+BetTable[WBA3]-BetTable[TS])</f>
        <v>0</v>
      </c>
      <c r="Z950" s="227">
        <f>(((BetTable[Odds]-1)*BetTable[Stake])*(1-(BetTable[Comm %]))+BetTable[Stake])</f>
        <v>105.61</v>
      </c>
      <c r="AA950" s="227">
        <f>(((BetTable[O2]-1)*BetTable[S2])*(1-(BetTable[C% 2]))+BetTable[S2])</f>
        <v>0</v>
      </c>
      <c r="AB950" s="227">
        <f>(((BetTable[O3]-1)*BetTable[S3])*(1-(BetTable[C% 3]))+BetTable[S3])</f>
        <v>0</v>
      </c>
      <c r="AC950" s="228">
        <f>IFERROR(IF(BetTable[Sport]="","",BetTable[R1]/BetTable[TS]),"")</f>
        <v>0.79</v>
      </c>
      <c r="AD950" s="228" t="str">
        <f>IF(BetTable[O2]="","",#REF!/BetTable[TS])</f>
        <v/>
      </c>
      <c r="AE950" s="228" t="str">
        <f>IFERROR(IF(BetTable[Sport]="","",#REF!/BetTable[TS]),"")</f>
        <v/>
      </c>
      <c r="AF950" s="227">
        <f>IF(BetTable[Outcome]="Win",BetTable[WBA1-Commission],IF(BetTable[Outcome]="Win Half Stake",(BetTable[Stake]/2)+BetTable[WBA1-Commission]/2,IF(BetTable[Outcome]="Lose Half Stake",BetTable[Stake]/2,IF(BetTable[Outcome]="Lose",0,IF(BetTable[Outcome]="Void",BetTable[Stake],)))))</f>
        <v>59</v>
      </c>
      <c r="AG950" s="227">
        <f>IF(BetTable[Outcome2]="Win",BetTable[WBA2-Commission],IF(BetTable[Outcome2]="Win Half Stake",(BetTable[S2]/2)+BetTable[WBA2-Commission]/2,IF(BetTable[Outcome2]="Lose Half Stake",BetTable[S2]/2,IF(BetTable[Outcome2]="Lose",0,IF(BetTable[Outcome2]="Void",BetTable[S2],)))))</f>
        <v>0</v>
      </c>
      <c r="AH950" s="227">
        <f>IF(BetTable[Outcome3]="Win",BetTable[WBA3-Commission],IF(BetTable[Outcome3]="Win Half Stake",(BetTable[S3]/2)+BetTable[WBA3-Commission]/2,IF(BetTable[Outcome3]="Lose Half Stake",BetTable[S3]/2,IF(BetTable[Outcome3]="Lose",0,IF(BetTable[Outcome3]="Void",BetTable[S3],)))))</f>
        <v>0</v>
      </c>
      <c r="AI950" s="231">
        <f>IF(BetTable[Outcome]="",AI949,BetTable[Result]+AI949)</f>
        <v>1293.0742499999999</v>
      </c>
      <c r="AJ950" s="223"/>
    </row>
    <row r="951" spans="1:36" x14ac:dyDescent="0.2">
      <c r="A951" s="222" t="s">
        <v>2375</v>
      </c>
      <c r="B951" s="223" t="s">
        <v>200</v>
      </c>
      <c r="C951" s="224" t="s">
        <v>1714</v>
      </c>
      <c r="D951" s="224"/>
      <c r="E951" s="224"/>
      <c r="F951" s="225"/>
      <c r="G951" s="225"/>
      <c r="H951" s="225"/>
      <c r="I951" s="223" t="s">
        <v>2443</v>
      </c>
      <c r="J951" s="226">
        <v>2.0419999999999998</v>
      </c>
      <c r="K951" s="226"/>
      <c r="L951" s="226"/>
      <c r="M951" s="227">
        <v>55</v>
      </c>
      <c r="N951" s="227"/>
      <c r="O951" s="227"/>
      <c r="P951" s="222" t="s">
        <v>1235</v>
      </c>
      <c r="Q951" s="222" t="s">
        <v>439</v>
      </c>
      <c r="R951" s="222" t="s">
        <v>2444</v>
      </c>
      <c r="S951" s="228">
        <v>3.72881444549715E-2</v>
      </c>
      <c r="T951" s="229" t="s">
        <v>382</v>
      </c>
      <c r="U951" s="229"/>
      <c r="V951" s="229"/>
      <c r="W951" s="230">
        <f>IF(BetTable[Sport]="","",BetTable[Stake]+BetTable[S2]+BetTable[S3])</f>
        <v>55</v>
      </c>
      <c r="X951" s="227">
        <f>IF(BetTable[Odds]="","",(BetTable[WBA1-Commission])-BetTable[TS])</f>
        <v>57.309999999999988</v>
      </c>
      <c r="Y951" s="231">
        <f>IF(BetTable[Outcome]="","",BetTable[WBA1]+BetTable[WBA2]+BetTable[WBA3]-BetTable[TS])</f>
        <v>-55</v>
      </c>
      <c r="Z951" s="227">
        <f>(((BetTable[Odds]-1)*BetTable[Stake])*(1-(BetTable[Comm %]))+BetTable[Stake])</f>
        <v>112.30999999999999</v>
      </c>
      <c r="AA951" s="227">
        <f>(((BetTable[O2]-1)*BetTable[S2])*(1-(BetTable[C% 2]))+BetTable[S2])</f>
        <v>0</v>
      </c>
      <c r="AB951" s="227">
        <f>(((BetTable[O3]-1)*BetTable[S3])*(1-(BetTable[C% 3]))+BetTable[S3])</f>
        <v>0</v>
      </c>
      <c r="AC951" s="228">
        <f>IFERROR(IF(BetTable[Sport]="","",BetTable[R1]/BetTable[TS]),"")</f>
        <v>1.0419999999999998</v>
      </c>
      <c r="AD951" s="228" t="str">
        <f>IF(BetTable[O2]="","",#REF!/BetTable[TS])</f>
        <v/>
      </c>
      <c r="AE951" s="228" t="str">
        <f>IFERROR(IF(BetTable[Sport]="","",#REF!/BetTable[TS]),"")</f>
        <v/>
      </c>
      <c r="AF951" s="227">
        <f>IF(BetTable[Outcome]="Win",BetTable[WBA1-Commission],IF(BetTable[Outcome]="Win Half Stake",(BetTable[Stake]/2)+BetTable[WBA1-Commission]/2,IF(BetTable[Outcome]="Lose Half Stake",BetTable[Stake]/2,IF(BetTable[Outcome]="Lose",0,IF(BetTable[Outcome]="Void",BetTable[Stake],)))))</f>
        <v>0</v>
      </c>
      <c r="AG951" s="227">
        <f>IF(BetTable[Outcome2]="Win",BetTable[WBA2-Commission],IF(BetTable[Outcome2]="Win Half Stake",(BetTable[S2]/2)+BetTable[WBA2-Commission]/2,IF(BetTable[Outcome2]="Lose Half Stake",BetTable[S2]/2,IF(BetTable[Outcome2]="Lose",0,IF(BetTable[Outcome2]="Void",BetTable[S2],)))))</f>
        <v>0</v>
      </c>
      <c r="AH951" s="227">
        <f>IF(BetTable[Outcome3]="Win",BetTable[WBA3-Commission],IF(BetTable[Outcome3]="Win Half Stake",(BetTable[S3]/2)+BetTable[WBA3-Commission]/2,IF(BetTable[Outcome3]="Lose Half Stake",BetTable[S3]/2,IF(BetTable[Outcome3]="Lose",0,IF(BetTable[Outcome3]="Void",BetTable[S3],)))))</f>
        <v>0</v>
      </c>
      <c r="AI951" s="231">
        <f>IF(BetTable[Outcome]="",AI950,BetTable[Result]+AI950)</f>
        <v>1238.0742499999999</v>
      </c>
      <c r="AJ951" s="223"/>
    </row>
    <row r="952" spans="1:36" x14ac:dyDescent="0.2">
      <c r="A952" s="222" t="s">
        <v>2375</v>
      </c>
      <c r="B952" s="223" t="s">
        <v>7</v>
      </c>
      <c r="C952" s="224" t="s">
        <v>1714</v>
      </c>
      <c r="D952" s="224"/>
      <c r="E952" s="224"/>
      <c r="F952" s="225"/>
      <c r="G952" s="225"/>
      <c r="H952" s="225"/>
      <c r="I952" s="223" t="s">
        <v>2445</v>
      </c>
      <c r="J952" s="226">
        <v>1.77</v>
      </c>
      <c r="K952" s="226"/>
      <c r="L952" s="226"/>
      <c r="M952" s="227">
        <v>38</v>
      </c>
      <c r="N952" s="227"/>
      <c r="O952" s="227"/>
      <c r="P952" s="222" t="s">
        <v>2446</v>
      </c>
      <c r="Q952" s="222" t="s">
        <v>632</v>
      </c>
      <c r="R952" s="222" t="s">
        <v>2447</v>
      </c>
      <c r="S952" s="228">
        <v>1.9137951455038701E-2</v>
      </c>
      <c r="T952" s="229" t="s">
        <v>372</v>
      </c>
      <c r="U952" s="229"/>
      <c r="V952" s="229"/>
      <c r="W952" s="230">
        <f>IF(BetTable[Sport]="","",BetTable[Stake]+BetTable[S2]+BetTable[S3])</f>
        <v>38</v>
      </c>
      <c r="X952" s="227">
        <f>IF(BetTable[Odds]="","",(BetTable[WBA1-Commission])-BetTable[TS])</f>
        <v>29.260000000000005</v>
      </c>
      <c r="Y952" s="231">
        <f>IF(BetTable[Outcome]="","",BetTable[WBA1]+BetTable[WBA2]+BetTable[WBA3]-BetTable[TS])</f>
        <v>29.260000000000005</v>
      </c>
      <c r="Z952" s="227">
        <f>(((BetTable[Odds]-1)*BetTable[Stake])*(1-(BetTable[Comm %]))+BetTable[Stake])</f>
        <v>67.260000000000005</v>
      </c>
      <c r="AA952" s="227">
        <f>(((BetTable[O2]-1)*BetTable[S2])*(1-(BetTable[C% 2]))+BetTable[S2])</f>
        <v>0</v>
      </c>
      <c r="AB952" s="227">
        <f>(((BetTable[O3]-1)*BetTable[S3])*(1-(BetTable[C% 3]))+BetTable[S3])</f>
        <v>0</v>
      </c>
      <c r="AC952" s="228">
        <f>IFERROR(IF(BetTable[Sport]="","",BetTable[R1]/BetTable[TS]),"")</f>
        <v>0.77000000000000013</v>
      </c>
      <c r="AD952" s="228" t="str">
        <f>IF(BetTable[O2]="","",#REF!/BetTable[TS])</f>
        <v/>
      </c>
      <c r="AE952" s="228" t="str">
        <f>IFERROR(IF(BetTable[Sport]="","",#REF!/BetTable[TS]),"")</f>
        <v/>
      </c>
      <c r="AF952" s="227">
        <f>IF(BetTable[Outcome]="Win",BetTable[WBA1-Commission],IF(BetTable[Outcome]="Win Half Stake",(BetTable[Stake]/2)+BetTable[WBA1-Commission]/2,IF(BetTable[Outcome]="Lose Half Stake",BetTable[Stake]/2,IF(BetTable[Outcome]="Lose",0,IF(BetTable[Outcome]="Void",BetTable[Stake],)))))</f>
        <v>67.260000000000005</v>
      </c>
      <c r="AG952" s="227">
        <f>IF(BetTable[Outcome2]="Win",BetTable[WBA2-Commission],IF(BetTable[Outcome2]="Win Half Stake",(BetTable[S2]/2)+BetTable[WBA2-Commission]/2,IF(BetTable[Outcome2]="Lose Half Stake",BetTable[S2]/2,IF(BetTable[Outcome2]="Lose",0,IF(BetTable[Outcome2]="Void",BetTable[S2],)))))</f>
        <v>0</v>
      </c>
      <c r="AH952" s="227">
        <f>IF(BetTable[Outcome3]="Win",BetTable[WBA3-Commission],IF(BetTable[Outcome3]="Win Half Stake",(BetTable[S3]/2)+BetTable[WBA3-Commission]/2,IF(BetTable[Outcome3]="Lose Half Stake",BetTable[S3]/2,IF(BetTable[Outcome3]="Lose",0,IF(BetTable[Outcome3]="Void",BetTable[S3],)))))</f>
        <v>0</v>
      </c>
      <c r="AI952" s="231">
        <f>IF(BetTable[Outcome]="",AI951,BetTable[Result]+AI951)</f>
        <v>1267.3342499999999</v>
      </c>
      <c r="AJ952" s="223"/>
    </row>
    <row r="953" spans="1:36" x14ac:dyDescent="0.2">
      <c r="A953" s="222" t="s">
        <v>2375</v>
      </c>
      <c r="B953" s="223" t="s">
        <v>7</v>
      </c>
      <c r="C953" s="224" t="s">
        <v>1714</v>
      </c>
      <c r="D953" s="224"/>
      <c r="E953" s="224"/>
      <c r="F953" s="225"/>
      <c r="G953" s="225"/>
      <c r="H953" s="225"/>
      <c r="I953" s="223" t="s">
        <v>2448</v>
      </c>
      <c r="J953" s="226">
        <v>1.87</v>
      </c>
      <c r="K953" s="226"/>
      <c r="L953" s="226"/>
      <c r="M953" s="227">
        <v>55</v>
      </c>
      <c r="N953" s="227"/>
      <c r="O953" s="227"/>
      <c r="P953" s="222" t="s">
        <v>2449</v>
      </c>
      <c r="Q953" s="222" t="s">
        <v>693</v>
      </c>
      <c r="R953" s="222" t="s">
        <v>2450</v>
      </c>
      <c r="S953" s="228">
        <v>3.1090152290470199E-2</v>
      </c>
      <c r="T953" s="229" t="s">
        <v>372</v>
      </c>
      <c r="U953" s="229"/>
      <c r="V953" s="229"/>
      <c r="W953" s="230">
        <f>IF(BetTable[Sport]="","",BetTable[Stake]+BetTable[S2]+BetTable[S3])</f>
        <v>55</v>
      </c>
      <c r="X953" s="227">
        <f>IF(BetTable[Odds]="","",(BetTable[WBA1-Commission])-BetTable[TS])</f>
        <v>47.850000000000009</v>
      </c>
      <c r="Y953" s="231">
        <f>IF(BetTable[Outcome]="","",BetTable[WBA1]+BetTable[WBA2]+BetTable[WBA3]-BetTable[TS])</f>
        <v>47.850000000000009</v>
      </c>
      <c r="Z953" s="227">
        <f>(((BetTable[Odds]-1)*BetTable[Stake])*(1-(BetTable[Comm %]))+BetTable[Stake])</f>
        <v>102.85000000000001</v>
      </c>
      <c r="AA953" s="227">
        <f>(((BetTable[O2]-1)*BetTable[S2])*(1-(BetTable[C% 2]))+BetTable[S2])</f>
        <v>0</v>
      </c>
      <c r="AB953" s="227">
        <f>(((BetTable[O3]-1)*BetTable[S3])*(1-(BetTable[C% 3]))+BetTable[S3])</f>
        <v>0</v>
      </c>
      <c r="AC953" s="228">
        <f>IFERROR(IF(BetTable[Sport]="","",BetTable[R1]/BetTable[TS]),"")</f>
        <v>0.87000000000000011</v>
      </c>
      <c r="AD953" s="228" t="str">
        <f>IF(BetTable[O2]="","",#REF!/BetTable[TS])</f>
        <v/>
      </c>
      <c r="AE953" s="228" t="str">
        <f>IFERROR(IF(BetTable[Sport]="","",#REF!/BetTable[TS]),"")</f>
        <v/>
      </c>
      <c r="AF953" s="227">
        <f>IF(BetTable[Outcome]="Win",BetTable[WBA1-Commission],IF(BetTable[Outcome]="Win Half Stake",(BetTable[Stake]/2)+BetTable[WBA1-Commission]/2,IF(BetTable[Outcome]="Lose Half Stake",BetTable[Stake]/2,IF(BetTable[Outcome]="Lose",0,IF(BetTable[Outcome]="Void",BetTable[Stake],)))))</f>
        <v>102.85000000000001</v>
      </c>
      <c r="AG953" s="227">
        <f>IF(BetTable[Outcome2]="Win",BetTable[WBA2-Commission],IF(BetTable[Outcome2]="Win Half Stake",(BetTable[S2]/2)+BetTable[WBA2-Commission]/2,IF(BetTable[Outcome2]="Lose Half Stake",BetTable[S2]/2,IF(BetTable[Outcome2]="Lose",0,IF(BetTable[Outcome2]="Void",BetTable[S2],)))))</f>
        <v>0</v>
      </c>
      <c r="AH953" s="227">
        <f>IF(BetTable[Outcome3]="Win",BetTable[WBA3-Commission],IF(BetTable[Outcome3]="Win Half Stake",(BetTable[S3]/2)+BetTable[WBA3-Commission]/2,IF(BetTable[Outcome3]="Lose Half Stake",BetTable[S3]/2,IF(BetTable[Outcome3]="Lose",0,IF(BetTable[Outcome3]="Void",BetTable[S3],)))))</f>
        <v>0</v>
      </c>
      <c r="AI953" s="231">
        <f>IF(BetTable[Outcome]="",AI952,BetTable[Result]+AI952)</f>
        <v>1315.1842499999998</v>
      </c>
      <c r="AJ953" s="223"/>
    </row>
    <row r="954" spans="1:36" x14ac:dyDescent="0.2">
      <c r="A954" s="222" t="s">
        <v>2375</v>
      </c>
      <c r="B954" s="223" t="s">
        <v>7</v>
      </c>
      <c r="C954" s="224" t="s">
        <v>91</v>
      </c>
      <c r="D954" s="224"/>
      <c r="E954" s="224"/>
      <c r="F954" s="225"/>
      <c r="G954" s="225"/>
      <c r="H954" s="225"/>
      <c r="I954" s="223" t="s">
        <v>2451</v>
      </c>
      <c r="J954" s="226">
        <v>1.75</v>
      </c>
      <c r="K954" s="226"/>
      <c r="L954" s="226"/>
      <c r="M954" s="227">
        <v>45</v>
      </c>
      <c r="N954" s="227"/>
      <c r="O954" s="227"/>
      <c r="P954" s="222" t="s">
        <v>1185</v>
      </c>
      <c r="Q954" s="222" t="s">
        <v>436</v>
      </c>
      <c r="R954" s="222" t="s">
        <v>2452</v>
      </c>
      <c r="S954" s="228">
        <v>2.18877118115345E-2</v>
      </c>
      <c r="T954" s="229" t="s">
        <v>382</v>
      </c>
      <c r="U954" s="229"/>
      <c r="V954" s="229"/>
      <c r="W954" s="230">
        <f>IF(BetTable[Sport]="","",BetTable[Stake]+BetTable[S2]+BetTable[S3])</f>
        <v>45</v>
      </c>
      <c r="X954" s="227">
        <f>IF(BetTable[Odds]="","",(BetTable[WBA1-Commission])-BetTable[TS])</f>
        <v>33.75</v>
      </c>
      <c r="Y954" s="231">
        <f>IF(BetTable[Outcome]="","",BetTable[WBA1]+BetTable[WBA2]+BetTable[WBA3]-BetTable[TS])</f>
        <v>-45</v>
      </c>
      <c r="Z954" s="227">
        <f>(((BetTable[Odds]-1)*BetTable[Stake])*(1-(BetTable[Comm %]))+BetTable[Stake])</f>
        <v>78.75</v>
      </c>
      <c r="AA954" s="227">
        <f>(((BetTable[O2]-1)*BetTable[S2])*(1-(BetTable[C% 2]))+BetTable[S2])</f>
        <v>0</v>
      </c>
      <c r="AB954" s="227">
        <f>(((BetTable[O3]-1)*BetTable[S3])*(1-(BetTable[C% 3]))+BetTable[S3])</f>
        <v>0</v>
      </c>
      <c r="AC954" s="228">
        <f>IFERROR(IF(BetTable[Sport]="","",BetTable[R1]/BetTable[TS]),"")</f>
        <v>0.75</v>
      </c>
      <c r="AD954" s="228" t="str">
        <f>IF(BetTable[O2]="","",#REF!/BetTable[TS])</f>
        <v/>
      </c>
      <c r="AE954" s="228" t="str">
        <f>IFERROR(IF(BetTable[Sport]="","",#REF!/BetTable[TS]),"")</f>
        <v/>
      </c>
      <c r="AF954" s="227">
        <f>IF(BetTable[Outcome]="Win",BetTable[WBA1-Commission],IF(BetTable[Outcome]="Win Half Stake",(BetTable[Stake]/2)+BetTable[WBA1-Commission]/2,IF(BetTable[Outcome]="Lose Half Stake",BetTable[Stake]/2,IF(BetTable[Outcome]="Lose",0,IF(BetTable[Outcome]="Void",BetTable[Stake],)))))</f>
        <v>0</v>
      </c>
      <c r="AG954" s="227">
        <f>IF(BetTable[Outcome2]="Win",BetTable[WBA2-Commission],IF(BetTable[Outcome2]="Win Half Stake",(BetTable[S2]/2)+BetTable[WBA2-Commission]/2,IF(BetTable[Outcome2]="Lose Half Stake",BetTable[S2]/2,IF(BetTable[Outcome2]="Lose",0,IF(BetTable[Outcome2]="Void",BetTable[S2],)))))</f>
        <v>0</v>
      </c>
      <c r="AH954" s="227">
        <f>IF(BetTable[Outcome3]="Win",BetTable[WBA3-Commission],IF(BetTable[Outcome3]="Win Half Stake",(BetTable[S3]/2)+BetTable[WBA3-Commission]/2,IF(BetTable[Outcome3]="Lose Half Stake",BetTable[S3]/2,IF(BetTable[Outcome3]="Lose",0,IF(BetTable[Outcome3]="Void",BetTable[S3],)))))</f>
        <v>0</v>
      </c>
      <c r="AI954" s="231">
        <f>IF(BetTable[Outcome]="",AI953,BetTable[Result]+AI953)</f>
        <v>1270.1842499999998</v>
      </c>
      <c r="AJ954" s="223"/>
    </row>
    <row r="955" spans="1:36" x14ac:dyDescent="0.2">
      <c r="A955" s="222" t="s">
        <v>2375</v>
      </c>
      <c r="B955" s="223" t="s">
        <v>200</v>
      </c>
      <c r="C955" s="224" t="s">
        <v>1714</v>
      </c>
      <c r="D955" s="224"/>
      <c r="E955" s="224"/>
      <c r="F955" s="225"/>
      <c r="G955" s="225"/>
      <c r="H955" s="225"/>
      <c r="I955" s="223" t="s">
        <v>2421</v>
      </c>
      <c r="J955" s="226">
        <v>1.78</v>
      </c>
      <c r="K955" s="226"/>
      <c r="L955" s="226"/>
      <c r="M955" s="227">
        <v>51</v>
      </c>
      <c r="N955" s="227"/>
      <c r="O955" s="227"/>
      <c r="P955" s="222" t="s">
        <v>635</v>
      </c>
      <c r="Q955" s="222" t="s">
        <v>632</v>
      </c>
      <c r="R955" s="222" t="s">
        <v>2453</v>
      </c>
      <c r="S955" s="228">
        <v>2.5949615339313701E-2</v>
      </c>
      <c r="T955" s="229" t="s">
        <v>372</v>
      </c>
      <c r="U955" s="229"/>
      <c r="V955" s="229"/>
      <c r="W955" s="230">
        <f>IF(BetTable[Sport]="","",BetTable[Stake]+BetTable[S2]+BetTable[S3])</f>
        <v>51</v>
      </c>
      <c r="X955" s="227">
        <f>IF(BetTable[Odds]="","",(BetTable[WBA1-Commission])-BetTable[TS])</f>
        <v>39.78</v>
      </c>
      <c r="Y955" s="231">
        <f>IF(BetTable[Outcome]="","",BetTable[WBA1]+BetTable[WBA2]+BetTable[WBA3]-BetTable[TS])</f>
        <v>39.78</v>
      </c>
      <c r="Z955" s="227">
        <f>(((BetTable[Odds]-1)*BetTable[Stake])*(1-(BetTable[Comm %]))+BetTable[Stake])</f>
        <v>90.78</v>
      </c>
      <c r="AA955" s="227">
        <f>(((BetTable[O2]-1)*BetTable[S2])*(1-(BetTable[C% 2]))+BetTable[S2])</f>
        <v>0</v>
      </c>
      <c r="AB955" s="227">
        <f>(((BetTable[O3]-1)*BetTable[S3])*(1-(BetTable[C% 3]))+BetTable[S3])</f>
        <v>0</v>
      </c>
      <c r="AC955" s="228">
        <f>IFERROR(IF(BetTable[Sport]="","",BetTable[R1]/BetTable[TS]),"")</f>
        <v>0.78</v>
      </c>
      <c r="AD955" s="228" t="str">
        <f>IF(BetTable[O2]="","",#REF!/BetTable[TS])</f>
        <v/>
      </c>
      <c r="AE955" s="228" t="str">
        <f>IFERROR(IF(BetTable[Sport]="","",#REF!/BetTable[TS]),"")</f>
        <v/>
      </c>
      <c r="AF955" s="227">
        <f>IF(BetTable[Outcome]="Win",BetTable[WBA1-Commission],IF(BetTable[Outcome]="Win Half Stake",(BetTable[Stake]/2)+BetTable[WBA1-Commission]/2,IF(BetTable[Outcome]="Lose Half Stake",BetTable[Stake]/2,IF(BetTable[Outcome]="Lose",0,IF(BetTable[Outcome]="Void",BetTable[Stake],)))))</f>
        <v>90.78</v>
      </c>
      <c r="AG955" s="227">
        <f>IF(BetTable[Outcome2]="Win",BetTable[WBA2-Commission],IF(BetTable[Outcome2]="Win Half Stake",(BetTable[S2]/2)+BetTable[WBA2-Commission]/2,IF(BetTable[Outcome2]="Lose Half Stake",BetTable[S2]/2,IF(BetTable[Outcome2]="Lose",0,IF(BetTable[Outcome2]="Void",BetTable[S2],)))))</f>
        <v>0</v>
      </c>
      <c r="AH955" s="227">
        <f>IF(BetTable[Outcome3]="Win",BetTable[WBA3-Commission],IF(BetTable[Outcome3]="Win Half Stake",(BetTable[S3]/2)+BetTable[WBA3-Commission]/2,IF(BetTable[Outcome3]="Lose Half Stake",BetTable[S3]/2,IF(BetTable[Outcome3]="Lose",0,IF(BetTable[Outcome3]="Void",BetTable[S3],)))))</f>
        <v>0</v>
      </c>
      <c r="AI955" s="231">
        <f>IF(BetTable[Outcome]="",AI954,BetTable[Result]+AI954)</f>
        <v>1309.9642499999998</v>
      </c>
      <c r="AJ955" s="223"/>
    </row>
    <row r="956" spans="1:36" x14ac:dyDescent="0.2">
      <c r="A956" s="222" t="s">
        <v>2375</v>
      </c>
      <c r="B956" s="223" t="s">
        <v>200</v>
      </c>
      <c r="C956" s="224" t="s">
        <v>1714</v>
      </c>
      <c r="D956" s="224"/>
      <c r="E956" s="224"/>
      <c r="F956" s="225"/>
      <c r="G956" s="225"/>
      <c r="H956" s="225"/>
      <c r="I956" s="223" t="s">
        <v>2454</v>
      </c>
      <c r="J956" s="226">
        <v>1.74</v>
      </c>
      <c r="K956" s="226"/>
      <c r="L956" s="226"/>
      <c r="M956" s="227">
        <v>41</v>
      </c>
      <c r="N956" s="227"/>
      <c r="O956" s="227"/>
      <c r="P956" s="222" t="s">
        <v>385</v>
      </c>
      <c r="Q956" s="222" t="s">
        <v>503</v>
      </c>
      <c r="R956" s="222" t="s">
        <v>2455</v>
      </c>
      <c r="S956" s="228">
        <v>1.9763404085916401E-2</v>
      </c>
      <c r="T956" s="229" t="s">
        <v>382</v>
      </c>
      <c r="U956" s="229"/>
      <c r="V956" s="229"/>
      <c r="W956" s="230">
        <f>IF(BetTable[Sport]="","",BetTable[Stake]+BetTable[S2]+BetTable[S3])</f>
        <v>41</v>
      </c>
      <c r="X956" s="227">
        <f>IF(BetTable[Odds]="","",(BetTable[WBA1-Commission])-BetTable[TS])</f>
        <v>30.340000000000003</v>
      </c>
      <c r="Y956" s="231">
        <f>IF(BetTable[Outcome]="","",BetTable[WBA1]+BetTable[WBA2]+BetTable[WBA3]-BetTable[TS])</f>
        <v>-41</v>
      </c>
      <c r="Z956" s="227">
        <f>(((BetTable[Odds]-1)*BetTable[Stake])*(1-(BetTable[Comm %]))+BetTable[Stake])</f>
        <v>71.34</v>
      </c>
      <c r="AA956" s="227">
        <f>(((BetTable[O2]-1)*BetTable[S2])*(1-(BetTable[C% 2]))+BetTable[S2])</f>
        <v>0</v>
      </c>
      <c r="AB956" s="227">
        <f>(((BetTable[O3]-1)*BetTable[S3])*(1-(BetTable[C% 3]))+BetTable[S3])</f>
        <v>0</v>
      </c>
      <c r="AC956" s="228">
        <f>IFERROR(IF(BetTable[Sport]="","",BetTable[R1]/BetTable[TS]),"")</f>
        <v>0.7400000000000001</v>
      </c>
      <c r="AD956" s="228" t="str">
        <f>IF(BetTable[O2]="","",#REF!/BetTable[TS])</f>
        <v/>
      </c>
      <c r="AE956" s="228" t="str">
        <f>IFERROR(IF(BetTable[Sport]="","",#REF!/BetTable[TS]),"")</f>
        <v/>
      </c>
      <c r="AF956" s="227">
        <f>IF(BetTable[Outcome]="Win",BetTable[WBA1-Commission],IF(BetTable[Outcome]="Win Half Stake",(BetTable[Stake]/2)+BetTable[WBA1-Commission]/2,IF(BetTable[Outcome]="Lose Half Stake",BetTable[Stake]/2,IF(BetTable[Outcome]="Lose",0,IF(BetTable[Outcome]="Void",BetTable[Stake],)))))</f>
        <v>0</v>
      </c>
      <c r="AG956" s="227">
        <f>IF(BetTable[Outcome2]="Win",BetTable[WBA2-Commission],IF(BetTable[Outcome2]="Win Half Stake",(BetTable[S2]/2)+BetTable[WBA2-Commission]/2,IF(BetTable[Outcome2]="Lose Half Stake",BetTable[S2]/2,IF(BetTable[Outcome2]="Lose",0,IF(BetTable[Outcome2]="Void",BetTable[S2],)))))</f>
        <v>0</v>
      </c>
      <c r="AH956" s="227">
        <f>IF(BetTable[Outcome3]="Win",BetTable[WBA3-Commission],IF(BetTable[Outcome3]="Win Half Stake",(BetTable[S3]/2)+BetTable[WBA3-Commission]/2,IF(BetTable[Outcome3]="Lose Half Stake",BetTable[S3]/2,IF(BetTable[Outcome3]="Lose",0,IF(BetTable[Outcome3]="Void",BetTable[S3],)))))</f>
        <v>0</v>
      </c>
      <c r="AI956" s="231">
        <f>IF(BetTable[Outcome]="",AI955,BetTable[Result]+AI955)</f>
        <v>1268.9642499999998</v>
      </c>
      <c r="AJ956" s="223"/>
    </row>
    <row r="957" spans="1:36" x14ac:dyDescent="0.2">
      <c r="A957" s="222" t="s">
        <v>2375</v>
      </c>
      <c r="B957" s="223" t="s">
        <v>200</v>
      </c>
      <c r="C957" s="224" t="s">
        <v>1714</v>
      </c>
      <c r="D957" s="224"/>
      <c r="E957" s="224"/>
      <c r="F957" s="225"/>
      <c r="G957" s="225"/>
      <c r="H957" s="225"/>
      <c r="I957" s="223" t="s">
        <v>2456</v>
      </c>
      <c r="J957" s="226">
        <v>3</v>
      </c>
      <c r="K957" s="226"/>
      <c r="L957" s="226"/>
      <c r="M957" s="227">
        <v>36</v>
      </c>
      <c r="N957" s="227"/>
      <c r="O957" s="227"/>
      <c r="P957" s="222" t="s">
        <v>494</v>
      </c>
      <c r="Q957" s="222" t="s">
        <v>495</v>
      </c>
      <c r="R957" s="222" t="s">
        <v>2457</v>
      </c>
      <c r="S957" s="228">
        <v>4.6509459710958101E-2</v>
      </c>
      <c r="T957" s="229" t="s">
        <v>382</v>
      </c>
      <c r="U957" s="229"/>
      <c r="V957" s="229"/>
      <c r="W957" s="230">
        <f>IF(BetTable[Sport]="","",BetTable[Stake]+BetTable[S2]+BetTable[S3])</f>
        <v>36</v>
      </c>
      <c r="X957" s="227">
        <f>IF(BetTable[Odds]="","",(BetTable[WBA1-Commission])-BetTable[TS])</f>
        <v>72</v>
      </c>
      <c r="Y957" s="231">
        <f>IF(BetTable[Outcome]="","",BetTable[WBA1]+BetTable[WBA2]+BetTable[WBA3]-BetTable[TS])</f>
        <v>-36</v>
      </c>
      <c r="Z957" s="227">
        <f>(((BetTable[Odds]-1)*BetTable[Stake])*(1-(BetTable[Comm %]))+BetTable[Stake])</f>
        <v>108</v>
      </c>
      <c r="AA957" s="227">
        <f>(((BetTable[O2]-1)*BetTable[S2])*(1-(BetTable[C% 2]))+BetTable[S2])</f>
        <v>0</v>
      </c>
      <c r="AB957" s="227">
        <f>(((BetTable[O3]-1)*BetTable[S3])*(1-(BetTable[C% 3]))+BetTable[S3])</f>
        <v>0</v>
      </c>
      <c r="AC957" s="228">
        <f>IFERROR(IF(BetTable[Sport]="","",BetTable[R1]/BetTable[TS]),"")</f>
        <v>2</v>
      </c>
      <c r="AD957" s="228" t="str">
        <f>IF(BetTable[O2]="","",#REF!/BetTable[TS])</f>
        <v/>
      </c>
      <c r="AE957" s="228" t="str">
        <f>IFERROR(IF(BetTable[Sport]="","",#REF!/BetTable[TS]),"")</f>
        <v/>
      </c>
      <c r="AF957" s="227">
        <f>IF(BetTable[Outcome]="Win",BetTable[WBA1-Commission],IF(BetTable[Outcome]="Win Half Stake",(BetTable[Stake]/2)+BetTable[WBA1-Commission]/2,IF(BetTable[Outcome]="Lose Half Stake",BetTable[Stake]/2,IF(BetTable[Outcome]="Lose",0,IF(BetTable[Outcome]="Void",BetTable[Stake],)))))</f>
        <v>0</v>
      </c>
      <c r="AG957" s="227">
        <f>IF(BetTable[Outcome2]="Win",BetTable[WBA2-Commission],IF(BetTable[Outcome2]="Win Half Stake",(BetTable[S2]/2)+BetTable[WBA2-Commission]/2,IF(BetTable[Outcome2]="Lose Half Stake",BetTable[S2]/2,IF(BetTable[Outcome2]="Lose",0,IF(BetTable[Outcome2]="Void",BetTable[S2],)))))</f>
        <v>0</v>
      </c>
      <c r="AH957" s="227">
        <f>IF(BetTable[Outcome3]="Win",BetTable[WBA3-Commission],IF(BetTable[Outcome3]="Win Half Stake",(BetTable[S3]/2)+BetTable[WBA3-Commission]/2,IF(BetTable[Outcome3]="Lose Half Stake",BetTable[S3]/2,IF(BetTable[Outcome3]="Lose",0,IF(BetTable[Outcome3]="Void",BetTable[S3],)))))</f>
        <v>0</v>
      </c>
      <c r="AI957" s="231">
        <f>IF(BetTable[Outcome]="",AI956,BetTable[Result]+AI956)</f>
        <v>1232.9642499999998</v>
      </c>
      <c r="AJ957" s="223"/>
    </row>
    <row r="958" spans="1:36" x14ac:dyDescent="0.2">
      <c r="A958" s="222" t="s">
        <v>2375</v>
      </c>
      <c r="B958" s="223" t="s">
        <v>200</v>
      </c>
      <c r="C958" s="224" t="s">
        <v>1714</v>
      </c>
      <c r="D958" s="224"/>
      <c r="E958" s="224"/>
      <c r="F958" s="225"/>
      <c r="G958" s="225"/>
      <c r="H958" s="225"/>
      <c r="I958" s="223" t="s">
        <v>2458</v>
      </c>
      <c r="J958" s="226">
        <v>1.93</v>
      </c>
      <c r="K958" s="226"/>
      <c r="L958" s="226"/>
      <c r="M958" s="227">
        <v>36</v>
      </c>
      <c r="N958" s="227"/>
      <c r="O958" s="227"/>
      <c r="P958" s="222" t="s">
        <v>360</v>
      </c>
      <c r="Q958" s="222" t="s">
        <v>495</v>
      </c>
      <c r="R958" s="222" t="s">
        <v>2459</v>
      </c>
      <c r="S958" s="228">
        <v>2.1474133255723601E-2</v>
      </c>
      <c r="T958" s="229" t="s">
        <v>372</v>
      </c>
      <c r="U958" s="229"/>
      <c r="V958" s="229"/>
      <c r="W958" s="230">
        <f>IF(BetTable[Sport]="","",BetTable[Stake]+BetTable[S2]+BetTable[S3])</f>
        <v>36</v>
      </c>
      <c r="X958" s="227">
        <f>IF(BetTable[Odds]="","",(BetTable[WBA1-Commission])-BetTable[TS])</f>
        <v>33.47999999999999</v>
      </c>
      <c r="Y958" s="231">
        <f>IF(BetTable[Outcome]="","",BetTable[WBA1]+BetTable[WBA2]+BetTable[WBA3]-BetTable[TS])</f>
        <v>33.47999999999999</v>
      </c>
      <c r="Z958" s="227">
        <f>(((BetTable[Odds]-1)*BetTable[Stake])*(1-(BetTable[Comm %]))+BetTable[Stake])</f>
        <v>69.47999999999999</v>
      </c>
      <c r="AA958" s="227">
        <f>(((BetTable[O2]-1)*BetTable[S2])*(1-(BetTable[C% 2]))+BetTable[S2])</f>
        <v>0</v>
      </c>
      <c r="AB958" s="227">
        <f>(((BetTable[O3]-1)*BetTable[S3])*(1-(BetTable[C% 3]))+BetTable[S3])</f>
        <v>0</v>
      </c>
      <c r="AC958" s="228">
        <f>IFERROR(IF(BetTable[Sport]="","",BetTable[R1]/BetTable[TS]),"")</f>
        <v>0.92999999999999972</v>
      </c>
      <c r="AD958" s="228" t="str">
        <f>IF(BetTable[O2]="","",#REF!/BetTable[TS])</f>
        <v/>
      </c>
      <c r="AE958" s="228" t="str">
        <f>IFERROR(IF(BetTable[Sport]="","",#REF!/BetTable[TS]),"")</f>
        <v/>
      </c>
      <c r="AF958" s="227">
        <f>IF(BetTable[Outcome]="Win",BetTable[WBA1-Commission],IF(BetTable[Outcome]="Win Half Stake",(BetTable[Stake]/2)+BetTable[WBA1-Commission]/2,IF(BetTable[Outcome]="Lose Half Stake",BetTable[Stake]/2,IF(BetTable[Outcome]="Lose",0,IF(BetTable[Outcome]="Void",BetTable[Stake],)))))</f>
        <v>69.47999999999999</v>
      </c>
      <c r="AG958" s="227">
        <f>IF(BetTable[Outcome2]="Win",BetTable[WBA2-Commission],IF(BetTable[Outcome2]="Win Half Stake",(BetTable[S2]/2)+BetTable[WBA2-Commission]/2,IF(BetTable[Outcome2]="Lose Half Stake",BetTable[S2]/2,IF(BetTable[Outcome2]="Lose",0,IF(BetTable[Outcome2]="Void",BetTable[S2],)))))</f>
        <v>0</v>
      </c>
      <c r="AH958" s="227">
        <f>IF(BetTable[Outcome3]="Win",BetTable[WBA3-Commission],IF(BetTable[Outcome3]="Win Half Stake",(BetTable[S3]/2)+BetTable[WBA3-Commission]/2,IF(BetTable[Outcome3]="Lose Half Stake",BetTable[S3]/2,IF(BetTable[Outcome3]="Lose",0,IF(BetTable[Outcome3]="Void",BetTable[S3],)))))</f>
        <v>0</v>
      </c>
      <c r="AI958" s="231">
        <f>IF(BetTable[Outcome]="",AI957,BetTable[Result]+AI957)</f>
        <v>1266.4442499999998</v>
      </c>
      <c r="AJ958" s="223"/>
    </row>
    <row r="959" spans="1:36" x14ac:dyDescent="0.2">
      <c r="A959" s="222" t="s">
        <v>2375</v>
      </c>
      <c r="B959" s="223" t="s">
        <v>200</v>
      </c>
      <c r="C959" s="224" t="s">
        <v>1714</v>
      </c>
      <c r="D959" s="224"/>
      <c r="E959" s="224"/>
      <c r="F959" s="225"/>
      <c r="G959" s="225"/>
      <c r="H959" s="225"/>
      <c r="I959" s="223" t="s">
        <v>2460</v>
      </c>
      <c r="J959" s="226">
        <v>1.88</v>
      </c>
      <c r="K959" s="226"/>
      <c r="L959" s="226"/>
      <c r="M959" s="227">
        <v>53</v>
      </c>
      <c r="N959" s="227"/>
      <c r="O959" s="227"/>
      <c r="P959" s="222" t="s">
        <v>508</v>
      </c>
      <c r="Q959" s="222" t="s">
        <v>632</v>
      </c>
      <c r="R959" s="222" t="s">
        <v>2461</v>
      </c>
      <c r="S959" s="228">
        <v>3.0239464237092499E-2</v>
      </c>
      <c r="T959" s="229" t="s">
        <v>510</v>
      </c>
      <c r="U959" s="229"/>
      <c r="V959" s="229"/>
      <c r="W959" s="230">
        <f>IF(BetTable[Sport]="","",BetTable[Stake]+BetTable[S2]+BetTable[S3])</f>
        <v>53</v>
      </c>
      <c r="X959" s="227">
        <f>IF(BetTable[Odds]="","",(BetTable[WBA1-Commission])-BetTable[TS])</f>
        <v>46.639999999999986</v>
      </c>
      <c r="Y959" s="231">
        <f>IF(BetTable[Outcome]="","",BetTable[WBA1]+BetTable[WBA2]+BetTable[WBA3]-BetTable[TS])</f>
        <v>23.319999999999993</v>
      </c>
      <c r="Z959" s="227">
        <f>(((BetTable[Odds]-1)*BetTable[Stake])*(1-(BetTable[Comm %]))+BetTable[Stake])</f>
        <v>99.639999999999986</v>
      </c>
      <c r="AA959" s="227">
        <f>(((BetTable[O2]-1)*BetTable[S2])*(1-(BetTable[C% 2]))+BetTable[S2])</f>
        <v>0</v>
      </c>
      <c r="AB959" s="227">
        <f>(((BetTable[O3]-1)*BetTable[S3])*(1-(BetTable[C% 3]))+BetTable[S3])</f>
        <v>0</v>
      </c>
      <c r="AC959" s="228">
        <f>IFERROR(IF(BetTable[Sport]="","",BetTable[R1]/BetTable[TS]),"")</f>
        <v>0.87999999999999978</v>
      </c>
      <c r="AD959" s="228" t="str">
        <f>IF(BetTable[O2]="","",#REF!/BetTable[TS])</f>
        <v/>
      </c>
      <c r="AE959" s="228" t="str">
        <f>IFERROR(IF(BetTable[Sport]="","",#REF!/BetTable[TS]),"")</f>
        <v/>
      </c>
      <c r="AF959" s="227">
        <f>IF(BetTable[Outcome]="Win",BetTable[WBA1-Commission],IF(BetTable[Outcome]="Win Half Stake",(BetTable[Stake]/2)+BetTable[WBA1-Commission]/2,IF(BetTable[Outcome]="Lose Half Stake",BetTable[Stake]/2,IF(BetTable[Outcome]="Lose",0,IF(BetTable[Outcome]="Void",BetTable[Stake],)))))</f>
        <v>76.319999999999993</v>
      </c>
      <c r="AG959" s="227">
        <f>IF(BetTable[Outcome2]="Win",BetTable[WBA2-Commission],IF(BetTable[Outcome2]="Win Half Stake",(BetTable[S2]/2)+BetTable[WBA2-Commission]/2,IF(BetTable[Outcome2]="Lose Half Stake",BetTable[S2]/2,IF(BetTable[Outcome2]="Lose",0,IF(BetTable[Outcome2]="Void",BetTable[S2],)))))</f>
        <v>0</v>
      </c>
      <c r="AH959" s="227">
        <f>IF(BetTable[Outcome3]="Win",BetTable[WBA3-Commission],IF(BetTable[Outcome3]="Win Half Stake",(BetTable[S3]/2)+BetTable[WBA3-Commission]/2,IF(BetTable[Outcome3]="Lose Half Stake",BetTable[S3]/2,IF(BetTable[Outcome3]="Lose",0,IF(BetTable[Outcome3]="Void",BetTable[S3],)))))</f>
        <v>0</v>
      </c>
      <c r="AI959" s="231">
        <f>IF(BetTable[Outcome]="",AI958,BetTable[Result]+AI958)</f>
        <v>1289.7642499999997</v>
      </c>
      <c r="AJ959" s="223"/>
    </row>
    <row r="960" spans="1:36" x14ac:dyDescent="0.2">
      <c r="A960" s="222" t="s">
        <v>2375</v>
      </c>
      <c r="B960" s="223" t="s">
        <v>7</v>
      </c>
      <c r="C960" s="224" t="s">
        <v>91</v>
      </c>
      <c r="D960" s="224"/>
      <c r="E960" s="224"/>
      <c r="F960" s="225"/>
      <c r="G960" s="225"/>
      <c r="H960" s="225"/>
      <c r="I960" s="223" t="s">
        <v>2431</v>
      </c>
      <c r="J960" s="226">
        <v>2.19</v>
      </c>
      <c r="K960" s="226"/>
      <c r="L960" s="226"/>
      <c r="M960" s="227">
        <v>54</v>
      </c>
      <c r="N960" s="227"/>
      <c r="O960" s="227"/>
      <c r="P960" s="222" t="s">
        <v>2462</v>
      </c>
      <c r="Q960" s="222" t="s">
        <v>1842</v>
      </c>
      <c r="R960" s="222" t="s">
        <v>2463</v>
      </c>
      <c r="S960" s="228">
        <v>4.5366936333163202E-2</v>
      </c>
      <c r="T960" s="229" t="s">
        <v>372</v>
      </c>
      <c r="U960" s="229"/>
      <c r="V960" s="229"/>
      <c r="W960" s="230">
        <f>IF(BetTable[Sport]="","",BetTable[Stake]+BetTable[S2]+BetTable[S3])</f>
        <v>54</v>
      </c>
      <c r="X960" s="227">
        <f>IF(BetTable[Odds]="","",(BetTable[WBA1-Commission])-BetTable[TS])</f>
        <v>64.259999999999991</v>
      </c>
      <c r="Y960" s="231">
        <f>IF(BetTable[Outcome]="","",BetTable[WBA1]+BetTable[WBA2]+BetTable[WBA3]-BetTable[TS])</f>
        <v>64.259999999999991</v>
      </c>
      <c r="Z960" s="227">
        <f>(((BetTable[Odds]-1)*BetTable[Stake])*(1-(BetTable[Comm %]))+BetTable[Stake])</f>
        <v>118.25999999999999</v>
      </c>
      <c r="AA960" s="227">
        <f>(((BetTable[O2]-1)*BetTable[S2])*(1-(BetTable[C% 2]))+BetTable[S2])</f>
        <v>0</v>
      </c>
      <c r="AB960" s="227">
        <f>(((BetTable[O3]-1)*BetTable[S3])*(1-(BetTable[C% 3]))+BetTable[S3])</f>
        <v>0</v>
      </c>
      <c r="AC960" s="228">
        <f>IFERROR(IF(BetTable[Sport]="","",BetTable[R1]/BetTable[TS]),"")</f>
        <v>1.1899999999999997</v>
      </c>
      <c r="AD960" s="228" t="str">
        <f>IF(BetTable[O2]="","",#REF!/BetTable[TS])</f>
        <v/>
      </c>
      <c r="AE960" s="228" t="str">
        <f>IFERROR(IF(BetTable[Sport]="","",#REF!/BetTable[TS]),"")</f>
        <v/>
      </c>
      <c r="AF960" s="227">
        <f>IF(BetTable[Outcome]="Win",BetTable[WBA1-Commission],IF(BetTable[Outcome]="Win Half Stake",(BetTable[Stake]/2)+BetTable[WBA1-Commission]/2,IF(BetTable[Outcome]="Lose Half Stake",BetTable[Stake]/2,IF(BetTable[Outcome]="Lose",0,IF(BetTable[Outcome]="Void",BetTable[Stake],)))))</f>
        <v>118.25999999999999</v>
      </c>
      <c r="AG960" s="227">
        <f>IF(BetTable[Outcome2]="Win",BetTable[WBA2-Commission],IF(BetTable[Outcome2]="Win Half Stake",(BetTable[S2]/2)+BetTable[WBA2-Commission]/2,IF(BetTable[Outcome2]="Lose Half Stake",BetTable[S2]/2,IF(BetTable[Outcome2]="Lose",0,IF(BetTable[Outcome2]="Void",BetTable[S2],)))))</f>
        <v>0</v>
      </c>
      <c r="AH960" s="227">
        <f>IF(BetTable[Outcome3]="Win",BetTable[WBA3-Commission],IF(BetTable[Outcome3]="Win Half Stake",(BetTable[S3]/2)+BetTable[WBA3-Commission]/2,IF(BetTable[Outcome3]="Lose Half Stake",BetTable[S3]/2,IF(BetTable[Outcome3]="Lose",0,IF(BetTable[Outcome3]="Void",BetTable[S3],)))))</f>
        <v>0</v>
      </c>
      <c r="AI960" s="231">
        <f>IF(BetTable[Outcome]="",AI959,BetTable[Result]+AI959)</f>
        <v>1354.0242499999997</v>
      </c>
      <c r="AJ960" s="223"/>
    </row>
    <row r="961" spans="1:36" x14ac:dyDescent="0.2">
      <c r="A961" s="222" t="s">
        <v>2375</v>
      </c>
      <c r="B961" s="223" t="s">
        <v>200</v>
      </c>
      <c r="C961" s="224" t="s">
        <v>1714</v>
      </c>
      <c r="D961" s="224"/>
      <c r="E961" s="224"/>
      <c r="F961" s="225"/>
      <c r="G961" s="225"/>
      <c r="H961" s="225"/>
      <c r="I961" s="223" t="s">
        <v>2464</v>
      </c>
      <c r="J961" s="226">
        <v>1.95</v>
      </c>
      <c r="K961" s="226"/>
      <c r="L961" s="226"/>
      <c r="M961" s="227">
        <v>40</v>
      </c>
      <c r="N961" s="227"/>
      <c r="O961" s="227"/>
      <c r="P961" s="222" t="s">
        <v>1528</v>
      </c>
      <c r="Q961" s="222" t="s">
        <v>1912</v>
      </c>
      <c r="R961" s="222" t="s">
        <v>2465</v>
      </c>
      <c r="S961" s="228">
        <v>2.48074953707892E-2</v>
      </c>
      <c r="T961" s="229" t="s">
        <v>382</v>
      </c>
      <c r="U961" s="229"/>
      <c r="V961" s="229"/>
      <c r="W961" s="230">
        <f>IF(BetTable[Sport]="","",BetTable[Stake]+BetTable[S2]+BetTable[S3])</f>
        <v>40</v>
      </c>
      <c r="X961" s="227">
        <f>IF(BetTable[Odds]="","",(BetTable[WBA1-Commission])-BetTable[TS])</f>
        <v>38</v>
      </c>
      <c r="Y961" s="231">
        <f>IF(BetTable[Outcome]="","",BetTable[WBA1]+BetTable[WBA2]+BetTable[WBA3]-BetTable[TS])</f>
        <v>-40</v>
      </c>
      <c r="Z961" s="227">
        <f>(((BetTable[Odds]-1)*BetTable[Stake])*(1-(BetTable[Comm %]))+BetTable[Stake])</f>
        <v>78</v>
      </c>
      <c r="AA961" s="227">
        <f>(((BetTable[O2]-1)*BetTable[S2])*(1-(BetTable[C% 2]))+BetTable[S2])</f>
        <v>0</v>
      </c>
      <c r="AB961" s="227">
        <f>(((BetTable[O3]-1)*BetTable[S3])*(1-(BetTable[C% 3]))+BetTable[S3])</f>
        <v>0</v>
      </c>
      <c r="AC961" s="228">
        <f>IFERROR(IF(BetTable[Sport]="","",BetTable[R1]/BetTable[TS]),"")</f>
        <v>0.95</v>
      </c>
      <c r="AD961" s="228" t="str">
        <f>IF(BetTable[O2]="","",#REF!/BetTable[TS])</f>
        <v/>
      </c>
      <c r="AE961" s="228" t="str">
        <f>IFERROR(IF(BetTable[Sport]="","",#REF!/BetTable[TS]),"")</f>
        <v/>
      </c>
      <c r="AF961" s="227">
        <f>IF(BetTable[Outcome]="Win",BetTable[WBA1-Commission],IF(BetTable[Outcome]="Win Half Stake",(BetTable[Stake]/2)+BetTable[WBA1-Commission]/2,IF(BetTable[Outcome]="Lose Half Stake",BetTable[Stake]/2,IF(BetTable[Outcome]="Lose",0,IF(BetTable[Outcome]="Void",BetTable[Stake],)))))</f>
        <v>0</v>
      </c>
      <c r="AG961" s="227">
        <f>IF(BetTable[Outcome2]="Win",BetTable[WBA2-Commission],IF(BetTable[Outcome2]="Win Half Stake",(BetTable[S2]/2)+BetTable[WBA2-Commission]/2,IF(BetTable[Outcome2]="Lose Half Stake",BetTable[S2]/2,IF(BetTable[Outcome2]="Lose",0,IF(BetTable[Outcome2]="Void",BetTable[S2],)))))</f>
        <v>0</v>
      </c>
      <c r="AH961" s="227">
        <f>IF(BetTable[Outcome3]="Win",BetTable[WBA3-Commission],IF(BetTable[Outcome3]="Win Half Stake",(BetTable[S3]/2)+BetTable[WBA3-Commission]/2,IF(BetTable[Outcome3]="Lose Half Stake",BetTable[S3]/2,IF(BetTable[Outcome3]="Lose",0,IF(BetTable[Outcome3]="Void",BetTable[S3],)))))</f>
        <v>0</v>
      </c>
      <c r="AI961" s="231">
        <f>IF(BetTable[Outcome]="",AI960,BetTable[Result]+AI960)</f>
        <v>1314.0242499999997</v>
      </c>
      <c r="AJ961" s="223"/>
    </row>
    <row r="962" spans="1:36" x14ac:dyDescent="0.2">
      <c r="A962" s="222" t="s">
        <v>2375</v>
      </c>
      <c r="B962" s="223" t="s">
        <v>9</v>
      </c>
      <c r="C962" s="224" t="s">
        <v>91</v>
      </c>
      <c r="D962" s="224"/>
      <c r="E962" s="224"/>
      <c r="F962" s="225"/>
      <c r="G962" s="225"/>
      <c r="H962" s="225"/>
      <c r="I962" s="223" t="s">
        <v>2466</v>
      </c>
      <c r="J962" s="226">
        <v>1.92</v>
      </c>
      <c r="K962" s="226"/>
      <c r="L962" s="226"/>
      <c r="M962" s="227">
        <v>36</v>
      </c>
      <c r="N962" s="227"/>
      <c r="O962" s="227"/>
      <c r="P962" s="222" t="s">
        <v>1266</v>
      </c>
      <c r="Q962" s="222" t="s">
        <v>495</v>
      </c>
      <c r="R962" s="222" t="s">
        <v>2467</v>
      </c>
      <c r="S962" s="228">
        <v>2.1213497403119199E-2</v>
      </c>
      <c r="T962" s="229" t="s">
        <v>372</v>
      </c>
      <c r="U962" s="229"/>
      <c r="V962" s="229"/>
      <c r="W962" s="230">
        <f>IF(BetTable[Sport]="","",BetTable[Stake]+BetTable[S2]+BetTable[S3])</f>
        <v>36</v>
      </c>
      <c r="X962" s="227">
        <f>IF(BetTable[Odds]="","",(BetTable[WBA1-Commission])-BetTable[TS])</f>
        <v>33.120000000000005</v>
      </c>
      <c r="Y962" s="231">
        <f>IF(BetTable[Outcome]="","",BetTable[WBA1]+BetTable[WBA2]+BetTable[WBA3]-BetTable[TS])</f>
        <v>33.120000000000005</v>
      </c>
      <c r="Z962" s="227">
        <f>(((BetTable[Odds]-1)*BetTable[Stake])*(1-(BetTable[Comm %]))+BetTable[Stake])</f>
        <v>69.12</v>
      </c>
      <c r="AA962" s="227">
        <f>(((BetTable[O2]-1)*BetTable[S2])*(1-(BetTable[C% 2]))+BetTable[S2])</f>
        <v>0</v>
      </c>
      <c r="AB962" s="227">
        <f>(((BetTable[O3]-1)*BetTable[S3])*(1-(BetTable[C% 3]))+BetTable[S3])</f>
        <v>0</v>
      </c>
      <c r="AC962" s="228">
        <f>IFERROR(IF(BetTable[Sport]="","",BetTable[R1]/BetTable[TS]),"")</f>
        <v>0.92000000000000015</v>
      </c>
      <c r="AD962" s="228" t="str">
        <f>IF(BetTable[O2]="","",#REF!/BetTable[TS])</f>
        <v/>
      </c>
      <c r="AE962" s="228" t="str">
        <f>IFERROR(IF(BetTable[Sport]="","",#REF!/BetTable[TS]),"")</f>
        <v/>
      </c>
      <c r="AF962" s="227">
        <f>IF(BetTable[Outcome]="Win",BetTable[WBA1-Commission],IF(BetTable[Outcome]="Win Half Stake",(BetTable[Stake]/2)+BetTable[WBA1-Commission]/2,IF(BetTable[Outcome]="Lose Half Stake",BetTable[Stake]/2,IF(BetTable[Outcome]="Lose",0,IF(BetTable[Outcome]="Void",BetTable[Stake],)))))</f>
        <v>69.12</v>
      </c>
      <c r="AG962" s="227">
        <f>IF(BetTable[Outcome2]="Win",BetTable[WBA2-Commission],IF(BetTable[Outcome2]="Win Half Stake",(BetTable[S2]/2)+BetTable[WBA2-Commission]/2,IF(BetTable[Outcome2]="Lose Half Stake",BetTable[S2]/2,IF(BetTable[Outcome2]="Lose",0,IF(BetTable[Outcome2]="Void",BetTable[S2],)))))</f>
        <v>0</v>
      </c>
      <c r="AH962" s="227">
        <f>IF(BetTable[Outcome3]="Win",BetTable[WBA3-Commission],IF(BetTable[Outcome3]="Win Half Stake",(BetTable[S3]/2)+BetTable[WBA3-Commission]/2,IF(BetTable[Outcome3]="Lose Half Stake",BetTable[S3]/2,IF(BetTable[Outcome3]="Lose",0,IF(BetTable[Outcome3]="Void",BetTable[S3],)))))</f>
        <v>0</v>
      </c>
      <c r="AI962" s="231">
        <f>IF(BetTable[Outcome]="",AI961,BetTable[Result]+AI961)</f>
        <v>1347.1442499999998</v>
      </c>
      <c r="AJ962" s="223"/>
    </row>
    <row r="963" spans="1:36" x14ac:dyDescent="0.2">
      <c r="A963" s="222" t="s">
        <v>2375</v>
      </c>
      <c r="B963" s="223" t="s">
        <v>200</v>
      </c>
      <c r="C963" s="224" t="s">
        <v>1714</v>
      </c>
      <c r="D963" s="224"/>
      <c r="E963" s="224"/>
      <c r="F963" s="225"/>
      <c r="G963" s="225"/>
      <c r="H963" s="225"/>
      <c r="I963" s="223" t="s">
        <v>2468</v>
      </c>
      <c r="J963" s="226">
        <v>2.1629999999999998</v>
      </c>
      <c r="K963" s="226"/>
      <c r="L963" s="226"/>
      <c r="M963" s="227">
        <v>33</v>
      </c>
      <c r="N963" s="227"/>
      <c r="O963" s="227"/>
      <c r="P963" s="222" t="s">
        <v>448</v>
      </c>
      <c r="Q963" s="222" t="s">
        <v>703</v>
      </c>
      <c r="R963" s="222" t="s">
        <v>2469</v>
      </c>
      <c r="S963" s="228">
        <v>2.5173618505973199E-2</v>
      </c>
      <c r="T963" s="229" t="s">
        <v>382</v>
      </c>
      <c r="U963" s="229"/>
      <c r="V963" s="229"/>
      <c r="W963" s="230">
        <f>IF(BetTable[Sport]="","",BetTable[Stake]+BetTable[S2]+BetTable[S3])</f>
        <v>33</v>
      </c>
      <c r="X963" s="227">
        <f>IF(BetTable[Odds]="","",(BetTable[WBA1-Commission])-BetTable[TS])</f>
        <v>38.378999999999991</v>
      </c>
      <c r="Y963" s="231">
        <f>IF(BetTable[Outcome]="","",BetTable[WBA1]+BetTable[WBA2]+BetTable[WBA3]-BetTable[TS])</f>
        <v>-33</v>
      </c>
      <c r="Z963" s="227">
        <f>(((BetTable[Odds]-1)*BetTable[Stake])*(1-(BetTable[Comm %]))+BetTable[Stake])</f>
        <v>71.378999999999991</v>
      </c>
      <c r="AA963" s="227">
        <f>(((BetTable[O2]-1)*BetTable[S2])*(1-(BetTable[C% 2]))+BetTable[S2])</f>
        <v>0</v>
      </c>
      <c r="AB963" s="227">
        <f>(((BetTable[O3]-1)*BetTable[S3])*(1-(BetTable[C% 3]))+BetTable[S3])</f>
        <v>0</v>
      </c>
      <c r="AC963" s="228">
        <f>IFERROR(IF(BetTable[Sport]="","",BetTable[R1]/BetTable[TS]),"")</f>
        <v>1.1629999999999998</v>
      </c>
      <c r="AD963" s="228" t="str">
        <f>IF(BetTable[O2]="","",#REF!/BetTable[TS])</f>
        <v/>
      </c>
      <c r="AE963" s="228" t="str">
        <f>IFERROR(IF(BetTable[Sport]="","",#REF!/BetTable[TS]),"")</f>
        <v/>
      </c>
      <c r="AF963" s="227">
        <f>IF(BetTable[Outcome]="Win",BetTable[WBA1-Commission],IF(BetTable[Outcome]="Win Half Stake",(BetTable[Stake]/2)+BetTable[WBA1-Commission]/2,IF(BetTable[Outcome]="Lose Half Stake",BetTable[Stake]/2,IF(BetTable[Outcome]="Lose",0,IF(BetTable[Outcome]="Void",BetTable[Stake],)))))</f>
        <v>0</v>
      </c>
      <c r="AG963" s="227">
        <f>IF(BetTable[Outcome2]="Win",BetTable[WBA2-Commission],IF(BetTable[Outcome2]="Win Half Stake",(BetTable[S2]/2)+BetTable[WBA2-Commission]/2,IF(BetTable[Outcome2]="Lose Half Stake",BetTable[S2]/2,IF(BetTable[Outcome2]="Lose",0,IF(BetTable[Outcome2]="Void",BetTable[S2],)))))</f>
        <v>0</v>
      </c>
      <c r="AH963" s="227">
        <f>IF(BetTable[Outcome3]="Win",BetTable[WBA3-Commission],IF(BetTable[Outcome3]="Win Half Stake",(BetTable[S3]/2)+BetTable[WBA3-Commission]/2,IF(BetTable[Outcome3]="Lose Half Stake",BetTable[S3]/2,IF(BetTable[Outcome3]="Lose",0,IF(BetTable[Outcome3]="Void",BetTable[S3],)))))</f>
        <v>0</v>
      </c>
      <c r="AI963" s="231">
        <f>IF(BetTable[Outcome]="",AI962,BetTable[Result]+AI962)</f>
        <v>1314.1442499999998</v>
      </c>
      <c r="AJ963" s="223"/>
    </row>
    <row r="964" spans="1:36" x14ac:dyDescent="0.2">
      <c r="A964" s="222" t="s">
        <v>2375</v>
      </c>
      <c r="B964" s="223" t="s">
        <v>200</v>
      </c>
      <c r="C964" s="224" t="s">
        <v>1714</v>
      </c>
      <c r="D964" s="224"/>
      <c r="E964" s="224"/>
      <c r="F964" s="225"/>
      <c r="G964" s="225"/>
      <c r="H964" s="225"/>
      <c r="I964" s="223" t="s">
        <v>2470</v>
      </c>
      <c r="J964" s="226">
        <v>2.06</v>
      </c>
      <c r="K964" s="226"/>
      <c r="L964" s="226"/>
      <c r="M964" s="227">
        <v>30</v>
      </c>
      <c r="N964" s="227"/>
      <c r="O964" s="227"/>
      <c r="P964" s="222" t="s">
        <v>864</v>
      </c>
      <c r="Q964" s="222" t="s">
        <v>703</v>
      </c>
      <c r="R964" s="222" t="s">
        <v>2471</v>
      </c>
      <c r="S964" s="228">
        <v>2.0831605900608299E-2</v>
      </c>
      <c r="T964" s="229" t="s">
        <v>372</v>
      </c>
      <c r="U964" s="229"/>
      <c r="V964" s="229"/>
      <c r="W964" s="230">
        <f>IF(BetTable[Sport]="","",BetTable[Stake]+BetTable[S2]+BetTable[S3])</f>
        <v>30</v>
      </c>
      <c r="X964" s="227">
        <f>IF(BetTable[Odds]="","",(BetTable[WBA1-Commission])-BetTable[TS])</f>
        <v>31.799999999999997</v>
      </c>
      <c r="Y964" s="231">
        <f>IF(BetTable[Outcome]="","",BetTable[WBA1]+BetTable[WBA2]+BetTable[WBA3]-BetTable[TS])</f>
        <v>31.799999999999997</v>
      </c>
      <c r="Z964" s="227">
        <f>(((BetTable[Odds]-1)*BetTable[Stake])*(1-(BetTable[Comm %]))+BetTable[Stake])</f>
        <v>61.8</v>
      </c>
      <c r="AA964" s="227">
        <f>(((BetTable[O2]-1)*BetTable[S2])*(1-(BetTable[C% 2]))+BetTable[S2])</f>
        <v>0</v>
      </c>
      <c r="AB964" s="227">
        <f>(((BetTable[O3]-1)*BetTable[S3])*(1-(BetTable[C% 3]))+BetTable[S3])</f>
        <v>0</v>
      </c>
      <c r="AC964" s="228">
        <f>IFERROR(IF(BetTable[Sport]="","",BetTable[R1]/BetTable[TS]),"")</f>
        <v>1.0599999999999998</v>
      </c>
      <c r="AD964" s="228" t="str">
        <f>IF(BetTable[O2]="","",#REF!/BetTable[TS])</f>
        <v/>
      </c>
      <c r="AE964" s="228" t="str">
        <f>IFERROR(IF(BetTable[Sport]="","",#REF!/BetTable[TS]),"")</f>
        <v/>
      </c>
      <c r="AF964" s="227">
        <f>IF(BetTable[Outcome]="Win",BetTable[WBA1-Commission],IF(BetTable[Outcome]="Win Half Stake",(BetTable[Stake]/2)+BetTable[WBA1-Commission]/2,IF(BetTable[Outcome]="Lose Half Stake",BetTable[Stake]/2,IF(BetTable[Outcome]="Lose",0,IF(BetTable[Outcome]="Void",BetTable[Stake],)))))</f>
        <v>61.8</v>
      </c>
      <c r="AG964" s="227">
        <f>IF(BetTable[Outcome2]="Win",BetTable[WBA2-Commission],IF(BetTable[Outcome2]="Win Half Stake",(BetTable[S2]/2)+BetTable[WBA2-Commission]/2,IF(BetTable[Outcome2]="Lose Half Stake",BetTable[S2]/2,IF(BetTable[Outcome2]="Lose",0,IF(BetTable[Outcome2]="Void",BetTable[S2],)))))</f>
        <v>0</v>
      </c>
      <c r="AH964" s="227">
        <f>IF(BetTable[Outcome3]="Win",BetTable[WBA3-Commission],IF(BetTable[Outcome3]="Win Half Stake",(BetTable[S3]/2)+BetTable[WBA3-Commission]/2,IF(BetTable[Outcome3]="Lose Half Stake",BetTable[S3]/2,IF(BetTable[Outcome3]="Lose",0,IF(BetTable[Outcome3]="Void",BetTable[S3],)))))</f>
        <v>0</v>
      </c>
      <c r="AI964" s="231">
        <f>IF(BetTable[Outcome]="",AI963,BetTable[Result]+AI963)</f>
        <v>1345.9442499999998</v>
      </c>
      <c r="AJ964" s="223"/>
    </row>
    <row r="965" spans="1:36" x14ac:dyDescent="0.2">
      <c r="A965" s="222" t="s">
        <v>2375</v>
      </c>
      <c r="B965" s="223" t="s">
        <v>200</v>
      </c>
      <c r="C965" s="224" t="s">
        <v>1714</v>
      </c>
      <c r="D965" s="224"/>
      <c r="E965" s="224"/>
      <c r="F965" s="225"/>
      <c r="G965" s="225"/>
      <c r="H965" s="225"/>
      <c r="I965" s="223" t="s">
        <v>2472</v>
      </c>
      <c r="J965" s="226">
        <v>2.23</v>
      </c>
      <c r="K965" s="226"/>
      <c r="L965" s="226"/>
      <c r="M965" s="227">
        <v>28</v>
      </c>
      <c r="N965" s="227"/>
      <c r="O965" s="227"/>
      <c r="P965" s="222" t="s">
        <v>354</v>
      </c>
      <c r="Q965" s="222" t="s">
        <v>1848</v>
      </c>
      <c r="R965" s="222" t="s">
        <v>2473</v>
      </c>
      <c r="S965" s="228">
        <v>2.25279106858054E-2</v>
      </c>
      <c r="T965" s="229" t="s">
        <v>382</v>
      </c>
      <c r="U965" s="229"/>
      <c r="V965" s="229"/>
      <c r="W965" s="230">
        <f>IF(BetTable[Sport]="","",BetTable[Stake]+BetTable[S2]+BetTable[S3])</f>
        <v>28</v>
      </c>
      <c r="X965" s="227">
        <f>IF(BetTable[Odds]="","",(BetTable[WBA1-Commission])-BetTable[TS])</f>
        <v>34.44</v>
      </c>
      <c r="Y965" s="231">
        <f>IF(BetTable[Outcome]="","",BetTable[WBA1]+BetTable[WBA2]+BetTable[WBA3]-BetTable[TS])</f>
        <v>-28</v>
      </c>
      <c r="Z965" s="227">
        <f>(((BetTable[Odds]-1)*BetTable[Stake])*(1-(BetTable[Comm %]))+BetTable[Stake])</f>
        <v>62.44</v>
      </c>
      <c r="AA965" s="227">
        <f>(((BetTable[O2]-1)*BetTable[S2])*(1-(BetTable[C% 2]))+BetTable[S2])</f>
        <v>0</v>
      </c>
      <c r="AB965" s="227">
        <f>(((BetTable[O3]-1)*BetTable[S3])*(1-(BetTable[C% 3]))+BetTable[S3])</f>
        <v>0</v>
      </c>
      <c r="AC965" s="228">
        <f>IFERROR(IF(BetTable[Sport]="","",BetTable[R1]/BetTable[TS]),"")</f>
        <v>1.23</v>
      </c>
      <c r="AD965" s="228" t="str">
        <f>IF(BetTable[O2]="","",#REF!/BetTable[TS])</f>
        <v/>
      </c>
      <c r="AE965" s="228" t="str">
        <f>IFERROR(IF(BetTable[Sport]="","",#REF!/BetTable[TS]),"")</f>
        <v/>
      </c>
      <c r="AF965" s="227">
        <f>IF(BetTable[Outcome]="Win",BetTable[WBA1-Commission],IF(BetTable[Outcome]="Win Half Stake",(BetTable[Stake]/2)+BetTable[WBA1-Commission]/2,IF(BetTable[Outcome]="Lose Half Stake",BetTable[Stake]/2,IF(BetTable[Outcome]="Lose",0,IF(BetTable[Outcome]="Void",BetTable[Stake],)))))</f>
        <v>0</v>
      </c>
      <c r="AG965" s="227">
        <f>IF(BetTable[Outcome2]="Win",BetTable[WBA2-Commission],IF(BetTable[Outcome2]="Win Half Stake",(BetTable[S2]/2)+BetTable[WBA2-Commission]/2,IF(BetTable[Outcome2]="Lose Half Stake",BetTable[S2]/2,IF(BetTable[Outcome2]="Lose",0,IF(BetTable[Outcome2]="Void",BetTable[S2],)))))</f>
        <v>0</v>
      </c>
      <c r="AH965" s="227">
        <f>IF(BetTable[Outcome3]="Win",BetTable[WBA3-Commission],IF(BetTable[Outcome3]="Win Half Stake",(BetTable[S3]/2)+BetTable[WBA3-Commission]/2,IF(BetTable[Outcome3]="Lose Half Stake",BetTable[S3]/2,IF(BetTable[Outcome3]="Lose",0,IF(BetTable[Outcome3]="Void",BetTable[S3],)))))</f>
        <v>0</v>
      </c>
      <c r="AI965" s="231">
        <f>IF(BetTable[Outcome]="",AI964,BetTable[Result]+AI964)</f>
        <v>1317.9442499999998</v>
      </c>
      <c r="AJ965" s="223"/>
    </row>
    <row r="966" spans="1:36" x14ac:dyDescent="0.2">
      <c r="A966" s="222" t="s">
        <v>2375</v>
      </c>
      <c r="B966" s="223" t="s">
        <v>200</v>
      </c>
      <c r="C966" s="224" t="s">
        <v>1714</v>
      </c>
      <c r="D966" s="224"/>
      <c r="E966" s="224"/>
      <c r="F966" s="225"/>
      <c r="G966" s="225"/>
      <c r="H966" s="225"/>
      <c r="I966" s="223" t="s">
        <v>2474</v>
      </c>
      <c r="J966" s="226">
        <v>2</v>
      </c>
      <c r="K966" s="226"/>
      <c r="L966" s="226"/>
      <c r="M966" s="227">
        <v>51</v>
      </c>
      <c r="N966" s="227"/>
      <c r="O966" s="227"/>
      <c r="P966" s="222" t="s">
        <v>688</v>
      </c>
      <c r="Q966" s="222" t="s">
        <v>703</v>
      </c>
      <c r="R966" s="222" t="s">
        <v>2475</v>
      </c>
      <c r="S966" s="228">
        <v>3.3260165389265399E-2</v>
      </c>
      <c r="T966" s="229" t="s">
        <v>372</v>
      </c>
      <c r="U966" s="229"/>
      <c r="V966" s="229"/>
      <c r="W966" s="230">
        <f>IF(BetTable[Sport]="","",BetTable[Stake]+BetTable[S2]+BetTable[S3])</f>
        <v>51</v>
      </c>
      <c r="X966" s="227">
        <f>IF(BetTable[Odds]="","",(BetTable[WBA1-Commission])-BetTable[TS])</f>
        <v>51</v>
      </c>
      <c r="Y966" s="231">
        <f>IF(BetTable[Outcome]="","",BetTable[WBA1]+BetTable[WBA2]+BetTable[WBA3]-BetTable[TS])</f>
        <v>51</v>
      </c>
      <c r="Z966" s="227">
        <f>(((BetTable[Odds]-1)*BetTable[Stake])*(1-(BetTable[Comm %]))+BetTable[Stake])</f>
        <v>102</v>
      </c>
      <c r="AA966" s="227">
        <f>(((BetTable[O2]-1)*BetTable[S2])*(1-(BetTable[C% 2]))+BetTable[S2])</f>
        <v>0</v>
      </c>
      <c r="AB966" s="227">
        <f>(((BetTable[O3]-1)*BetTable[S3])*(1-(BetTable[C% 3]))+BetTable[S3])</f>
        <v>0</v>
      </c>
      <c r="AC966" s="228">
        <f>IFERROR(IF(BetTable[Sport]="","",BetTable[R1]/BetTable[TS]),"")</f>
        <v>1</v>
      </c>
      <c r="AD966" s="228" t="str">
        <f>IF(BetTable[O2]="","",#REF!/BetTable[TS])</f>
        <v/>
      </c>
      <c r="AE966" s="228" t="str">
        <f>IFERROR(IF(BetTable[Sport]="","",#REF!/BetTable[TS]),"")</f>
        <v/>
      </c>
      <c r="AF966" s="227">
        <f>IF(BetTable[Outcome]="Win",BetTable[WBA1-Commission],IF(BetTable[Outcome]="Win Half Stake",(BetTable[Stake]/2)+BetTable[WBA1-Commission]/2,IF(BetTable[Outcome]="Lose Half Stake",BetTable[Stake]/2,IF(BetTable[Outcome]="Lose",0,IF(BetTable[Outcome]="Void",BetTable[Stake],)))))</f>
        <v>102</v>
      </c>
      <c r="AG966" s="227">
        <f>IF(BetTable[Outcome2]="Win",BetTable[WBA2-Commission],IF(BetTable[Outcome2]="Win Half Stake",(BetTable[S2]/2)+BetTable[WBA2-Commission]/2,IF(BetTable[Outcome2]="Lose Half Stake",BetTable[S2]/2,IF(BetTable[Outcome2]="Lose",0,IF(BetTable[Outcome2]="Void",BetTable[S2],)))))</f>
        <v>0</v>
      </c>
      <c r="AH966" s="227">
        <f>IF(BetTable[Outcome3]="Win",BetTable[WBA3-Commission],IF(BetTable[Outcome3]="Win Half Stake",(BetTable[S3]/2)+BetTable[WBA3-Commission]/2,IF(BetTable[Outcome3]="Lose Half Stake",BetTable[S3]/2,IF(BetTable[Outcome3]="Lose",0,IF(BetTable[Outcome3]="Void",BetTable[S3],)))))</f>
        <v>0</v>
      </c>
      <c r="AI966" s="231">
        <f>IF(BetTable[Outcome]="",AI965,BetTable[Result]+AI965)</f>
        <v>1368.9442499999998</v>
      </c>
      <c r="AJ966" s="223"/>
    </row>
    <row r="967" spans="1:36" x14ac:dyDescent="0.2">
      <c r="A967" s="222" t="s">
        <v>2375</v>
      </c>
      <c r="B967" s="223" t="s">
        <v>200</v>
      </c>
      <c r="C967" s="224" t="s">
        <v>1714</v>
      </c>
      <c r="D967" s="224"/>
      <c r="E967" s="224"/>
      <c r="F967" s="225"/>
      <c r="G967" s="225"/>
      <c r="H967" s="225"/>
      <c r="I967" s="223" t="s">
        <v>2476</v>
      </c>
      <c r="J967" s="226">
        <v>1.94</v>
      </c>
      <c r="K967" s="226"/>
      <c r="L967" s="226"/>
      <c r="M967" s="227">
        <v>35</v>
      </c>
      <c r="N967" s="227"/>
      <c r="O967" s="227"/>
      <c r="P967" s="222" t="s">
        <v>668</v>
      </c>
      <c r="Q967" s="222" t="s">
        <v>836</v>
      </c>
      <c r="R967" s="222" t="s">
        <v>2477</v>
      </c>
      <c r="S967" s="228">
        <v>2.0021869708385501E-2</v>
      </c>
      <c r="T967" s="229" t="s">
        <v>372</v>
      </c>
      <c r="U967" s="229"/>
      <c r="V967" s="229"/>
      <c r="W967" s="230">
        <f>IF(BetTable[Sport]="","",BetTable[Stake]+BetTable[S2]+BetTable[S3])</f>
        <v>35</v>
      </c>
      <c r="X967" s="227">
        <f>IF(BetTable[Odds]="","",(BetTable[WBA1-Commission])-BetTable[TS])</f>
        <v>32.900000000000006</v>
      </c>
      <c r="Y967" s="231">
        <f>IF(BetTable[Outcome]="","",BetTable[WBA1]+BetTable[WBA2]+BetTable[WBA3]-BetTable[TS])</f>
        <v>32.900000000000006</v>
      </c>
      <c r="Z967" s="227">
        <f>(((BetTable[Odds]-1)*BetTable[Stake])*(1-(BetTable[Comm %]))+BetTable[Stake])</f>
        <v>67.900000000000006</v>
      </c>
      <c r="AA967" s="227">
        <f>(((BetTable[O2]-1)*BetTable[S2])*(1-(BetTable[C% 2]))+BetTable[S2])</f>
        <v>0</v>
      </c>
      <c r="AB967" s="227">
        <f>(((BetTable[O3]-1)*BetTable[S3])*(1-(BetTable[C% 3]))+BetTable[S3])</f>
        <v>0</v>
      </c>
      <c r="AC967" s="228">
        <f>IFERROR(IF(BetTable[Sport]="","",BetTable[R1]/BetTable[TS]),"")</f>
        <v>0.94000000000000017</v>
      </c>
      <c r="AD967" s="228" t="str">
        <f>IF(BetTable[O2]="","",#REF!/BetTable[TS])</f>
        <v/>
      </c>
      <c r="AE967" s="228" t="str">
        <f>IFERROR(IF(BetTable[Sport]="","",#REF!/BetTable[TS]),"")</f>
        <v/>
      </c>
      <c r="AF967" s="227">
        <f>IF(BetTable[Outcome]="Win",BetTable[WBA1-Commission],IF(BetTable[Outcome]="Win Half Stake",(BetTable[Stake]/2)+BetTable[WBA1-Commission]/2,IF(BetTable[Outcome]="Lose Half Stake",BetTable[Stake]/2,IF(BetTable[Outcome]="Lose",0,IF(BetTable[Outcome]="Void",BetTable[Stake],)))))</f>
        <v>67.900000000000006</v>
      </c>
      <c r="AG967" s="227">
        <f>IF(BetTable[Outcome2]="Win",BetTable[WBA2-Commission],IF(BetTable[Outcome2]="Win Half Stake",(BetTable[S2]/2)+BetTable[WBA2-Commission]/2,IF(BetTable[Outcome2]="Lose Half Stake",BetTable[S2]/2,IF(BetTable[Outcome2]="Lose",0,IF(BetTable[Outcome2]="Void",BetTable[S2],)))))</f>
        <v>0</v>
      </c>
      <c r="AH967" s="227">
        <f>IF(BetTable[Outcome3]="Win",BetTable[WBA3-Commission],IF(BetTable[Outcome3]="Win Half Stake",(BetTable[S3]/2)+BetTable[WBA3-Commission]/2,IF(BetTable[Outcome3]="Lose Half Stake",BetTable[S3]/2,IF(BetTable[Outcome3]="Lose",0,IF(BetTable[Outcome3]="Void",BetTable[S3],)))))</f>
        <v>0</v>
      </c>
      <c r="AI967" s="231">
        <f>IF(BetTable[Outcome]="",AI966,BetTable[Result]+AI966)</f>
        <v>1401.8442499999999</v>
      </c>
      <c r="AJ967" s="223"/>
    </row>
    <row r="968" spans="1:36" x14ac:dyDescent="0.2">
      <c r="A968" s="222" t="s">
        <v>2375</v>
      </c>
      <c r="B968" s="223" t="s">
        <v>200</v>
      </c>
      <c r="C968" s="224" t="s">
        <v>1714</v>
      </c>
      <c r="D968" s="224"/>
      <c r="E968" s="224"/>
      <c r="F968" s="225"/>
      <c r="G968" s="225"/>
      <c r="H968" s="225"/>
      <c r="I968" s="223" t="s">
        <v>2478</v>
      </c>
      <c r="J968" s="226">
        <v>3.05</v>
      </c>
      <c r="K968" s="226"/>
      <c r="L968" s="226"/>
      <c r="M968" s="227">
        <v>31</v>
      </c>
      <c r="N968" s="227"/>
      <c r="O968" s="227"/>
      <c r="P968" s="222" t="s">
        <v>494</v>
      </c>
      <c r="Q968" s="222" t="s">
        <v>839</v>
      </c>
      <c r="R968" s="222" t="s">
        <v>2479</v>
      </c>
      <c r="S968" s="228">
        <v>4.1192948082960701E-2</v>
      </c>
      <c r="T968" s="229" t="s">
        <v>382</v>
      </c>
      <c r="U968" s="229"/>
      <c r="V968" s="229"/>
      <c r="W968" s="230">
        <f>IF(BetTable[Sport]="","",BetTable[Stake]+BetTable[S2]+BetTable[S3])</f>
        <v>31</v>
      </c>
      <c r="X968" s="227">
        <f>IF(BetTable[Odds]="","",(BetTable[WBA1-Commission])-BetTable[TS])</f>
        <v>63.55</v>
      </c>
      <c r="Y968" s="231">
        <f>IF(BetTable[Outcome]="","",BetTable[WBA1]+BetTable[WBA2]+BetTable[WBA3]-BetTable[TS])</f>
        <v>-31</v>
      </c>
      <c r="Z968" s="227">
        <f>(((BetTable[Odds]-1)*BetTable[Stake])*(1-(BetTable[Comm %]))+BetTable[Stake])</f>
        <v>94.55</v>
      </c>
      <c r="AA968" s="227">
        <f>(((BetTable[O2]-1)*BetTable[S2])*(1-(BetTable[C% 2]))+BetTable[S2])</f>
        <v>0</v>
      </c>
      <c r="AB968" s="227">
        <f>(((BetTable[O3]-1)*BetTable[S3])*(1-(BetTable[C% 3]))+BetTable[S3])</f>
        <v>0</v>
      </c>
      <c r="AC968" s="228">
        <f>IFERROR(IF(BetTable[Sport]="","",BetTable[R1]/BetTable[TS]),"")</f>
        <v>2.0499999999999998</v>
      </c>
      <c r="AD968" s="228" t="str">
        <f>IF(BetTable[O2]="","",#REF!/BetTable[TS])</f>
        <v/>
      </c>
      <c r="AE968" s="228" t="str">
        <f>IFERROR(IF(BetTable[Sport]="","",#REF!/BetTable[TS]),"")</f>
        <v/>
      </c>
      <c r="AF968" s="227">
        <f>IF(BetTable[Outcome]="Win",BetTable[WBA1-Commission],IF(BetTable[Outcome]="Win Half Stake",(BetTable[Stake]/2)+BetTable[WBA1-Commission]/2,IF(BetTable[Outcome]="Lose Half Stake",BetTable[Stake]/2,IF(BetTable[Outcome]="Lose",0,IF(BetTable[Outcome]="Void",BetTable[Stake],)))))</f>
        <v>0</v>
      </c>
      <c r="AG968" s="227">
        <f>IF(BetTable[Outcome2]="Win",BetTable[WBA2-Commission],IF(BetTable[Outcome2]="Win Half Stake",(BetTable[S2]/2)+BetTable[WBA2-Commission]/2,IF(BetTable[Outcome2]="Lose Half Stake",BetTable[S2]/2,IF(BetTable[Outcome2]="Lose",0,IF(BetTable[Outcome2]="Void",BetTable[S2],)))))</f>
        <v>0</v>
      </c>
      <c r="AH968" s="227">
        <f>IF(BetTable[Outcome3]="Win",BetTable[WBA3-Commission],IF(BetTable[Outcome3]="Win Half Stake",(BetTable[S3]/2)+BetTable[WBA3-Commission]/2,IF(BetTable[Outcome3]="Lose Half Stake",BetTable[S3]/2,IF(BetTable[Outcome3]="Lose",0,IF(BetTable[Outcome3]="Void",BetTable[S3],)))))</f>
        <v>0</v>
      </c>
      <c r="AI968" s="231">
        <f>IF(BetTable[Outcome]="",AI967,BetTable[Result]+AI967)</f>
        <v>1370.8442499999999</v>
      </c>
      <c r="AJ968" s="223"/>
    </row>
    <row r="969" spans="1:36" x14ac:dyDescent="0.2">
      <c r="A969" s="222" t="s">
        <v>2375</v>
      </c>
      <c r="B969" s="223" t="s">
        <v>200</v>
      </c>
      <c r="C969" s="224" t="s">
        <v>1714</v>
      </c>
      <c r="D969" s="224"/>
      <c r="E969" s="224"/>
      <c r="F969" s="225"/>
      <c r="G969" s="225"/>
      <c r="H969" s="225"/>
      <c r="I969" s="223" t="s">
        <v>2480</v>
      </c>
      <c r="J969" s="226">
        <v>1.95</v>
      </c>
      <c r="K969" s="226"/>
      <c r="L969" s="226"/>
      <c r="M969" s="227">
        <v>45</v>
      </c>
      <c r="N969" s="227"/>
      <c r="O969" s="227"/>
      <c r="P969" s="222" t="s">
        <v>409</v>
      </c>
      <c r="Q969" s="222" t="s">
        <v>677</v>
      </c>
      <c r="R969" s="222" t="s">
        <v>2481</v>
      </c>
      <c r="S969" s="228">
        <v>2.77050875319323E-2</v>
      </c>
      <c r="T969" s="229" t="s">
        <v>382</v>
      </c>
      <c r="U969" s="229"/>
      <c r="V969" s="229"/>
      <c r="W969" s="230">
        <f>IF(BetTable[Sport]="","",BetTable[Stake]+BetTable[S2]+BetTable[S3])</f>
        <v>45</v>
      </c>
      <c r="X969" s="227">
        <f>IF(BetTable[Odds]="","",(BetTable[WBA1-Commission])-BetTable[TS])</f>
        <v>42.75</v>
      </c>
      <c r="Y969" s="231">
        <f>IF(BetTable[Outcome]="","",BetTable[WBA1]+BetTable[WBA2]+BetTable[WBA3]-BetTable[TS])</f>
        <v>-45</v>
      </c>
      <c r="Z969" s="227">
        <f>(((BetTable[Odds]-1)*BetTable[Stake])*(1-(BetTable[Comm %]))+BetTable[Stake])</f>
        <v>87.75</v>
      </c>
      <c r="AA969" s="227">
        <f>(((BetTable[O2]-1)*BetTable[S2])*(1-(BetTable[C% 2]))+BetTable[S2])</f>
        <v>0</v>
      </c>
      <c r="AB969" s="227">
        <f>(((BetTable[O3]-1)*BetTable[S3])*(1-(BetTable[C% 3]))+BetTable[S3])</f>
        <v>0</v>
      </c>
      <c r="AC969" s="228">
        <f>IFERROR(IF(BetTable[Sport]="","",BetTable[R1]/BetTable[TS]),"")</f>
        <v>0.95</v>
      </c>
      <c r="AD969" s="228" t="str">
        <f>IF(BetTable[O2]="","",#REF!/BetTable[TS])</f>
        <v/>
      </c>
      <c r="AE969" s="228" t="str">
        <f>IFERROR(IF(BetTable[Sport]="","",#REF!/BetTable[TS]),"")</f>
        <v/>
      </c>
      <c r="AF969" s="227">
        <f>IF(BetTable[Outcome]="Win",BetTable[WBA1-Commission],IF(BetTable[Outcome]="Win Half Stake",(BetTable[Stake]/2)+BetTable[WBA1-Commission]/2,IF(BetTable[Outcome]="Lose Half Stake",BetTable[Stake]/2,IF(BetTable[Outcome]="Lose",0,IF(BetTable[Outcome]="Void",BetTable[Stake],)))))</f>
        <v>0</v>
      </c>
      <c r="AG969" s="227">
        <f>IF(BetTable[Outcome2]="Win",BetTable[WBA2-Commission],IF(BetTable[Outcome2]="Win Half Stake",(BetTable[S2]/2)+BetTable[WBA2-Commission]/2,IF(BetTable[Outcome2]="Lose Half Stake",BetTable[S2]/2,IF(BetTable[Outcome2]="Lose",0,IF(BetTable[Outcome2]="Void",BetTable[S2],)))))</f>
        <v>0</v>
      </c>
      <c r="AH969" s="227">
        <f>IF(BetTable[Outcome3]="Win",BetTable[WBA3-Commission],IF(BetTable[Outcome3]="Win Half Stake",(BetTable[S3]/2)+BetTable[WBA3-Commission]/2,IF(BetTable[Outcome3]="Lose Half Stake",BetTable[S3]/2,IF(BetTable[Outcome3]="Lose",0,IF(BetTable[Outcome3]="Void",BetTable[S3],)))))</f>
        <v>0</v>
      </c>
      <c r="AI969" s="231">
        <f>IF(BetTable[Outcome]="",AI968,BetTable[Result]+AI968)</f>
        <v>1325.8442499999999</v>
      </c>
      <c r="AJ969" s="223"/>
    </row>
    <row r="970" spans="1:36" x14ac:dyDescent="0.2">
      <c r="A970" s="222" t="s">
        <v>2375</v>
      </c>
      <c r="B970" s="223" t="s">
        <v>200</v>
      </c>
      <c r="C970" s="224" t="s">
        <v>1714</v>
      </c>
      <c r="D970" s="224"/>
      <c r="E970" s="224"/>
      <c r="F970" s="225"/>
      <c r="G970" s="225"/>
      <c r="H970" s="225"/>
      <c r="I970" s="223" t="s">
        <v>2482</v>
      </c>
      <c r="J970" s="226">
        <v>2.0630000000000002</v>
      </c>
      <c r="K970" s="226"/>
      <c r="L970" s="226"/>
      <c r="M970" s="227">
        <v>35</v>
      </c>
      <c r="N970" s="227"/>
      <c r="O970" s="227"/>
      <c r="P970" s="222" t="s">
        <v>791</v>
      </c>
      <c r="Q970" s="222" t="s">
        <v>1842</v>
      </c>
      <c r="R970" s="222" t="s">
        <v>2483</v>
      </c>
      <c r="S970" s="228">
        <v>2.4380885608123501E-2</v>
      </c>
      <c r="T970" s="229" t="s">
        <v>372</v>
      </c>
      <c r="U970" s="229"/>
      <c r="V970" s="229"/>
      <c r="W970" s="230">
        <f>IF(BetTable[Sport]="","",BetTable[Stake]+BetTable[S2]+BetTable[S3])</f>
        <v>35</v>
      </c>
      <c r="X970" s="227">
        <f>IF(BetTable[Odds]="","",(BetTable[WBA1-Commission])-BetTable[TS])</f>
        <v>37.205000000000013</v>
      </c>
      <c r="Y970" s="231">
        <f>IF(BetTable[Outcome]="","",BetTable[WBA1]+BetTable[WBA2]+BetTable[WBA3]-BetTable[TS])</f>
        <v>37.205000000000013</v>
      </c>
      <c r="Z970" s="227">
        <f>(((BetTable[Odds]-1)*BetTable[Stake])*(1-(BetTable[Comm %]))+BetTable[Stake])</f>
        <v>72.205000000000013</v>
      </c>
      <c r="AA970" s="227">
        <f>(((BetTable[O2]-1)*BetTable[S2])*(1-(BetTable[C% 2]))+BetTable[S2])</f>
        <v>0</v>
      </c>
      <c r="AB970" s="227">
        <f>(((BetTable[O3]-1)*BetTable[S3])*(1-(BetTable[C% 3]))+BetTable[S3])</f>
        <v>0</v>
      </c>
      <c r="AC970" s="228">
        <f>IFERROR(IF(BetTable[Sport]="","",BetTable[R1]/BetTable[TS]),"")</f>
        <v>1.0630000000000004</v>
      </c>
      <c r="AD970" s="228" t="str">
        <f>IF(BetTable[O2]="","",#REF!/BetTable[TS])</f>
        <v/>
      </c>
      <c r="AE970" s="228" t="str">
        <f>IFERROR(IF(BetTable[Sport]="","",#REF!/BetTable[TS]),"")</f>
        <v/>
      </c>
      <c r="AF970" s="227">
        <f>IF(BetTable[Outcome]="Win",BetTable[WBA1-Commission],IF(BetTable[Outcome]="Win Half Stake",(BetTable[Stake]/2)+BetTable[WBA1-Commission]/2,IF(BetTable[Outcome]="Lose Half Stake",BetTable[Stake]/2,IF(BetTable[Outcome]="Lose",0,IF(BetTable[Outcome]="Void",BetTable[Stake],)))))</f>
        <v>72.205000000000013</v>
      </c>
      <c r="AG970" s="227">
        <f>IF(BetTable[Outcome2]="Win",BetTable[WBA2-Commission],IF(BetTable[Outcome2]="Win Half Stake",(BetTable[S2]/2)+BetTable[WBA2-Commission]/2,IF(BetTable[Outcome2]="Lose Half Stake",BetTable[S2]/2,IF(BetTable[Outcome2]="Lose",0,IF(BetTable[Outcome2]="Void",BetTable[S2],)))))</f>
        <v>0</v>
      </c>
      <c r="AH970" s="227">
        <f>IF(BetTable[Outcome3]="Win",BetTable[WBA3-Commission],IF(BetTable[Outcome3]="Win Half Stake",(BetTable[S3]/2)+BetTable[WBA3-Commission]/2,IF(BetTable[Outcome3]="Lose Half Stake",BetTable[S3]/2,IF(BetTable[Outcome3]="Lose",0,IF(BetTable[Outcome3]="Void",BetTable[S3],)))))</f>
        <v>0</v>
      </c>
      <c r="AI970" s="231">
        <f>IF(BetTable[Outcome]="",AI969,BetTable[Result]+AI969)</f>
        <v>1363.0492499999998</v>
      </c>
      <c r="AJ970" s="223"/>
    </row>
    <row r="971" spans="1:36" x14ac:dyDescent="0.2">
      <c r="A971" s="222" t="s">
        <v>2375</v>
      </c>
      <c r="B971" s="223" t="s">
        <v>200</v>
      </c>
      <c r="C971" s="224" t="s">
        <v>1714</v>
      </c>
      <c r="D971" s="224"/>
      <c r="E971" s="224"/>
      <c r="F971" s="225"/>
      <c r="G971" s="225"/>
      <c r="H971" s="225"/>
      <c r="I971" s="223" t="s">
        <v>2484</v>
      </c>
      <c r="J971" s="226">
        <v>1.94</v>
      </c>
      <c r="K971" s="226"/>
      <c r="L971" s="226"/>
      <c r="M971" s="227">
        <v>40</v>
      </c>
      <c r="N971" s="227"/>
      <c r="O971" s="227"/>
      <c r="P971" s="222" t="s">
        <v>360</v>
      </c>
      <c r="Q971" s="222" t="s">
        <v>1842</v>
      </c>
      <c r="R971" s="222" t="s">
        <v>2485</v>
      </c>
      <c r="S971" s="228">
        <v>2.4377700470494802E-2</v>
      </c>
      <c r="T971" s="229" t="s">
        <v>372</v>
      </c>
      <c r="U971" s="229"/>
      <c r="V971" s="229"/>
      <c r="W971" s="230">
        <f>IF(BetTable[Sport]="","",BetTable[Stake]+BetTable[S2]+BetTable[S3])</f>
        <v>40</v>
      </c>
      <c r="X971" s="227">
        <f>IF(BetTable[Odds]="","",(BetTable[WBA1-Commission])-BetTable[TS])</f>
        <v>37.599999999999994</v>
      </c>
      <c r="Y971" s="231">
        <f>IF(BetTable[Outcome]="","",BetTable[WBA1]+BetTable[WBA2]+BetTable[WBA3]-BetTable[TS])</f>
        <v>37.599999999999994</v>
      </c>
      <c r="Z971" s="227">
        <f>(((BetTable[Odds]-1)*BetTable[Stake])*(1-(BetTable[Comm %]))+BetTable[Stake])</f>
        <v>77.599999999999994</v>
      </c>
      <c r="AA971" s="227">
        <f>(((BetTable[O2]-1)*BetTable[S2])*(1-(BetTable[C% 2]))+BetTable[S2])</f>
        <v>0</v>
      </c>
      <c r="AB971" s="227">
        <f>(((BetTable[O3]-1)*BetTable[S3])*(1-(BetTable[C% 3]))+BetTable[S3])</f>
        <v>0</v>
      </c>
      <c r="AC971" s="228">
        <f>IFERROR(IF(BetTable[Sport]="","",BetTable[R1]/BetTable[TS]),"")</f>
        <v>0.93999999999999984</v>
      </c>
      <c r="AD971" s="228" t="str">
        <f>IF(BetTable[O2]="","",#REF!/BetTable[TS])</f>
        <v/>
      </c>
      <c r="AE971" s="228" t="str">
        <f>IFERROR(IF(BetTable[Sport]="","",#REF!/BetTable[TS]),"")</f>
        <v/>
      </c>
      <c r="AF971" s="227">
        <f>IF(BetTable[Outcome]="Win",BetTable[WBA1-Commission],IF(BetTable[Outcome]="Win Half Stake",(BetTable[Stake]/2)+BetTable[WBA1-Commission]/2,IF(BetTable[Outcome]="Lose Half Stake",BetTable[Stake]/2,IF(BetTable[Outcome]="Lose",0,IF(BetTable[Outcome]="Void",BetTable[Stake],)))))</f>
        <v>77.599999999999994</v>
      </c>
      <c r="AG971" s="227">
        <f>IF(BetTable[Outcome2]="Win",BetTable[WBA2-Commission],IF(BetTable[Outcome2]="Win Half Stake",(BetTable[S2]/2)+BetTable[WBA2-Commission]/2,IF(BetTable[Outcome2]="Lose Half Stake",BetTable[S2]/2,IF(BetTable[Outcome2]="Lose",0,IF(BetTable[Outcome2]="Void",BetTable[S2],)))))</f>
        <v>0</v>
      </c>
      <c r="AH971" s="227">
        <f>IF(BetTable[Outcome3]="Win",BetTable[WBA3-Commission],IF(BetTable[Outcome3]="Win Half Stake",(BetTable[S3]/2)+BetTable[WBA3-Commission]/2,IF(BetTable[Outcome3]="Lose Half Stake",BetTable[S3]/2,IF(BetTable[Outcome3]="Lose",0,IF(BetTable[Outcome3]="Void",BetTable[S3],)))))</f>
        <v>0</v>
      </c>
      <c r="AI971" s="231">
        <f>IF(BetTable[Outcome]="",AI970,BetTable[Result]+AI970)</f>
        <v>1400.6492499999997</v>
      </c>
      <c r="AJ971" s="223"/>
    </row>
    <row r="972" spans="1:36" x14ac:dyDescent="0.2">
      <c r="A972" s="222" t="s">
        <v>2375</v>
      </c>
      <c r="B972" s="223" t="s">
        <v>200</v>
      </c>
      <c r="C972" s="224" t="s">
        <v>1714</v>
      </c>
      <c r="D972" s="224"/>
      <c r="E972" s="224"/>
      <c r="F972" s="225"/>
      <c r="G972" s="225"/>
      <c r="H972" s="225"/>
      <c r="I972" s="223" t="s">
        <v>2486</v>
      </c>
      <c r="J972" s="226">
        <v>1.86</v>
      </c>
      <c r="K972" s="226"/>
      <c r="L972" s="226"/>
      <c r="M972" s="227">
        <v>30</v>
      </c>
      <c r="N972" s="227"/>
      <c r="O972" s="227"/>
      <c r="P972" s="222" t="s">
        <v>448</v>
      </c>
      <c r="Q972" s="222" t="s">
        <v>677</v>
      </c>
      <c r="R972" s="222" t="s">
        <v>2487</v>
      </c>
      <c r="S972" s="228">
        <v>1.6643938263487399E-2</v>
      </c>
      <c r="T972" s="229" t="s">
        <v>372</v>
      </c>
      <c r="U972" s="229"/>
      <c r="V972" s="229"/>
      <c r="W972" s="230">
        <f>IF(BetTable[Sport]="","",BetTable[Stake]+BetTable[S2]+BetTable[S3])</f>
        <v>30</v>
      </c>
      <c r="X972" s="227">
        <f>IF(BetTable[Odds]="","",(BetTable[WBA1-Commission])-BetTable[TS])</f>
        <v>25.800000000000004</v>
      </c>
      <c r="Y972" s="231">
        <f>IF(BetTable[Outcome]="","",BetTable[WBA1]+BetTable[WBA2]+BetTable[WBA3]-BetTable[TS])</f>
        <v>25.800000000000004</v>
      </c>
      <c r="Z972" s="227">
        <f>(((BetTable[Odds]-1)*BetTable[Stake])*(1-(BetTable[Comm %]))+BetTable[Stake])</f>
        <v>55.800000000000004</v>
      </c>
      <c r="AA972" s="227">
        <f>(((BetTable[O2]-1)*BetTable[S2])*(1-(BetTable[C% 2]))+BetTable[S2])</f>
        <v>0</v>
      </c>
      <c r="AB972" s="227">
        <f>(((BetTable[O3]-1)*BetTable[S3])*(1-(BetTable[C% 3]))+BetTable[S3])</f>
        <v>0</v>
      </c>
      <c r="AC972" s="228">
        <f>IFERROR(IF(BetTable[Sport]="","",BetTable[R1]/BetTable[TS]),"")</f>
        <v>0.8600000000000001</v>
      </c>
      <c r="AD972" s="228" t="str">
        <f>IF(BetTable[O2]="","",#REF!/BetTable[TS])</f>
        <v/>
      </c>
      <c r="AE972" s="228" t="str">
        <f>IFERROR(IF(BetTable[Sport]="","",#REF!/BetTable[TS]),"")</f>
        <v/>
      </c>
      <c r="AF972" s="227">
        <f>IF(BetTable[Outcome]="Win",BetTable[WBA1-Commission],IF(BetTable[Outcome]="Win Half Stake",(BetTable[Stake]/2)+BetTable[WBA1-Commission]/2,IF(BetTable[Outcome]="Lose Half Stake",BetTable[Stake]/2,IF(BetTable[Outcome]="Lose",0,IF(BetTable[Outcome]="Void",BetTable[Stake],)))))</f>
        <v>55.800000000000004</v>
      </c>
      <c r="AG972" s="227">
        <f>IF(BetTable[Outcome2]="Win",BetTable[WBA2-Commission],IF(BetTable[Outcome2]="Win Half Stake",(BetTable[S2]/2)+BetTable[WBA2-Commission]/2,IF(BetTable[Outcome2]="Lose Half Stake",BetTable[S2]/2,IF(BetTable[Outcome2]="Lose",0,IF(BetTable[Outcome2]="Void",BetTable[S2],)))))</f>
        <v>0</v>
      </c>
      <c r="AH972" s="227">
        <f>IF(BetTable[Outcome3]="Win",BetTable[WBA3-Commission],IF(BetTable[Outcome3]="Win Half Stake",(BetTable[S3]/2)+BetTable[WBA3-Commission]/2,IF(BetTable[Outcome3]="Lose Half Stake",BetTable[S3]/2,IF(BetTable[Outcome3]="Lose",0,IF(BetTable[Outcome3]="Void",BetTable[S3],)))))</f>
        <v>0</v>
      </c>
      <c r="AI972" s="231">
        <f>IF(BetTable[Outcome]="",AI971,BetTable[Result]+AI971)</f>
        <v>1426.4492499999997</v>
      </c>
      <c r="AJ972" s="223"/>
    </row>
    <row r="973" spans="1:36" x14ac:dyDescent="0.2">
      <c r="A973" s="222" t="s">
        <v>2375</v>
      </c>
      <c r="B973" s="223" t="s">
        <v>200</v>
      </c>
      <c r="C973" s="224" t="s">
        <v>1714</v>
      </c>
      <c r="D973" s="224"/>
      <c r="E973" s="224"/>
      <c r="F973" s="225"/>
      <c r="G973" s="225"/>
      <c r="H973" s="225"/>
      <c r="I973" s="223" t="s">
        <v>2488</v>
      </c>
      <c r="J973" s="226">
        <v>1.76</v>
      </c>
      <c r="K973" s="226"/>
      <c r="L973" s="226"/>
      <c r="M973" s="227">
        <v>56</v>
      </c>
      <c r="N973" s="227"/>
      <c r="O973" s="227"/>
      <c r="P973" s="222" t="s">
        <v>476</v>
      </c>
      <c r="Q973" s="222" t="s">
        <v>677</v>
      </c>
      <c r="R973" s="222" t="s">
        <v>2489</v>
      </c>
      <c r="S973" s="228">
        <v>2.7727070164743201E-2</v>
      </c>
      <c r="T973" s="229" t="s">
        <v>372</v>
      </c>
      <c r="U973" s="229"/>
      <c r="V973" s="229"/>
      <c r="W973" s="230">
        <f>IF(BetTable[Sport]="","",BetTable[Stake]+BetTable[S2]+BetTable[S3])</f>
        <v>56</v>
      </c>
      <c r="X973" s="227">
        <f>IF(BetTable[Odds]="","",(BetTable[WBA1-Commission])-BetTable[TS])</f>
        <v>42.56</v>
      </c>
      <c r="Y973" s="231">
        <f>IF(BetTable[Outcome]="","",BetTable[WBA1]+BetTable[WBA2]+BetTable[WBA3]-BetTable[TS])</f>
        <v>42.56</v>
      </c>
      <c r="Z973" s="227">
        <f>(((BetTable[Odds]-1)*BetTable[Stake])*(1-(BetTable[Comm %]))+BetTable[Stake])</f>
        <v>98.56</v>
      </c>
      <c r="AA973" s="227">
        <f>(((BetTable[O2]-1)*BetTable[S2])*(1-(BetTable[C% 2]))+BetTable[S2])</f>
        <v>0</v>
      </c>
      <c r="AB973" s="227">
        <f>(((BetTable[O3]-1)*BetTable[S3])*(1-(BetTable[C% 3]))+BetTable[S3])</f>
        <v>0</v>
      </c>
      <c r="AC973" s="228">
        <f>IFERROR(IF(BetTable[Sport]="","",BetTable[R1]/BetTable[TS]),"")</f>
        <v>0.76</v>
      </c>
      <c r="AD973" s="228" t="str">
        <f>IF(BetTable[O2]="","",#REF!/BetTable[TS])</f>
        <v/>
      </c>
      <c r="AE973" s="228" t="str">
        <f>IFERROR(IF(BetTable[Sport]="","",#REF!/BetTable[TS]),"")</f>
        <v/>
      </c>
      <c r="AF973" s="227">
        <f>IF(BetTable[Outcome]="Win",BetTable[WBA1-Commission],IF(BetTable[Outcome]="Win Half Stake",(BetTable[Stake]/2)+BetTable[WBA1-Commission]/2,IF(BetTable[Outcome]="Lose Half Stake",BetTable[Stake]/2,IF(BetTable[Outcome]="Lose",0,IF(BetTable[Outcome]="Void",BetTable[Stake],)))))</f>
        <v>98.56</v>
      </c>
      <c r="AG973" s="227">
        <f>IF(BetTable[Outcome2]="Win",BetTable[WBA2-Commission],IF(BetTable[Outcome2]="Win Half Stake",(BetTable[S2]/2)+BetTable[WBA2-Commission]/2,IF(BetTable[Outcome2]="Lose Half Stake",BetTable[S2]/2,IF(BetTable[Outcome2]="Lose",0,IF(BetTable[Outcome2]="Void",BetTable[S2],)))))</f>
        <v>0</v>
      </c>
      <c r="AH973" s="227">
        <f>IF(BetTable[Outcome3]="Win",BetTable[WBA3-Commission],IF(BetTable[Outcome3]="Win Half Stake",(BetTable[S3]/2)+BetTable[WBA3-Commission]/2,IF(BetTable[Outcome3]="Lose Half Stake",BetTable[S3]/2,IF(BetTable[Outcome3]="Lose",0,IF(BetTable[Outcome3]="Void",BetTable[S3],)))))</f>
        <v>0</v>
      </c>
      <c r="AI973" s="231">
        <f>IF(BetTable[Outcome]="",AI972,BetTable[Result]+AI972)</f>
        <v>1469.0092499999996</v>
      </c>
      <c r="AJ973" s="223"/>
    </row>
    <row r="974" spans="1:36" x14ac:dyDescent="0.2">
      <c r="A974" s="222" t="s">
        <v>2375</v>
      </c>
      <c r="B974" s="223" t="s">
        <v>7</v>
      </c>
      <c r="C974" s="224" t="s">
        <v>1714</v>
      </c>
      <c r="D974" s="224"/>
      <c r="E974" s="224"/>
      <c r="F974" s="225"/>
      <c r="G974" s="225"/>
      <c r="H974" s="225"/>
      <c r="I974" s="223" t="s">
        <v>2490</v>
      </c>
      <c r="J974" s="226">
        <v>2.02</v>
      </c>
      <c r="K974" s="226"/>
      <c r="L974" s="226"/>
      <c r="M974" s="227">
        <v>37</v>
      </c>
      <c r="N974" s="227"/>
      <c r="O974" s="227"/>
      <c r="P974" s="222" t="s">
        <v>2491</v>
      </c>
      <c r="Q974" s="222" t="s">
        <v>503</v>
      </c>
      <c r="R974" s="222" t="s">
        <v>2492</v>
      </c>
      <c r="S974" s="228">
        <v>3.2913850632158501E-2</v>
      </c>
      <c r="T974" s="229" t="s">
        <v>382</v>
      </c>
      <c r="U974" s="229"/>
      <c r="V974" s="229"/>
      <c r="W974" s="230">
        <f>IF(BetTable[Sport]="","",BetTable[Stake]+BetTable[S2]+BetTable[S3])</f>
        <v>37</v>
      </c>
      <c r="X974" s="227">
        <f>IF(BetTable[Odds]="","",(BetTable[WBA1-Commission])-BetTable[TS])</f>
        <v>37.740000000000009</v>
      </c>
      <c r="Y974" s="231">
        <f>IF(BetTable[Outcome]="","",BetTable[WBA1]+BetTable[WBA2]+BetTable[WBA3]-BetTable[TS])</f>
        <v>-37</v>
      </c>
      <c r="Z974" s="227">
        <f>(((BetTable[Odds]-1)*BetTable[Stake])*(1-(BetTable[Comm %]))+BetTable[Stake])</f>
        <v>74.740000000000009</v>
      </c>
      <c r="AA974" s="227">
        <f>(((BetTable[O2]-1)*BetTable[S2])*(1-(BetTable[C% 2]))+BetTable[S2])</f>
        <v>0</v>
      </c>
      <c r="AB974" s="227">
        <f>(((BetTable[O3]-1)*BetTable[S3])*(1-(BetTable[C% 3]))+BetTable[S3])</f>
        <v>0</v>
      </c>
      <c r="AC974" s="228">
        <f>IFERROR(IF(BetTable[Sport]="","",BetTable[R1]/BetTable[TS]),"")</f>
        <v>1.0200000000000002</v>
      </c>
      <c r="AD974" s="228" t="str">
        <f>IF(BetTable[O2]="","",#REF!/BetTable[TS])</f>
        <v/>
      </c>
      <c r="AE974" s="228" t="str">
        <f>IFERROR(IF(BetTable[Sport]="","",#REF!/BetTable[TS]),"")</f>
        <v/>
      </c>
      <c r="AF974" s="227">
        <f>IF(BetTable[Outcome]="Win",BetTable[WBA1-Commission],IF(BetTable[Outcome]="Win Half Stake",(BetTable[Stake]/2)+BetTable[WBA1-Commission]/2,IF(BetTable[Outcome]="Lose Half Stake",BetTable[Stake]/2,IF(BetTable[Outcome]="Lose",0,IF(BetTable[Outcome]="Void",BetTable[Stake],)))))</f>
        <v>0</v>
      </c>
      <c r="AG974" s="227">
        <f>IF(BetTable[Outcome2]="Win",BetTable[WBA2-Commission],IF(BetTable[Outcome2]="Win Half Stake",(BetTable[S2]/2)+BetTable[WBA2-Commission]/2,IF(BetTable[Outcome2]="Lose Half Stake",BetTable[S2]/2,IF(BetTable[Outcome2]="Lose",0,IF(BetTable[Outcome2]="Void",BetTable[S2],)))))</f>
        <v>0</v>
      </c>
      <c r="AH974" s="227">
        <f>IF(BetTable[Outcome3]="Win",BetTable[WBA3-Commission],IF(BetTable[Outcome3]="Win Half Stake",(BetTable[S3]/2)+BetTable[WBA3-Commission]/2,IF(BetTable[Outcome3]="Lose Half Stake",BetTable[S3]/2,IF(BetTable[Outcome3]="Lose",0,IF(BetTable[Outcome3]="Void",BetTable[S3],)))))</f>
        <v>0</v>
      </c>
      <c r="AI974" s="231">
        <f>IF(BetTable[Outcome]="",AI973,BetTable[Result]+AI973)</f>
        <v>1432.0092499999996</v>
      </c>
      <c r="AJ974" s="223"/>
    </row>
    <row r="975" spans="1:36" x14ac:dyDescent="0.2">
      <c r="A975" s="222" t="s">
        <v>2375</v>
      </c>
      <c r="B975" s="223" t="s">
        <v>200</v>
      </c>
      <c r="C975" s="224" t="s">
        <v>1714</v>
      </c>
      <c r="D975" s="224"/>
      <c r="E975" s="224"/>
      <c r="F975" s="225"/>
      <c r="G975" s="225"/>
      <c r="H975" s="225"/>
      <c r="I975" s="223" t="s">
        <v>2493</v>
      </c>
      <c r="J975" s="226">
        <v>1.94</v>
      </c>
      <c r="K975" s="226"/>
      <c r="L975" s="226"/>
      <c r="M975" s="227">
        <v>31</v>
      </c>
      <c r="N975" s="227"/>
      <c r="O975" s="227"/>
      <c r="P975" s="222" t="s">
        <v>354</v>
      </c>
      <c r="Q975" s="222" t="s">
        <v>495</v>
      </c>
      <c r="R975" s="222" t="s">
        <v>2494</v>
      </c>
      <c r="S975" s="228">
        <v>1.9086375242586801E-2</v>
      </c>
      <c r="T975" s="229" t="s">
        <v>372</v>
      </c>
      <c r="U975" s="229"/>
      <c r="V975" s="229"/>
      <c r="W975" s="230">
        <f>IF(BetTable[Sport]="","",BetTable[Stake]+BetTable[S2]+BetTable[S3])</f>
        <v>31</v>
      </c>
      <c r="X975" s="227">
        <f>IF(BetTable[Odds]="","",(BetTable[WBA1-Commission])-BetTable[TS])</f>
        <v>29.14</v>
      </c>
      <c r="Y975" s="231">
        <f>IF(BetTable[Outcome]="","",BetTable[WBA1]+BetTable[WBA2]+BetTable[WBA3]-BetTable[TS])</f>
        <v>29.14</v>
      </c>
      <c r="Z975" s="227">
        <f>(((BetTable[Odds]-1)*BetTable[Stake])*(1-(BetTable[Comm %]))+BetTable[Stake])</f>
        <v>60.14</v>
      </c>
      <c r="AA975" s="227">
        <f>(((BetTable[O2]-1)*BetTable[S2])*(1-(BetTable[C% 2]))+BetTable[S2])</f>
        <v>0</v>
      </c>
      <c r="AB975" s="227">
        <f>(((BetTable[O3]-1)*BetTable[S3])*(1-(BetTable[C% 3]))+BetTable[S3])</f>
        <v>0</v>
      </c>
      <c r="AC975" s="228">
        <f>IFERROR(IF(BetTable[Sport]="","",BetTable[R1]/BetTable[TS]),"")</f>
        <v>0.94000000000000006</v>
      </c>
      <c r="AD975" s="228" t="str">
        <f>IF(BetTable[O2]="","",#REF!/BetTable[TS])</f>
        <v/>
      </c>
      <c r="AE975" s="228" t="str">
        <f>IFERROR(IF(BetTable[Sport]="","",#REF!/BetTable[TS]),"")</f>
        <v/>
      </c>
      <c r="AF975" s="227">
        <f>IF(BetTable[Outcome]="Win",BetTable[WBA1-Commission],IF(BetTable[Outcome]="Win Half Stake",(BetTable[Stake]/2)+BetTable[WBA1-Commission]/2,IF(BetTable[Outcome]="Lose Half Stake",BetTable[Stake]/2,IF(BetTable[Outcome]="Lose",0,IF(BetTable[Outcome]="Void",BetTable[Stake],)))))</f>
        <v>60.14</v>
      </c>
      <c r="AG975" s="227">
        <f>IF(BetTable[Outcome2]="Win",BetTable[WBA2-Commission],IF(BetTable[Outcome2]="Win Half Stake",(BetTable[S2]/2)+BetTable[WBA2-Commission]/2,IF(BetTable[Outcome2]="Lose Half Stake",BetTable[S2]/2,IF(BetTable[Outcome2]="Lose",0,IF(BetTable[Outcome2]="Void",BetTable[S2],)))))</f>
        <v>0</v>
      </c>
      <c r="AH975" s="227">
        <f>IF(BetTable[Outcome3]="Win",BetTable[WBA3-Commission],IF(BetTable[Outcome3]="Win Half Stake",(BetTable[S3]/2)+BetTable[WBA3-Commission]/2,IF(BetTable[Outcome3]="Lose Half Stake",BetTable[S3]/2,IF(BetTable[Outcome3]="Lose",0,IF(BetTable[Outcome3]="Void",BetTable[S3],)))))</f>
        <v>0</v>
      </c>
      <c r="AI975" s="231">
        <f>IF(BetTable[Outcome]="",AI974,BetTable[Result]+AI974)</f>
        <v>1461.1492499999997</v>
      </c>
      <c r="AJ975" s="223"/>
    </row>
    <row r="976" spans="1:36" x14ac:dyDescent="0.2">
      <c r="A976" s="222" t="s">
        <v>2375</v>
      </c>
      <c r="B976" s="223" t="s">
        <v>9</v>
      </c>
      <c r="C976" s="224" t="s">
        <v>216</v>
      </c>
      <c r="D976" s="224"/>
      <c r="E976" s="224"/>
      <c r="F976" s="225"/>
      <c r="G976" s="225"/>
      <c r="H976" s="225"/>
      <c r="I976" s="223" t="s">
        <v>2495</v>
      </c>
      <c r="J976" s="226">
        <v>1.952</v>
      </c>
      <c r="K976" s="226"/>
      <c r="L976" s="226"/>
      <c r="M976" s="227">
        <v>52</v>
      </c>
      <c r="N976" s="227"/>
      <c r="O976" s="227"/>
      <c r="P976" s="222" t="s">
        <v>791</v>
      </c>
      <c r="Q976" s="222" t="s">
        <v>495</v>
      </c>
      <c r="R976" s="222" t="s">
        <v>2496</v>
      </c>
      <c r="S976" s="228">
        <v>5.6944178628389103E-2</v>
      </c>
      <c r="T976" s="229" t="s">
        <v>372</v>
      </c>
      <c r="U976" s="229"/>
      <c r="V976" s="229"/>
      <c r="W976" s="230">
        <f>IF(BetTable[Sport]="","",BetTable[Stake]+BetTable[S2]+BetTable[S3])</f>
        <v>52</v>
      </c>
      <c r="X976" s="227">
        <f>IF(BetTable[Odds]="","",(BetTable[WBA1-Commission])-BetTable[TS])</f>
        <v>49.503999999999991</v>
      </c>
      <c r="Y976" s="231">
        <f>IF(BetTable[Outcome]="","",BetTable[WBA1]+BetTable[WBA2]+BetTable[WBA3]-BetTable[TS])</f>
        <v>49.503999999999991</v>
      </c>
      <c r="Z976" s="227">
        <f>(((BetTable[Odds]-1)*BetTable[Stake])*(1-(BetTable[Comm %]))+BetTable[Stake])</f>
        <v>101.50399999999999</v>
      </c>
      <c r="AA976" s="227">
        <f>(((BetTable[O2]-1)*BetTable[S2])*(1-(BetTable[C% 2]))+BetTable[S2])</f>
        <v>0</v>
      </c>
      <c r="AB976" s="227">
        <f>(((BetTable[O3]-1)*BetTable[S3])*(1-(BetTable[C% 3]))+BetTable[S3])</f>
        <v>0</v>
      </c>
      <c r="AC976" s="228">
        <f>IFERROR(IF(BetTable[Sport]="","",BetTable[R1]/BetTable[TS]),"")</f>
        <v>0.95199999999999985</v>
      </c>
      <c r="AD976" s="228" t="str">
        <f>IF(BetTable[O2]="","",#REF!/BetTable[TS])</f>
        <v/>
      </c>
      <c r="AE976" s="228" t="str">
        <f>IFERROR(IF(BetTable[Sport]="","",#REF!/BetTable[TS]),"")</f>
        <v/>
      </c>
      <c r="AF976" s="227">
        <f>IF(BetTable[Outcome]="Win",BetTable[WBA1-Commission],IF(BetTable[Outcome]="Win Half Stake",(BetTable[Stake]/2)+BetTable[WBA1-Commission]/2,IF(BetTable[Outcome]="Lose Half Stake",BetTable[Stake]/2,IF(BetTable[Outcome]="Lose",0,IF(BetTable[Outcome]="Void",BetTable[Stake],)))))</f>
        <v>101.50399999999999</v>
      </c>
      <c r="AG976" s="227">
        <f>IF(BetTable[Outcome2]="Win",BetTable[WBA2-Commission],IF(BetTable[Outcome2]="Win Half Stake",(BetTable[S2]/2)+BetTable[WBA2-Commission]/2,IF(BetTable[Outcome2]="Lose Half Stake",BetTable[S2]/2,IF(BetTable[Outcome2]="Lose",0,IF(BetTable[Outcome2]="Void",BetTable[S2],)))))</f>
        <v>0</v>
      </c>
      <c r="AH976" s="227">
        <f>IF(BetTable[Outcome3]="Win",BetTable[WBA3-Commission],IF(BetTable[Outcome3]="Win Half Stake",(BetTable[S3]/2)+BetTable[WBA3-Commission]/2,IF(BetTable[Outcome3]="Lose Half Stake",BetTable[S3]/2,IF(BetTable[Outcome3]="Lose",0,IF(BetTable[Outcome3]="Void",BetTable[S3],)))))</f>
        <v>0</v>
      </c>
      <c r="AI976" s="231">
        <f>IF(BetTable[Outcome]="",AI975,BetTable[Result]+AI975)</f>
        <v>1510.6532499999996</v>
      </c>
      <c r="AJ976" s="223"/>
    </row>
    <row r="977" spans="1:36" x14ac:dyDescent="0.2">
      <c r="A977" s="222" t="s">
        <v>2375</v>
      </c>
      <c r="B977" s="223" t="s">
        <v>200</v>
      </c>
      <c r="C977" s="224" t="s">
        <v>1714</v>
      </c>
      <c r="D977" s="224"/>
      <c r="E977" s="224"/>
      <c r="F977" s="225"/>
      <c r="G977" s="225"/>
      <c r="H977" s="225"/>
      <c r="I977" s="223" t="s">
        <v>2497</v>
      </c>
      <c r="J977" s="226">
        <v>1.6</v>
      </c>
      <c r="K977" s="226"/>
      <c r="L977" s="226"/>
      <c r="M977" s="227">
        <v>69</v>
      </c>
      <c r="N977" s="227"/>
      <c r="O977" s="227"/>
      <c r="P977" s="222" t="s">
        <v>435</v>
      </c>
      <c r="Q977" s="222" t="s">
        <v>836</v>
      </c>
      <c r="R977" s="222" t="s">
        <v>2498</v>
      </c>
      <c r="S977" s="228">
        <v>2.7664682636704501E-2</v>
      </c>
      <c r="T977" s="229" t="s">
        <v>372</v>
      </c>
      <c r="U977" s="229"/>
      <c r="V977" s="229"/>
      <c r="W977" s="230">
        <f>IF(BetTable[Sport]="","",BetTable[Stake]+BetTable[S2]+BetTable[S3])</f>
        <v>69</v>
      </c>
      <c r="X977" s="227">
        <f>IF(BetTable[Odds]="","",(BetTable[WBA1-Commission])-BetTable[TS])</f>
        <v>41.400000000000006</v>
      </c>
      <c r="Y977" s="231">
        <f>IF(BetTable[Outcome]="","",BetTable[WBA1]+BetTable[WBA2]+BetTable[WBA3]-BetTable[TS])</f>
        <v>41.400000000000006</v>
      </c>
      <c r="Z977" s="227">
        <f>(((BetTable[Odds]-1)*BetTable[Stake])*(1-(BetTable[Comm %]))+BetTable[Stake])</f>
        <v>110.4</v>
      </c>
      <c r="AA977" s="227">
        <f>(((BetTable[O2]-1)*BetTable[S2])*(1-(BetTable[C% 2]))+BetTable[S2])</f>
        <v>0</v>
      </c>
      <c r="AB977" s="227">
        <f>(((BetTable[O3]-1)*BetTable[S3])*(1-(BetTable[C% 3]))+BetTable[S3])</f>
        <v>0</v>
      </c>
      <c r="AC977" s="228">
        <f>IFERROR(IF(BetTable[Sport]="","",BetTable[R1]/BetTable[TS]),"")</f>
        <v>0.60000000000000009</v>
      </c>
      <c r="AD977" s="228" t="str">
        <f>IF(BetTable[O2]="","",#REF!/BetTable[TS])</f>
        <v/>
      </c>
      <c r="AE977" s="228" t="str">
        <f>IFERROR(IF(BetTable[Sport]="","",#REF!/BetTable[TS]),"")</f>
        <v/>
      </c>
      <c r="AF977" s="227">
        <f>IF(BetTable[Outcome]="Win",BetTable[WBA1-Commission],IF(BetTable[Outcome]="Win Half Stake",(BetTable[Stake]/2)+BetTable[WBA1-Commission]/2,IF(BetTable[Outcome]="Lose Half Stake",BetTable[Stake]/2,IF(BetTable[Outcome]="Lose",0,IF(BetTable[Outcome]="Void",BetTable[Stake],)))))</f>
        <v>110.4</v>
      </c>
      <c r="AG977" s="227">
        <f>IF(BetTable[Outcome2]="Win",BetTable[WBA2-Commission],IF(BetTable[Outcome2]="Win Half Stake",(BetTable[S2]/2)+BetTable[WBA2-Commission]/2,IF(BetTable[Outcome2]="Lose Half Stake",BetTable[S2]/2,IF(BetTable[Outcome2]="Lose",0,IF(BetTable[Outcome2]="Void",BetTable[S2],)))))</f>
        <v>0</v>
      </c>
      <c r="AH977" s="227">
        <f>IF(BetTable[Outcome3]="Win",BetTable[WBA3-Commission],IF(BetTable[Outcome3]="Win Half Stake",(BetTable[S3]/2)+BetTable[WBA3-Commission]/2,IF(BetTable[Outcome3]="Lose Half Stake",BetTable[S3]/2,IF(BetTable[Outcome3]="Lose",0,IF(BetTable[Outcome3]="Void",BetTable[S3],)))))</f>
        <v>0</v>
      </c>
      <c r="AI977" s="231">
        <f>IF(BetTable[Outcome]="",AI976,BetTable[Result]+AI976)</f>
        <v>1552.0532499999997</v>
      </c>
      <c r="AJ977" s="223"/>
    </row>
    <row r="978" spans="1:36" x14ac:dyDescent="0.2">
      <c r="A978" s="222" t="s">
        <v>2375</v>
      </c>
      <c r="B978" s="223" t="s">
        <v>8</v>
      </c>
      <c r="C978" s="224" t="s">
        <v>216</v>
      </c>
      <c r="D978" s="224"/>
      <c r="E978" s="224"/>
      <c r="F978" s="225"/>
      <c r="G978" s="225"/>
      <c r="H978" s="225"/>
      <c r="I978" s="223" t="s">
        <v>2499</v>
      </c>
      <c r="J978" s="226">
        <v>2.15</v>
      </c>
      <c r="K978" s="226"/>
      <c r="L978" s="226"/>
      <c r="M978" s="227">
        <v>25</v>
      </c>
      <c r="N978" s="227"/>
      <c r="O978" s="227"/>
      <c r="P978" s="222" t="s">
        <v>428</v>
      </c>
      <c r="Q978" s="222" t="s">
        <v>1171</v>
      </c>
      <c r="R978" s="222" t="s">
        <v>2500</v>
      </c>
      <c r="S978" s="228">
        <v>5.06114956142866E-2</v>
      </c>
      <c r="T978" s="229" t="s">
        <v>382</v>
      </c>
      <c r="U978" s="229"/>
      <c r="V978" s="229"/>
      <c r="W978" s="230">
        <f>IF(BetTable[Sport]="","",BetTable[Stake]+BetTable[S2]+BetTable[S3])</f>
        <v>25</v>
      </c>
      <c r="X978" s="227">
        <f>IF(BetTable[Odds]="","",(BetTable[WBA1-Commission])-BetTable[TS])</f>
        <v>28.75</v>
      </c>
      <c r="Y978" s="231">
        <f>IF(BetTable[Outcome]="","",BetTable[WBA1]+BetTable[WBA2]+BetTable[WBA3]-BetTable[TS])</f>
        <v>-25</v>
      </c>
      <c r="Z978" s="227">
        <f>(((BetTable[Odds]-1)*BetTable[Stake])*(1-(BetTable[Comm %]))+BetTable[Stake])</f>
        <v>53.75</v>
      </c>
      <c r="AA978" s="227">
        <f>(((BetTable[O2]-1)*BetTable[S2])*(1-(BetTable[C% 2]))+BetTable[S2])</f>
        <v>0</v>
      </c>
      <c r="AB978" s="227">
        <f>(((BetTable[O3]-1)*BetTable[S3])*(1-(BetTable[C% 3]))+BetTable[S3])</f>
        <v>0</v>
      </c>
      <c r="AC978" s="228">
        <f>IFERROR(IF(BetTable[Sport]="","",BetTable[R1]/BetTable[TS]),"")</f>
        <v>1.1499999999999999</v>
      </c>
      <c r="AD978" s="228" t="str">
        <f>IF(BetTable[O2]="","",#REF!/BetTable[TS])</f>
        <v/>
      </c>
      <c r="AE978" s="228" t="str">
        <f>IFERROR(IF(BetTable[Sport]="","",#REF!/BetTable[TS]),"")</f>
        <v/>
      </c>
      <c r="AF978" s="227">
        <f>IF(BetTable[Outcome]="Win",BetTable[WBA1-Commission],IF(BetTable[Outcome]="Win Half Stake",(BetTable[Stake]/2)+BetTable[WBA1-Commission]/2,IF(BetTable[Outcome]="Lose Half Stake",BetTable[Stake]/2,IF(BetTable[Outcome]="Lose",0,IF(BetTable[Outcome]="Void",BetTable[Stake],)))))</f>
        <v>0</v>
      </c>
      <c r="AG978" s="227">
        <f>IF(BetTable[Outcome2]="Win",BetTable[WBA2-Commission],IF(BetTable[Outcome2]="Win Half Stake",(BetTable[S2]/2)+BetTable[WBA2-Commission]/2,IF(BetTable[Outcome2]="Lose Half Stake",BetTable[S2]/2,IF(BetTable[Outcome2]="Lose",0,IF(BetTable[Outcome2]="Void",BetTable[S2],)))))</f>
        <v>0</v>
      </c>
      <c r="AH978" s="227">
        <f>IF(BetTable[Outcome3]="Win",BetTable[WBA3-Commission],IF(BetTable[Outcome3]="Win Half Stake",(BetTable[S3]/2)+BetTable[WBA3-Commission]/2,IF(BetTable[Outcome3]="Lose Half Stake",BetTable[S3]/2,IF(BetTable[Outcome3]="Lose",0,IF(BetTable[Outcome3]="Void",BetTable[S3],)))))</f>
        <v>0</v>
      </c>
      <c r="AI978" s="231">
        <f>IF(BetTable[Outcome]="",AI977,BetTable[Result]+AI977)</f>
        <v>1527.0532499999997</v>
      </c>
      <c r="AJ978" s="223"/>
    </row>
    <row r="979" spans="1:36" x14ac:dyDescent="0.2">
      <c r="A979" s="222" t="s">
        <v>2375</v>
      </c>
      <c r="B979" s="223" t="s">
        <v>9</v>
      </c>
      <c r="C979" s="224" t="s">
        <v>216</v>
      </c>
      <c r="D979" s="224"/>
      <c r="E979" s="224"/>
      <c r="F979" s="225"/>
      <c r="G979" s="225"/>
      <c r="H979" s="225"/>
      <c r="I979" s="223" t="s">
        <v>2501</v>
      </c>
      <c r="J979" s="226">
        <v>1.833</v>
      </c>
      <c r="K979" s="226"/>
      <c r="L979" s="226"/>
      <c r="M979" s="227">
        <v>60</v>
      </c>
      <c r="N979" s="227"/>
      <c r="O979" s="227"/>
      <c r="P979" s="222" t="s">
        <v>1052</v>
      </c>
      <c r="Q979" s="222" t="s">
        <v>703</v>
      </c>
      <c r="R979" s="222" t="s">
        <v>2502</v>
      </c>
      <c r="S979" s="228">
        <v>3.1929294649358599E-2</v>
      </c>
      <c r="T979" s="229" t="s">
        <v>382</v>
      </c>
      <c r="U979" s="229"/>
      <c r="V979" s="229"/>
      <c r="W979" s="230">
        <f>IF(BetTable[Sport]="","",BetTable[Stake]+BetTable[S2]+BetTable[S3])</f>
        <v>60</v>
      </c>
      <c r="X979" s="227">
        <f>IF(BetTable[Odds]="","",(BetTable[WBA1-Commission])-BetTable[TS])</f>
        <v>49.97999999999999</v>
      </c>
      <c r="Y979" s="231">
        <f>IF(BetTable[Outcome]="","",BetTable[WBA1]+BetTable[WBA2]+BetTable[WBA3]-BetTable[TS])</f>
        <v>-60</v>
      </c>
      <c r="Z979" s="227">
        <f>(((BetTable[Odds]-1)*BetTable[Stake])*(1-(BetTable[Comm %]))+BetTable[Stake])</f>
        <v>109.97999999999999</v>
      </c>
      <c r="AA979" s="227">
        <f>(((BetTable[O2]-1)*BetTable[S2])*(1-(BetTable[C% 2]))+BetTable[S2])</f>
        <v>0</v>
      </c>
      <c r="AB979" s="227">
        <f>(((BetTable[O3]-1)*BetTable[S3])*(1-(BetTable[C% 3]))+BetTable[S3])</f>
        <v>0</v>
      </c>
      <c r="AC979" s="228">
        <f>IFERROR(IF(BetTable[Sport]="","",BetTable[R1]/BetTable[TS]),"")</f>
        <v>0.83299999999999985</v>
      </c>
      <c r="AD979" s="228" t="str">
        <f>IF(BetTable[O2]="","",#REF!/BetTable[TS])</f>
        <v/>
      </c>
      <c r="AE979" s="228" t="str">
        <f>IFERROR(IF(BetTable[Sport]="","",#REF!/BetTable[TS]),"")</f>
        <v/>
      </c>
      <c r="AF979" s="227">
        <f>IF(BetTable[Outcome]="Win",BetTable[WBA1-Commission],IF(BetTable[Outcome]="Win Half Stake",(BetTable[Stake]/2)+BetTable[WBA1-Commission]/2,IF(BetTable[Outcome]="Lose Half Stake",BetTable[Stake]/2,IF(BetTable[Outcome]="Lose",0,IF(BetTable[Outcome]="Void",BetTable[Stake],)))))</f>
        <v>0</v>
      </c>
      <c r="AG979" s="227">
        <f>IF(BetTable[Outcome2]="Win",BetTable[WBA2-Commission],IF(BetTable[Outcome2]="Win Half Stake",(BetTable[S2]/2)+BetTable[WBA2-Commission]/2,IF(BetTable[Outcome2]="Lose Half Stake",BetTable[S2]/2,IF(BetTable[Outcome2]="Lose",0,IF(BetTable[Outcome2]="Void",BetTable[S2],)))))</f>
        <v>0</v>
      </c>
      <c r="AH979" s="227">
        <f>IF(BetTable[Outcome3]="Win",BetTable[WBA3-Commission],IF(BetTable[Outcome3]="Win Half Stake",(BetTable[S3]/2)+BetTable[WBA3-Commission]/2,IF(BetTable[Outcome3]="Lose Half Stake",BetTable[S3]/2,IF(BetTable[Outcome3]="Lose",0,IF(BetTable[Outcome3]="Void",BetTable[S3],)))))</f>
        <v>0</v>
      </c>
      <c r="AI979" s="231">
        <f>IF(BetTable[Outcome]="",AI978,BetTable[Result]+AI978)</f>
        <v>1467.0532499999997</v>
      </c>
      <c r="AJ979" s="223"/>
    </row>
    <row r="980" spans="1:36" x14ac:dyDescent="0.2">
      <c r="A980" s="222" t="s">
        <v>2375</v>
      </c>
      <c r="B980" s="223" t="s">
        <v>9</v>
      </c>
      <c r="C980" s="224" t="s">
        <v>216</v>
      </c>
      <c r="D980" s="224"/>
      <c r="E980" s="224"/>
      <c r="F980" s="225"/>
      <c r="G980" s="225"/>
      <c r="H980" s="225"/>
      <c r="I980" s="223" t="s">
        <v>2503</v>
      </c>
      <c r="J980" s="226">
        <v>1.7689999999999999</v>
      </c>
      <c r="K980" s="226"/>
      <c r="L980" s="226"/>
      <c r="M980" s="227">
        <v>55</v>
      </c>
      <c r="N980" s="227"/>
      <c r="O980" s="227"/>
      <c r="P980" s="222" t="s">
        <v>469</v>
      </c>
      <c r="Q980" s="222" t="s">
        <v>703</v>
      </c>
      <c r="R980" s="222" t="s">
        <v>2504</v>
      </c>
      <c r="S980" s="228">
        <v>2.72603421108947E-2</v>
      </c>
      <c r="T980" s="229" t="s">
        <v>372</v>
      </c>
      <c r="U980" s="229"/>
      <c r="V980" s="229"/>
      <c r="W980" s="230">
        <f>IF(BetTable[Sport]="","",BetTable[Stake]+BetTable[S2]+BetTable[S3])</f>
        <v>55</v>
      </c>
      <c r="X980" s="227">
        <f>IF(BetTable[Odds]="","",(BetTable[WBA1-Commission])-BetTable[TS])</f>
        <v>42.294999999999987</v>
      </c>
      <c r="Y980" s="231">
        <f>IF(BetTable[Outcome]="","",BetTable[WBA1]+BetTable[WBA2]+BetTable[WBA3]-BetTable[TS])</f>
        <v>42.294999999999987</v>
      </c>
      <c r="Z980" s="227">
        <f>(((BetTable[Odds]-1)*BetTable[Stake])*(1-(BetTable[Comm %]))+BetTable[Stake])</f>
        <v>97.294999999999987</v>
      </c>
      <c r="AA980" s="227">
        <f>(((BetTable[O2]-1)*BetTable[S2])*(1-(BetTable[C% 2]))+BetTable[S2])</f>
        <v>0</v>
      </c>
      <c r="AB980" s="227">
        <f>(((BetTable[O3]-1)*BetTable[S3])*(1-(BetTable[C% 3]))+BetTable[S3])</f>
        <v>0</v>
      </c>
      <c r="AC980" s="228">
        <f>IFERROR(IF(BetTable[Sport]="","",BetTable[R1]/BetTable[TS]),"")</f>
        <v>0.76899999999999979</v>
      </c>
      <c r="AD980" s="228" t="str">
        <f>IF(BetTable[O2]="","",#REF!/BetTable[TS])</f>
        <v/>
      </c>
      <c r="AE980" s="228" t="str">
        <f>IFERROR(IF(BetTable[Sport]="","",#REF!/BetTable[TS]),"")</f>
        <v/>
      </c>
      <c r="AF980" s="227">
        <f>IF(BetTable[Outcome]="Win",BetTable[WBA1-Commission],IF(BetTable[Outcome]="Win Half Stake",(BetTable[Stake]/2)+BetTable[WBA1-Commission]/2,IF(BetTable[Outcome]="Lose Half Stake",BetTable[Stake]/2,IF(BetTable[Outcome]="Lose",0,IF(BetTable[Outcome]="Void",BetTable[Stake],)))))</f>
        <v>97.294999999999987</v>
      </c>
      <c r="AG980" s="227">
        <f>IF(BetTable[Outcome2]="Win",BetTable[WBA2-Commission],IF(BetTable[Outcome2]="Win Half Stake",(BetTable[S2]/2)+BetTable[WBA2-Commission]/2,IF(BetTable[Outcome2]="Lose Half Stake",BetTable[S2]/2,IF(BetTable[Outcome2]="Lose",0,IF(BetTable[Outcome2]="Void",BetTable[S2],)))))</f>
        <v>0</v>
      </c>
      <c r="AH980" s="227">
        <f>IF(BetTable[Outcome3]="Win",BetTable[WBA3-Commission],IF(BetTable[Outcome3]="Win Half Stake",(BetTable[S3]/2)+BetTable[WBA3-Commission]/2,IF(BetTable[Outcome3]="Lose Half Stake",BetTable[S3]/2,IF(BetTable[Outcome3]="Lose",0,IF(BetTable[Outcome3]="Void",BetTable[S3],)))))</f>
        <v>0</v>
      </c>
      <c r="AI980" s="231">
        <f>IF(BetTable[Outcome]="",AI979,BetTable[Result]+AI979)</f>
        <v>1509.3482499999998</v>
      </c>
      <c r="AJ980" s="223"/>
    </row>
    <row r="981" spans="1:36" x14ac:dyDescent="0.2">
      <c r="A981" s="222" t="s">
        <v>2375</v>
      </c>
      <c r="B981" s="223" t="s">
        <v>9</v>
      </c>
      <c r="C981" s="224" t="s">
        <v>216</v>
      </c>
      <c r="D981" s="224"/>
      <c r="E981" s="224"/>
      <c r="F981" s="225"/>
      <c r="G981" s="225"/>
      <c r="H981" s="225"/>
      <c r="I981" s="223" t="s">
        <v>2505</v>
      </c>
      <c r="J981" s="226">
        <v>1.952</v>
      </c>
      <c r="K981" s="226"/>
      <c r="L981" s="226"/>
      <c r="M981" s="227">
        <v>25</v>
      </c>
      <c r="N981" s="227"/>
      <c r="O981" s="227"/>
      <c r="P981" s="222" t="s">
        <v>2506</v>
      </c>
      <c r="Q981" s="222" t="s">
        <v>491</v>
      </c>
      <c r="R981" s="222" t="s">
        <v>2507</v>
      </c>
      <c r="S981" s="228">
        <v>3.3117879852420998E-2</v>
      </c>
      <c r="T981" s="229" t="s">
        <v>372</v>
      </c>
      <c r="U981" s="229"/>
      <c r="V981" s="229"/>
      <c r="W981" s="230">
        <f>IF(BetTable[Sport]="","",BetTable[Stake]+BetTable[S2]+BetTable[S3])</f>
        <v>25</v>
      </c>
      <c r="X981" s="227">
        <f>IF(BetTable[Odds]="","",(BetTable[WBA1-Commission])-BetTable[TS])</f>
        <v>23.799999999999997</v>
      </c>
      <c r="Y981" s="231">
        <f>IF(BetTable[Outcome]="","",BetTable[WBA1]+BetTable[WBA2]+BetTable[WBA3]-BetTable[TS])</f>
        <v>23.799999999999997</v>
      </c>
      <c r="Z981" s="227">
        <f>(((BetTable[Odds]-1)*BetTable[Stake])*(1-(BetTable[Comm %]))+BetTable[Stake])</f>
        <v>48.8</v>
      </c>
      <c r="AA981" s="227">
        <f>(((BetTable[O2]-1)*BetTable[S2])*(1-(BetTable[C% 2]))+BetTable[S2])</f>
        <v>0</v>
      </c>
      <c r="AB981" s="227">
        <f>(((BetTable[O3]-1)*BetTable[S3])*(1-(BetTable[C% 3]))+BetTable[S3])</f>
        <v>0</v>
      </c>
      <c r="AC981" s="228">
        <f>IFERROR(IF(BetTable[Sport]="","",BetTable[R1]/BetTable[TS]),"")</f>
        <v>0.95199999999999985</v>
      </c>
      <c r="AD981" s="228" t="str">
        <f>IF(BetTable[O2]="","",#REF!/BetTable[TS])</f>
        <v/>
      </c>
      <c r="AE981" s="228" t="str">
        <f>IFERROR(IF(BetTable[Sport]="","",#REF!/BetTable[TS]),"")</f>
        <v/>
      </c>
      <c r="AF981" s="227">
        <f>IF(BetTable[Outcome]="Win",BetTable[WBA1-Commission],IF(BetTable[Outcome]="Win Half Stake",(BetTable[Stake]/2)+BetTable[WBA1-Commission]/2,IF(BetTable[Outcome]="Lose Half Stake",BetTable[Stake]/2,IF(BetTable[Outcome]="Lose",0,IF(BetTable[Outcome]="Void",BetTable[Stake],)))))</f>
        <v>48.8</v>
      </c>
      <c r="AG981" s="227">
        <f>IF(BetTable[Outcome2]="Win",BetTable[WBA2-Commission],IF(BetTable[Outcome2]="Win Half Stake",(BetTable[S2]/2)+BetTable[WBA2-Commission]/2,IF(BetTable[Outcome2]="Lose Half Stake",BetTable[S2]/2,IF(BetTable[Outcome2]="Lose",0,IF(BetTable[Outcome2]="Void",BetTable[S2],)))))</f>
        <v>0</v>
      </c>
      <c r="AH981" s="227">
        <f>IF(BetTable[Outcome3]="Win",BetTable[WBA3-Commission],IF(BetTable[Outcome3]="Win Half Stake",(BetTable[S3]/2)+BetTable[WBA3-Commission]/2,IF(BetTable[Outcome3]="Lose Half Stake",BetTable[S3]/2,IF(BetTable[Outcome3]="Lose",0,IF(BetTable[Outcome3]="Void",BetTable[S3],)))))</f>
        <v>0</v>
      </c>
      <c r="AI981" s="231">
        <f>IF(BetTable[Outcome]="",AI980,BetTable[Result]+AI980)</f>
        <v>1533.1482499999997</v>
      </c>
      <c r="AJ981" s="223"/>
    </row>
    <row r="982" spans="1:36" x14ac:dyDescent="0.2">
      <c r="A982" s="222" t="s">
        <v>2375</v>
      </c>
      <c r="B982" s="223" t="s">
        <v>8</v>
      </c>
      <c r="C982" s="224" t="s">
        <v>216</v>
      </c>
      <c r="D982" s="224"/>
      <c r="E982" s="224"/>
      <c r="F982" s="225"/>
      <c r="G982" s="225"/>
      <c r="H982" s="225"/>
      <c r="I982" s="223" t="s">
        <v>2508</v>
      </c>
      <c r="J982" s="226">
        <v>2.25</v>
      </c>
      <c r="K982" s="226"/>
      <c r="L982" s="226"/>
      <c r="M982" s="227">
        <v>25</v>
      </c>
      <c r="N982" s="227"/>
      <c r="O982" s="227"/>
      <c r="P982" s="222" t="s">
        <v>435</v>
      </c>
      <c r="Q982" s="222" t="s">
        <v>677</v>
      </c>
      <c r="R982" s="222" t="s">
        <v>2509</v>
      </c>
      <c r="S982" s="228">
        <v>3.9537557485947797E-2</v>
      </c>
      <c r="T982" s="229" t="s">
        <v>382</v>
      </c>
      <c r="U982" s="229"/>
      <c r="V982" s="229"/>
      <c r="W982" s="230">
        <f>IF(BetTable[Sport]="","",BetTable[Stake]+BetTable[S2]+BetTable[S3])</f>
        <v>25</v>
      </c>
      <c r="X982" s="227">
        <f>IF(BetTable[Odds]="","",(BetTable[WBA1-Commission])-BetTable[TS])</f>
        <v>31.25</v>
      </c>
      <c r="Y982" s="231">
        <f>IF(BetTable[Outcome]="","",BetTable[WBA1]+BetTable[WBA2]+BetTable[WBA3]-BetTable[TS])</f>
        <v>-25</v>
      </c>
      <c r="Z982" s="227">
        <f>(((BetTable[Odds]-1)*BetTable[Stake])*(1-(BetTable[Comm %]))+BetTable[Stake])</f>
        <v>56.25</v>
      </c>
      <c r="AA982" s="227">
        <f>(((BetTable[O2]-1)*BetTable[S2])*(1-(BetTable[C% 2]))+BetTable[S2])</f>
        <v>0</v>
      </c>
      <c r="AB982" s="227">
        <f>(((BetTable[O3]-1)*BetTable[S3])*(1-(BetTable[C% 3]))+BetTable[S3])</f>
        <v>0</v>
      </c>
      <c r="AC982" s="228">
        <f>IFERROR(IF(BetTable[Sport]="","",BetTable[R1]/BetTable[TS]),"")</f>
        <v>1.25</v>
      </c>
      <c r="AD982" s="228" t="str">
        <f>IF(BetTable[O2]="","",#REF!/BetTable[TS])</f>
        <v/>
      </c>
      <c r="AE982" s="228" t="str">
        <f>IFERROR(IF(BetTable[Sport]="","",#REF!/BetTable[TS]),"")</f>
        <v/>
      </c>
      <c r="AF982" s="227">
        <f>IF(BetTable[Outcome]="Win",BetTable[WBA1-Commission],IF(BetTable[Outcome]="Win Half Stake",(BetTable[Stake]/2)+BetTable[WBA1-Commission]/2,IF(BetTable[Outcome]="Lose Half Stake",BetTable[Stake]/2,IF(BetTable[Outcome]="Lose",0,IF(BetTable[Outcome]="Void",BetTable[Stake],)))))</f>
        <v>0</v>
      </c>
      <c r="AG982" s="227">
        <f>IF(BetTable[Outcome2]="Win",BetTable[WBA2-Commission],IF(BetTable[Outcome2]="Win Half Stake",(BetTable[S2]/2)+BetTable[WBA2-Commission]/2,IF(BetTable[Outcome2]="Lose Half Stake",BetTable[S2]/2,IF(BetTable[Outcome2]="Lose",0,IF(BetTable[Outcome2]="Void",BetTable[S2],)))))</f>
        <v>0</v>
      </c>
      <c r="AH982" s="227">
        <f>IF(BetTable[Outcome3]="Win",BetTable[WBA3-Commission],IF(BetTable[Outcome3]="Win Half Stake",(BetTable[S3]/2)+BetTable[WBA3-Commission]/2,IF(BetTable[Outcome3]="Lose Half Stake",BetTable[S3]/2,IF(BetTable[Outcome3]="Lose",0,IF(BetTable[Outcome3]="Void",BetTable[S3],)))))</f>
        <v>0</v>
      </c>
      <c r="AI982" s="231">
        <f>IF(BetTable[Outcome]="",AI981,BetTable[Result]+AI981)</f>
        <v>1508.1482499999997</v>
      </c>
      <c r="AJ982" s="223"/>
    </row>
    <row r="983" spans="1:36" x14ac:dyDescent="0.2">
      <c r="A983" s="222" t="s">
        <v>2375</v>
      </c>
      <c r="B983" s="223" t="s">
        <v>7</v>
      </c>
      <c r="C983" s="224" t="s">
        <v>216</v>
      </c>
      <c r="D983" s="224"/>
      <c r="E983" s="224"/>
      <c r="F983" s="225"/>
      <c r="G983" s="225"/>
      <c r="H983" s="225"/>
      <c r="I983" s="223" t="s">
        <v>2510</v>
      </c>
      <c r="J983" s="226">
        <v>1.909</v>
      </c>
      <c r="K983" s="226"/>
      <c r="L983" s="226"/>
      <c r="M983" s="227">
        <v>55</v>
      </c>
      <c r="N983" s="227"/>
      <c r="O983" s="227"/>
      <c r="P983" s="222" t="s">
        <v>2511</v>
      </c>
      <c r="Q983" s="222" t="s">
        <v>461</v>
      </c>
      <c r="R983" s="222" t="s">
        <v>2512</v>
      </c>
      <c r="S983" s="228">
        <v>6.0931872417818E-2</v>
      </c>
      <c r="T983" s="229" t="s">
        <v>372</v>
      </c>
      <c r="U983" s="229"/>
      <c r="V983" s="229"/>
      <c r="W983" s="230">
        <f>IF(BetTable[Sport]="","",BetTable[Stake]+BetTable[S2]+BetTable[S3])</f>
        <v>55</v>
      </c>
      <c r="X983" s="227">
        <f>IF(BetTable[Odds]="","",(BetTable[WBA1-Commission])-BetTable[TS])</f>
        <v>49.995000000000005</v>
      </c>
      <c r="Y983" s="231">
        <f>IF(BetTable[Outcome]="","",BetTable[WBA1]+BetTable[WBA2]+BetTable[WBA3]-BetTable[TS])</f>
        <v>49.995000000000005</v>
      </c>
      <c r="Z983" s="227">
        <f>(((BetTable[Odds]-1)*BetTable[Stake])*(1-(BetTable[Comm %]))+BetTable[Stake])</f>
        <v>104.995</v>
      </c>
      <c r="AA983" s="227">
        <f>(((BetTable[O2]-1)*BetTable[S2])*(1-(BetTable[C% 2]))+BetTable[S2])</f>
        <v>0</v>
      </c>
      <c r="AB983" s="227">
        <f>(((BetTable[O3]-1)*BetTable[S3])*(1-(BetTable[C% 3]))+BetTable[S3])</f>
        <v>0</v>
      </c>
      <c r="AC983" s="228">
        <f>IFERROR(IF(BetTable[Sport]="","",BetTable[R1]/BetTable[TS]),"")</f>
        <v>0.90900000000000003</v>
      </c>
      <c r="AD983" s="228" t="str">
        <f>IF(BetTable[O2]="","",#REF!/BetTable[TS])</f>
        <v/>
      </c>
      <c r="AE983" s="228" t="str">
        <f>IFERROR(IF(BetTable[Sport]="","",#REF!/BetTable[TS]),"")</f>
        <v/>
      </c>
      <c r="AF983" s="227">
        <f>IF(BetTable[Outcome]="Win",BetTable[WBA1-Commission],IF(BetTable[Outcome]="Win Half Stake",(BetTable[Stake]/2)+BetTable[WBA1-Commission]/2,IF(BetTable[Outcome]="Lose Half Stake",BetTable[Stake]/2,IF(BetTable[Outcome]="Lose",0,IF(BetTable[Outcome]="Void",BetTable[Stake],)))))</f>
        <v>104.995</v>
      </c>
      <c r="AG983" s="227">
        <f>IF(BetTable[Outcome2]="Win",BetTable[WBA2-Commission],IF(BetTable[Outcome2]="Win Half Stake",(BetTable[S2]/2)+BetTable[WBA2-Commission]/2,IF(BetTable[Outcome2]="Lose Half Stake",BetTable[S2]/2,IF(BetTable[Outcome2]="Lose",0,IF(BetTable[Outcome2]="Void",BetTable[S2],)))))</f>
        <v>0</v>
      </c>
      <c r="AH983" s="227">
        <f>IF(BetTable[Outcome3]="Win",BetTable[WBA3-Commission],IF(BetTable[Outcome3]="Win Half Stake",(BetTable[S3]/2)+BetTable[WBA3-Commission]/2,IF(BetTable[Outcome3]="Lose Half Stake",BetTable[S3]/2,IF(BetTable[Outcome3]="Lose",0,IF(BetTable[Outcome3]="Void",BetTable[S3],)))))</f>
        <v>0</v>
      </c>
      <c r="AI983" s="231">
        <f>IF(BetTable[Outcome]="",AI982,BetTable[Result]+AI982)</f>
        <v>1558.1432499999996</v>
      </c>
      <c r="AJ983" s="223"/>
    </row>
    <row r="984" spans="1:36" x14ac:dyDescent="0.2">
      <c r="A984" s="222" t="s">
        <v>2375</v>
      </c>
      <c r="B984" s="223" t="s">
        <v>200</v>
      </c>
      <c r="C984" s="224" t="s">
        <v>1714</v>
      </c>
      <c r="D984" s="224"/>
      <c r="E984" s="224"/>
      <c r="F984" s="225"/>
      <c r="G984" s="225"/>
      <c r="H984" s="225"/>
      <c r="I984" s="223" t="s">
        <v>2513</v>
      </c>
      <c r="J984" s="226">
        <v>1.8</v>
      </c>
      <c r="K984" s="226"/>
      <c r="L984" s="226"/>
      <c r="M984" s="227">
        <v>43</v>
      </c>
      <c r="N984" s="227"/>
      <c r="O984" s="227"/>
      <c r="P984" s="222" t="s">
        <v>360</v>
      </c>
      <c r="Q984" s="222" t="s">
        <v>1842</v>
      </c>
      <c r="R984" s="222" t="s">
        <v>2514</v>
      </c>
      <c r="S984" s="228">
        <v>2.2348844362131901E-2</v>
      </c>
      <c r="T984" s="229" t="s">
        <v>372</v>
      </c>
      <c r="U984" s="229"/>
      <c r="V984" s="229"/>
      <c r="W984" s="230">
        <f>IF(BetTable[Sport]="","",BetTable[Stake]+BetTable[S2]+BetTable[S3])</f>
        <v>43</v>
      </c>
      <c r="X984" s="227">
        <f>IF(BetTable[Odds]="","",(BetTable[WBA1-Commission])-BetTable[TS])</f>
        <v>34.400000000000006</v>
      </c>
      <c r="Y984" s="231">
        <f>IF(BetTable[Outcome]="","",BetTable[WBA1]+BetTable[WBA2]+BetTable[WBA3]-BetTable[TS])</f>
        <v>34.400000000000006</v>
      </c>
      <c r="Z984" s="227">
        <f>(((BetTable[Odds]-1)*BetTable[Stake])*(1-(BetTable[Comm %]))+BetTable[Stake])</f>
        <v>77.400000000000006</v>
      </c>
      <c r="AA984" s="227">
        <f>(((BetTable[O2]-1)*BetTable[S2])*(1-(BetTable[C% 2]))+BetTable[S2])</f>
        <v>0</v>
      </c>
      <c r="AB984" s="227">
        <f>(((BetTable[O3]-1)*BetTable[S3])*(1-(BetTable[C% 3]))+BetTable[S3])</f>
        <v>0</v>
      </c>
      <c r="AC984" s="228">
        <f>IFERROR(IF(BetTable[Sport]="","",BetTable[R1]/BetTable[TS]),"")</f>
        <v>0.80000000000000016</v>
      </c>
      <c r="AD984" s="228" t="str">
        <f>IF(BetTable[O2]="","",#REF!/BetTable[TS])</f>
        <v/>
      </c>
      <c r="AE984" s="228" t="str">
        <f>IFERROR(IF(BetTable[Sport]="","",#REF!/BetTable[TS]),"")</f>
        <v/>
      </c>
      <c r="AF984" s="227">
        <f>IF(BetTable[Outcome]="Win",BetTable[WBA1-Commission],IF(BetTable[Outcome]="Win Half Stake",(BetTable[Stake]/2)+BetTable[WBA1-Commission]/2,IF(BetTable[Outcome]="Lose Half Stake",BetTable[Stake]/2,IF(BetTable[Outcome]="Lose",0,IF(BetTable[Outcome]="Void",BetTable[Stake],)))))</f>
        <v>77.400000000000006</v>
      </c>
      <c r="AG984" s="227">
        <f>IF(BetTable[Outcome2]="Win",BetTable[WBA2-Commission],IF(BetTable[Outcome2]="Win Half Stake",(BetTable[S2]/2)+BetTable[WBA2-Commission]/2,IF(BetTable[Outcome2]="Lose Half Stake",BetTable[S2]/2,IF(BetTable[Outcome2]="Lose",0,IF(BetTable[Outcome2]="Void",BetTable[S2],)))))</f>
        <v>0</v>
      </c>
      <c r="AH984" s="227">
        <f>IF(BetTable[Outcome3]="Win",BetTable[WBA3-Commission],IF(BetTable[Outcome3]="Win Half Stake",(BetTable[S3]/2)+BetTable[WBA3-Commission]/2,IF(BetTable[Outcome3]="Lose Half Stake",BetTable[S3]/2,IF(BetTable[Outcome3]="Lose",0,IF(BetTable[Outcome3]="Void",BetTable[S3],)))))</f>
        <v>0</v>
      </c>
      <c r="AI984" s="231">
        <f>IF(BetTable[Outcome]="",AI983,BetTable[Result]+AI983)</f>
        <v>1592.5432499999997</v>
      </c>
      <c r="AJ984" s="223"/>
    </row>
    <row r="985" spans="1:36" x14ac:dyDescent="0.2">
      <c r="A985" s="222" t="s">
        <v>2375</v>
      </c>
      <c r="B985" s="223" t="s">
        <v>200</v>
      </c>
      <c r="C985" s="224" t="s">
        <v>1714</v>
      </c>
      <c r="D985" s="224"/>
      <c r="E985" s="224"/>
      <c r="F985" s="225"/>
      <c r="G985" s="225"/>
      <c r="H985" s="225"/>
      <c r="I985" s="223" t="s">
        <v>2515</v>
      </c>
      <c r="J985" s="226">
        <v>1.89</v>
      </c>
      <c r="K985" s="226"/>
      <c r="L985" s="226"/>
      <c r="M985" s="227">
        <v>29</v>
      </c>
      <c r="N985" s="227"/>
      <c r="O985" s="227"/>
      <c r="P985" s="222" t="s">
        <v>1636</v>
      </c>
      <c r="Q985" s="222" t="s">
        <v>882</v>
      </c>
      <c r="R985" s="222" t="s">
        <v>2516</v>
      </c>
      <c r="S985" s="228">
        <v>1.6788451711803699E-2</v>
      </c>
      <c r="T985" s="229" t="s">
        <v>372</v>
      </c>
      <c r="U985" s="229"/>
      <c r="V985" s="229"/>
      <c r="W985" s="230">
        <f>IF(BetTable[Sport]="","",BetTable[Stake]+BetTable[S2]+BetTable[S3])</f>
        <v>29</v>
      </c>
      <c r="X985" s="227">
        <f>IF(BetTable[Odds]="","",(BetTable[WBA1-Commission])-BetTable[TS])</f>
        <v>25.810000000000002</v>
      </c>
      <c r="Y985" s="231">
        <f>IF(BetTable[Outcome]="","",BetTable[WBA1]+BetTable[WBA2]+BetTable[WBA3]-BetTable[TS])</f>
        <v>25.810000000000002</v>
      </c>
      <c r="Z985" s="227">
        <f>(((BetTable[Odds]-1)*BetTable[Stake])*(1-(BetTable[Comm %]))+BetTable[Stake])</f>
        <v>54.81</v>
      </c>
      <c r="AA985" s="227">
        <f>(((BetTable[O2]-1)*BetTable[S2])*(1-(BetTable[C% 2]))+BetTable[S2])</f>
        <v>0</v>
      </c>
      <c r="AB985" s="227">
        <f>(((BetTable[O3]-1)*BetTable[S3])*(1-(BetTable[C% 3]))+BetTable[S3])</f>
        <v>0</v>
      </c>
      <c r="AC985" s="228">
        <f>IFERROR(IF(BetTable[Sport]="","",BetTable[R1]/BetTable[TS]),"")</f>
        <v>0.89000000000000012</v>
      </c>
      <c r="AD985" s="228" t="str">
        <f>IF(BetTable[O2]="","",#REF!/BetTable[TS])</f>
        <v/>
      </c>
      <c r="AE985" s="228" t="str">
        <f>IFERROR(IF(BetTable[Sport]="","",#REF!/BetTable[TS]),"")</f>
        <v/>
      </c>
      <c r="AF985" s="227">
        <f>IF(BetTable[Outcome]="Win",BetTable[WBA1-Commission],IF(BetTable[Outcome]="Win Half Stake",(BetTable[Stake]/2)+BetTable[WBA1-Commission]/2,IF(BetTable[Outcome]="Lose Half Stake",BetTable[Stake]/2,IF(BetTable[Outcome]="Lose",0,IF(BetTable[Outcome]="Void",BetTable[Stake],)))))</f>
        <v>54.81</v>
      </c>
      <c r="AG985" s="227">
        <f>IF(BetTable[Outcome2]="Win",BetTable[WBA2-Commission],IF(BetTable[Outcome2]="Win Half Stake",(BetTable[S2]/2)+BetTable[WBA2-Commission]/2,IF(BetTable[Outcome2]="Lose Half Stake",BetTable[S2]/2,IF(BetTable[Outcome2]="Lose",0,IF(BetTable[Outcome2]="Void",BetTable[S2],)))))</f>
        <v>0</v>
      </c>
      <c r="AH985" s="227">
        <f>IF(BetTable[Outcome3]="Win",BetTable[WBA3-Commission],IF(BetTable[Outcome3]="Win Half Stake",(BetTable[S3]/2)+BetTable[WBA3-Commission]/2,IF(BetTable[Outcome3]="Lose Half Stake",BetTable[S3]/2,IF(BetTable[Outcome3]="Lose",0,IF(BetTable[Outcome3]="Void",BetTable[S3],)))))</f>
        <v>0</v>
      </c>
      <c r="AI985" s="231">
        <f>IF(BetTable[Outcome]="",AI984,BetTable[Result]+AI984)</f>
        <v>1618.3532499999997</v>
      </c>
      <c r="AJ985" s="223"/>
    </row>
    <row r="986" spans="1:36" x14ac:dyDescent="0.2">
      <c r="A986" s="222" t="s">
        <v>2375</v>
      </c>
      <c r="B986" s="223" t="s">
        <v>200</v>
      </c>
      <c r="C986" s="224" t="s">
        <v>1714</v>
      </c>
      <c r="D986" s="224"/>
      <c r="E986" s="224"/>
      <c r="F986" s="225"/>
      <c r="G986" s="225"/>
      <c r="H986" s="225"/>
      <c r="I986" s="223" t="s">
        <v>2517</v>
      </c>
      <c r="J986" s="226">
        <v>1.82</v>
      </c>
      <c r="K986" s="226"/>
      <c r="L986" s="226"/>
      <c r="M986" s="227">
        <v>32</v>
      </c>
      <c r="N986" s="227"/>
      <c r="O986" s="227"/>
      <c r="P986" s="222" t="s">
        <v>1086</v>
      </c>
      <c r="Q986" s="222" t="s">
        <v>703</v>
      </c>
      <c r="R986" s="222" t="s">
        <v>2518</v>
      </c>
      <c r="S986" s="228">
        <v>1.6735438930896501E-2</v>
      </c>
      <c r="T986" s="229" t="s">
        <v>372</v>
      </c>
      <c r="U986" s="229"/>
      <c r="V986" s="229"/>
      <c r="W986" s="230">
        <f>IF(BetTable[Sport]="","",BetTable[Stake]+BetTable[S2]+BetTable[S3])</f>
        <v>32</v>
      </c>
      <c r="X986" s="227">
        <f>IF(BetTable[Odds]="","",(BetTable[WBA1-Commission])-BetTable[TS])</f>
        <v>26.240000000000002</v>
      </c>
      <c r="Y986" s="231">
        <f>IF(BetTable[Outcome]="","",BetTable[WBA1]+BetTable[WBA2]+BetTable[WBA3]-BetTable[TS])</f>
        <v>26.240000000000002</v>
      </c>
      <c r="Z986" s="227">
        <f>(((BetTable[Odds]-1)*BetTable[Stake])*(1-(BetTable[Comm %]))+BetTable[Stake])</f>
        <v>58.24</v>
      </c>
      <c r="AA986" s="227">
        <f>(((BetTable[O2]-1)*BetTable[S2])*(1-(BetTable[C% 2]))+BetTable[S2])</f>
        <v>0</v>
      </c>
      <c r="AB986" s="227">
        <f>(((BetTable[O3]-1)*BetTable[S3])*(1-(BetTable[C% 3]))+BetTable[S3])</f>
        <v>0</v>
      </c>
      <c r="AC986" s="228">
        <f>IFERROR(IF(BetTable[Sport]="","",BetTable[R1]/BetTable[TS]),"")</f>
        <v>0.82000000000000006</v>
      </c>
      <c r="AD986" s="228" t="str">
        <f>IF(BetTable[O2]="","",#REF!/BetTable[TS])</f>
        <v/>
      </c>
      <c r="AE986" s="228" t="str">
        <f>IFERROR(IF(BetTable[Sport]="","",#REF!/BetTable[TS]),"")</f>
        <v/>
      </c>
      <c r="AF986" s="227">
        <f>IF(BetTable[Outcome]="Win",BetTable[WBA1-Commission],IF(BetTable[Outcome]="Win Half Stake",(BetTable[Stake]/2)+BetTable[WBA1-Commission]/2,IF(BetTable[Outcome]="Lose Half Stake",BetTable[Stake]/2,IF(BetTable[Outcome]="Lose",0,IF(BetTable[Outcome]="Void",BetTable[Stake],)))))</f>
        <v>58.24</v>
      </c>
      <c r="AG986" s="227">
        <f>IF(BetTable[Outcome2]="Win",BetTable[WBA2-Commission],IF(BetTable[Outcome2]="Win Half Stake",(BetTable[S2]/2)+BetTable[WBA2-Commission]/2,IF(BetTable[Outcome2]="Lose Half Stake",BetTable[S2]/2,IF(BetTable[Outcome2]="Lose",0,IF(BetTable[Outcome2]="Void",BetTable[S2],)))))</f>
        <v>0</v>
      </c>
      <c r="AH986" s="227">
        <f>IF(BetTable[Outcome3]="Win",BetTable[WBA3-Commission],IF(BetTable[Outcome3]="Win Half Stake",(BetTable[S3]/2)+BetTable[WBA3-Commission]/2,IF(BetTable[Outcome3]="Lose Half Stake",BetTable[S3]/2,IF(BetTable[Outcome3]="Lose",0,IF(BetTable[Outcome3]="Void",BetTable[S3],)))))</f>
        <v>0</v>
      </c>
      <c r="AI986" s="231">
        <f>IF(BetTable[Outcome]="",AI985,BetTable[Result]+AI985)</f>
        <v>1644.5932499999997</v>
      </c>
      <c r="AJ986" s="223"/>
    </row>
    <row r="987" spans="1:36" x14ac:dyDescent="0.2">
      <c r="A987" s="222" t="s">
        <v>2375</v>
      </c>
      <c r="B987" s="223" t="s">
        <v>200</v>
      </c>
      <c r="C987" s="224" t="s">
        <v>1714</v>
      </c>
      <c r="D987" s="224"/>
      <c r="E987" s="224"/>
      <c r="F987" s="225"/>
      <c r="G987" s="225"/>
      <c r="H987" s="225"/>
      <c r="I987" s="223" t="s">
        <v>2519</v>
      </c>
      <c r="J987" s="226">
        <v>7.8</v>
      </c>
      <c r="K987" s="226"/>
      <c r="L987" s="226"/>
      <c r="M987" s="227">
        <v>18</v>
      </c>
      <c r="N987" s="227"/>
      <c r="O987" s="227"/>
      <c r="P987" s="222" t="s">
        <v>428</v>
      </c>
      <c r="Q987" s="222" t="s">
        <v>458</v>
      </c>
      <c r="R987" s="222" t="s">
        <v>2520</v>
      </c>
      <c r="S987" s="228">
        <v>7.8685883578466703E-2</v>
      </c>
      <c r="T987" s="229" t="s">
        <v>382</v>
      </c>
      <c r="U987" s="229"/>
      <c r="V987" s="229"/>
      <c r="W987" s="230">
        <f>IF(BetTable[Sport]="","",BetTable[Stake]+BetTable[S2]+BetTable[S3])</f>
        <v>18</v>
      </c>
      <c r="X987" s="227">
        <f>IF(BetTable[Odds]="","",(BetTable[WBA1-Commission])-BetTable[TS])</f>
        <v>122.39999999999998</v>
      </c>
      <c r="Y987" s="231">
        <f>IF(BetTable[Outcome]="","",BetTable[WBA1]+BetTable[WBA2]+BetTable[WBA3]-BetTable[TS])</f>
        <v>-18</v>
      </c>
      <c r="Z987" s="227">
        <f>(((BetTable[Odds]-1)*BetTable[Stake])*(1-(BetTable[Comm %]))+BetTable[Stake])</f>
        <v>140.39999999999998</v>
      </c>
      <c r="AA987" s="227">
        <f>(((BetTable[O2]-1)*BetTable[S2])*(1-(BetTable[C% 2]))+BetTable[S2])</f>
        <v>0</v>
      </c>
      <c r="AB987" s="227">
        <f>(((BetTable[O3]-1)*BetTable[S3])*(1-(BetTable[C% 3]))+BetTable[S3])</f>
        <v>0</v>
      </c>
      <c r="AC987" s="228">
        <f>IFERROR(IF(BetTable[Sport]="","",BetTable[R1]/BetTable[TS]),"")</f>
        <v>6.7999999999999989</v>
      </c>
      <c r="AD987" s="228" t="str">
        <f>IF(BetTable[O2]="","",#REF!/BetTable[TS])</f>
        <v/>
      </c>
      <c r="AE987" s="228" t="str">
        <f>IFERROR(IF(BetTable[Sport]="","",#REF!/BetTable[TS]),"")</f>
        <v/>
      </c>
      <c r="AF987" s="227">
        <f>IF(BetTable[Outcome]="Win",BetTable[WBA1-Commission],IF(BetTable[Outcome]="Win Half Stake",(BetTable[Stake]/2)+BetTable[WBA1-Commission]/2,IF(BetTable[Outcome]="Lose Half Stake",BetTable[Stake]/2,IF(BetTable[Outcome]="Lose",0,IF(BetTable[Outcome]="Void",BetTable[Stake],)))))</f>
        <v>0</v>
      </c>
      <c r="AG987" s="227">
        <f>IF(BetTable[Outcome2]="Win",BetTable[WBA2-Commission],IF(BetTable[Outcome2]="Win Half Stake",(BetTable[S2]/2)+BetTable[WBA2-Commission]/2,IF(BetTable[Outcome2]="Lose Half Stake",BetTable[S2]/2,IF(BetTable[Outcome2]="Lose",0,IF(BetTable[Outcome2]="Void",BetTable[S2],)))))</f>
        <v>0</v>
      </c>
      <c r="AH987" s="227">
        <f>IF(BetTable[Outcome3]="Win",BetTable[WBA3-Commission],IF(BetTable[Outcome3]="Win Half Stake",(BetTable[S3]/2)+BetTable[WBA3-Commission]/2,IF(BetTable[Outcome3]="Lose Half Stake",BetTable[S3]/2,IF(BetTable[Outcome3]="Lose",0,IF(BetTable[Outcome3]="Void",BetTable[S3],)))))</f>
        <v>0</v>
      </c>
      <c r="AI987" s="231">
        <f>IF(BetTable[Outcome]="",AI986,BetTable[Result]+AI986)</f>
        <v>1626.5932499999997</v>
      </c>
      <c r="AJ987" s="223"/>
    </row>
    <row r="988" spans="1:36" x14ac:dyDescent="0.2">
      <c r="A988" s="222" t="s">
        <v>2375</v>
      </c>
      <c r="B988" s="223" t="s">
        <v>200</v>
      </c>
      <c r="C988" s="224" t="s">
        <v>1714</v>
      </c>
      <c r="D988" s="224"/>
      <c r="E988" s="224"/>
      <c r="F988" s="225"/>
      <c r="G988" s="225"/>
      <c r="H988" s="225"/>
      <c r="I988" s="223" t="s">
        <v>2521</v>
      </c>
      <c r="J988" s="226">
        <v>1.87</v>
      </c>
      <c r="K988" s="226"/>
      <c r="L988" s="226"/>
      <c r="M988" s="227">
        <v>32</v>
      </c>
      <c r="N988" s="227"/>
      <c r="O988" s="227"/>
      <c r="P988" s="222" t="s">
        <v>637</v>
      </c>
      <c r="Q988" s="222" t="s">
        <v>485</v>
      </c>
      <c r="R988" s="222" t="s">
        <v>2522</v>
      </c>
      <c r="S988" s="228">
        <v>1.82403954047267E-2</v>
      </c>
      <c r="T988" s="229" t="s">
        <v>372</v>
      </c>
      <c r="U988" s="229"/>
      <c r="V988" s="229"/>
      <c r="W988" s="230">
        <f>IF(BetTable[Sport]="","",BetTable[Stake]+BetTable[S2]+BetTable[S3])</f>
        <v>32</v>
      </c>
      <c r="X988" s="227">
        <f>IF(BetTable[Odds]="","",(BetTable[WBA1-Commission])-BetTable[TS])</f>
        <v>27.840000000000003</v>
      </c>
      <c r="Y988" s="231">
        <f>IF(BetTable[Outcome]="","",BetTable[WBA1]+BetTable[WBA2]+BetTable[WBA3]-BetTable[TS])</f>
        <v>27.840000000000003</v>
      </c>
      <c r="Z988" s="227">
        <f>(((BetTable[Odds]-1)*BetTable[Stake])*(1-(BetTable[Comm %]))+BetTable[Stake])</f>
        <v>59.84</v>
      </c>
      <c r="AA988" s="227">
        <f>(((BetTable[O2]-1)*BetTable[S2])*(1-(BetTable[C% 2]))+BetTable[S2])</f>
        <v>0</v>
      </c>
      <c r="AB988" s="227">
        <f>(((BetTable[O3]-1)*BetTable[S3])*(1-(BetTable[C% 3]))+BetTable[S3])</f>
        <v>0</v>
      </c>
      <c r="AC988" s="228">
        <f>IFERROR(IF(BetTable[Sport]="","",BetTable[R1]/BetTable[TS]),"")</f>
        <v>0.87000000000000011</v>
      </c>
      <c r="AD988" s="228" t="str">
        <f>IF(BetTable[O2]="","",#REF!/BetTable[TS])</f>
        <v/>
      </c>
      <c r="AE988" s="228" t="str">
        <f>IFERROR(IF(BetTable[Sport]="","",#REF!/BetTable[TS]),"")</f>
        <v/>
      </c>
      <c r="AF988" s="227">
        <f>IF(BetTable[Outcome]="Win",BetTable[WBA1-Commission],IF(BetTable[Outcome]="Win Half Stake",(BetTable[Stake]/2)+BetTable[WBA1-Commission]/2,IF(BetTable[Outcome]="Lose Half Stake",BetTable[Stake]/2,IF(BetTable[Outcome]="Lose",0,IF(BetTable[Outcome]="Void",BetTable[Stake],)))))</f>
        <v>59.84</v>
      </c>
      <c r="AG988" s="227">
        <f>IF(BetTable[Outcome2]="Win",BetTable[WBA2-Commission],IF(BetTable[Outcome2]="Win Half Stake",(BetTable[S2]/2)+BetTable[WBA2-Commission]/2,IF(BetTable[Outcome2]="Lose Half Stake",BetTable[S2]/2,IF(BetTable[Outcome2]="Lose",0,IF(BetTable[Outcome2]="Void",BetTable[S2],)))))</f>
        <v>0</v>
      </c>
      <c r="AH988" s="227">
        <f>IF(BetTable[Outcome3]="Win",BetTable[WBA3-Commission],IF(BetTable[Outcome3]="Win Half Stake",(BetTable[S3]/2)+BetTable[WBA3-Commission]/2,IF(BetTable[Outcome3]="Lose Half Stake",BetTable[S3]/2,IF(BetTable[Outcome3]="Lose",0,IF(BetTable[Outcome3]="Void",BetTable[S3],)))))</f>
        <v>0</v>
      </c>
      <c r="AI988" s="231">
        <f>IF(BetTable[Outcome]="",AI987,BetTable[Result]+AI987)</f>
        <v>1654.4332499999996</v>
      </c>
      <c r="AJ988" s="223"/>
    </row>
    <row r="989" spans="1:36" x14ac:dyDescent="0.2">
      <c r="A989" s="222" t="s">
        <v>2375</v>
      </c>
      <c r="B989" s="223" t="s">
        <v>200</v>
      </c>
      <c r="C989" s="224" t="s">
        <v>1714</v>
      </c>
      <c r="D989" s="224"/>
      <c r="E989" s="224"/>
      <c r="F989" s="225"/>
      <c r="G989" s="225"/>
      <c r="H989" s="225"/>
      <c r="I989" s="223" t="s">
        <v>2523</v>
      </c>
      <c r="J989" s="226">
        <v>5.2</v>
      </c>
      <c r="K989" s="226"/>
      <c r="L989" s="226"/>
      <c r="M989" s="227">
        <v>19</v>
      </c>
      <c r="N989" s="227"/>
      <c r="O989" s="227"/>
      <c r="P989" s="222" t="s">
        <v>435</v>
      </c>
      <c r="Q989" s="222" t="s">
        <v>2524</v>
      </c>
      <c r="R989" s="222" t="s">
        <v>2525</v>
      </c>
      <c r="S989" s="228">
        <v>5.1241508536975601E-2</v>
      </c>
      <c r="T989" s="229" t="s">
        <v>382</v>
      </c>
      <c r="U989" s="229"/>
      <c r="V989" s="229"/>
      <c r="W989" s="230">
        <f>IF(BetTable[Sport]="","",BetTable[Stake]+BetTable[S2]+BetTable[S3])</f>
        <v>19</v>
      </c>
      <c r="X989" s="227">
        <f>IF(BetTable[Odds]="","",(BetTable[WBA1-Commission])-BetTable[TS])</f>
        <v>79.8</v>
      </c>
      <c r="Y989" s="231">
        <f>IF(BetTable[Outcome]="","",BetTable[WBA1]+BetTable[WBA2]+BetTable[WBA3]-BetTable[TS])</f>
        <v>-19</v>
      </c>
      <c r="Z989" s="227">
        <f>(((BetTable[Odds]-1)*BetTable[Stake])*(1-(BetTable[Comm %]))+BetTable[Stake])</f>
        <v>98.8</v>
      </c>
      <c r="AA989" s="227">
        <f>(((BetTable[O2]-1)*BetTable[S2])*(1-(BetTable[C% 2]))+BetTable[S2])</f>
        <v>0</v>
      </c>
      <c r="AB989" s="227">
        <f>(((BetTable[O3]-1)*BetTable[S3])*(1-(BetTable[C% 3]))+BetTable[S3])</f>
        <v>0</v>
      </c>
      <c r="AC989" s="228">
        <f>IFERROR(IF(BetTable[Sport]="","",BetTable[R1]/BetTable[TS]),"")</f>
        <v>4.2</v>
      </c>
      <c r="AD989" s="228" t="str">
        <f>IF(BetTable[O2]="","",#REF!/BetTable[TS])</f>
        <v/>
      </c>
      <c r="AE989" s="228" t="str">
        <f>IFERROR(IF(BetTable[Sport]="","",#REF!/BetTable[TS]),"")</f>
        <v/>
      </c>
      <c r="AF989" s="227">
        <f>IF(BetTable[Outcome]="Win",BetTable[WBA1-Commission],IF(BetTable[Outcome]="Win Half Stake",(BetTable[Stake]/2)+BetTable[WBA1-Commission]/2,IF(BetTable[Outcome]="Lose Half Stake",BetTable[Stake]/2,IF(BetTable[Outcome]="Lose",0,IF(BetTable[Outcome]="Void",BetTable[Stake],)))))</f>
        <v>0</v>
      </c>
      <c r="AG989" s="227">
        <f>IF(BetTable[Outcome2]="Win",BetTable[WBA2-Commission],IF(BetTable[Outcome2]="Win Half Stake",(BetTable[S2]/2)+BetTable[WBA2-Commission]/2,IF(BetTable[Outcome2]="Lose Half Stake",BetTable[S2]/2,IF(BetTable[Outcome2]="Lose",0,IF(BetTable[Outcome2]="Void",BetTable[S2],)))))</f>
        <v>0</v>
      </c>
      <c r="AH989" s="227">
        <f>IF(BetTable[Outcome3]="Win",BetTable[WBA3-Commission],IF(BetTable[Outcome3]="Win Half Stake",(BetTable[S3]/2)+BetTable[WBA3-Commission]/2,IF(BetTable[Outcome3]="Lose Half Stake",BetTable[S3]/2,IF(BetTable[Outcome3]="Lose",0,IF(BetTable[Outcome3]="Void",BetTable[S3],)))))</f>
        <v>0</v>
      </c>
      <c r="AI989" s="231">
        <f>IF(BetTable[Outcome]="",AI988,BetTable[Result]+AI988)</f>
        <v>1635.4332499999996</v>
      </c>
      <c r="AJ989" s="223"/>
    </row>
    <row r="990" spans="1:36" x14ac:dyDescent="0.2">
      <c r="A990" s="222" t="s">
        <v>2375</v>
      </c>
      <c r="B990" s="223" t="s">
        <v>200</v>
      </c>
      <c r="C990" s="224" t="s">
        <v>1714</v>
      </c>
      <c r="D990" s="224"/>
      <c r="E990" s="224"/>
      <c r="F990" s="225"/>
      <c r="G990" s="225"/>
      <c r="H990" s="225"/>
      <c r="I990" s="223" t="s">
        <v>2526</v>
      </c>
      <c r="J990" s="226">
        <v>1.94</v>
      </c>
      <c r="K990" s="226"/>
      <c r="L990" s="226"/>
      <c r="M990" s="227">
        <v>37</v>
      </c>
      <c r="N990" s="227"/>
      <c r="O990" s="227"/>
      <c r="P990" s="222" t="s">
        <v>357</v>
      </c>
      <c r="Q990" s="222" t="s">
        <v>1842</v>
      </c>
      <c r="R990" s="222" t="s">
        <v>2527</v>
      </c>
      <c r="S990" s="228">
        <v>2.24348050317685E-2</v>
      </c>
      <c r="T990" s="229" t="s">
        <v>383</v>
      </c>
      <c r="U990" s="229"/>
      <c r="V990" s="229"/>
      <c r="W990" s="230">
        <f>IF(BetTable[Sport]="","",BetTable[Stake]+BetTable[S2]+BetTable[S3])</f>
        <v>37</v>
      </c>
      <c r="X990" s="227">
        <f>IF(BetTable[Odds]="","",(BetTable[WBA1-Commission])-BetTable[TS])</f>
        <v>34.78</v>
      </c>
      <c r="Y990" s="231">
        <f>IF(BetTable[Outcome]="","",BetTable[WBA1]+BetTable[WBA2]+BetTable[WBA3]-BetTable[TS])</f>
        <v>0</v>
      </c>
      <c r="Z990" s="227">
        <f>(((BetTable[Odds]-1)*BetTable[Stake])*(1-(BetTable[Comm %]))+BetTable[Stake])</f>
        <v>71.78</v>
      </c>
      <c r="AA990" s="227">
        <f>(((BetTable[O2]-1)*BetTable[S2])*(1-(BetTable[C% 2]))+BetTable[S2])</f>
        <v>0</v>
      </c>
      <c r="AB990" s="227">
        <f>(((BetTable[O3]-1)*BetTable[S3])*(1-(BetTable[C% 3]))+BetTable[S3])</f>
        <v>0</v>
      </c>
      <c r="AC990" s="228">
        <f>IFERROR(IF(BetTable[Sport]="","",BetTable[R1]/BetTable[TS]),"")</f>
        <v>0.94000000000000006</v>
      </c>
      <c r="AD990" s="228" t="str">
        <f>IF(BetTable[O2]="","",#REF!/BetTable[TS])</f>
        <v/>
      </c>
      <c r="AE990" s="228" t="str">
        <f>IFERROR(IF(BetTable[Sport]="","",#REF!/BetTable[TS]),"")</f>
        <v/>
      </c>
      <c r="AF990" s="227">
        <f>IF(BetTable[Outcome]="Win",BetTable[WBA1-Commission],IF(BetTable[Outcome]="Win Half Stake",(BetTable[Stake]/2)+BetTable[WBA1-Commission]/2,IF(BetTable[Outcome]="Lose Half Stake",BetTable[Stake]/2,IF(BetTable[Outcome]="Lose",0,IF(BetTable[Outcome]="Void",BetTable[Stake],)))))</f>
        <v>37</v>
      </c>
      <c r="AG990" s="227">
        <f>IF(BetTable[Outcome2]="Win",BetTable[WBA2-Commission],IF(BetTable[Outcome2]="Win Half Stake",(BetTable[S2]/2)+BetTable[WBA2-Commission]/2,IF(BetTable[Outcome2]="Lose Half Stake",BetTable[S2]/2,IF(BetTable[Outcome2]="Lose",0,IF(BetTable[Outcome2]="Void",BetTable[S2],)))))</f>
        <v>0</v>
      </c>
      <c r="AH990" s="227">
        <f>IF(BetTable[Outcome3]="Win",BetTable[WBA3-Commission],IF(BetTable[Outcome3]="Win Half Stake",(BetTable[S3]/2)+BetTable[WBA3-Commission]/2,IF(BetTable[Outcome3]="Lose Half Stake",BetTable[S3]/2,IF(BetTable[Outcome3]="Lose",0,IF(BetTable[Outcome3]="Void",BetTable[S3],)))))</f>
        <v>0</v>
      </c>
      <c r="AI990" s="231">
        <f>IF(BetTable[Outcome]="",AI989,BetTable[Result]+AI989)</f>
        <v>1635.4332499999996</v>
      </c>
      <c r="AJ990" s="223"/>
    </row>
    <row r="991" spans="1:36" x14ac:dyDescent="0.2">
      <c r="A991" s="222" t="s">
        <v>2375</v>
      </c>
      <c r="B991" s="223" t="s">
        <v>200</v>
      </c>
      <c r="C991" s="224" t="s">
        <v>1714</v>
      </c>
      <c r="D991" s="224"/>
      <c r="E991" s="224"/>
      <c r="F991" s="225"/>
      <c r="G991" s="225"/>
      <c r="H991" s="225"/>
      <c r="I991" s="223" t="s">
        <v>2528</v>
      </c>
      <c r="J991" s="226">
        <v>1.96</v>
      </c>
      <c r="K991" s="226"/>
      <c r="L991" s="226"/>
      <c r="M991" s="227">
        <v>29</v>
      </c>
      <c r="N991" s="227"/>
      <c r="O991" s="227"/>
      <c r="P991" s="222" t="s">
        <v>864</v>
      </c>
      <c r="Q991" s="222" t="s">
        <v>734</v>
      </c>
      <c r="R991" s="222" t="s">
        <v>2529</v>
      </c>
      <c r="S991" s="228">
        <v>2.37071652072911E-2</v>
      </c>
      <c r="T991" s="229" t="s">
        <v>372</v>
      </c>
      <c r="U991" s="229"/>
      <c r="V991" s="229"/>
      <c r="W991" s="230">
        <f>IF(BetTable[Sport]="","",BetTable[Stake]+BetTable[S2]+BetTable[S3])</f>
        <v>29</v>
      </c>
      <c r="X991" s="227">
        <f>IF(BetTable[Odds]="","",(BetTable[WBA1-Commission])-BetTable[TS])</f>
        <v>27.840000000000003</v>
      </c>
      <c r="Y991" s="231">
        <f>IF(BetTable[Outcome]="","",BetTable[WBA1]+BetTable[WBA2]+BetTable[WBA3]-BetTable[TS])</f>
        <v>27.840000000000003</v>
      </c>
      <c r="Z991" s="227">
        <f>(((BetTable[Odds]-1)*BetTable[Stake])*(1-(BetTable[Comm %]))+BetTable[Stake])</f>
        <v>56.84</v>
      </c>
      <c r="AA991" s="227">
        <f>(((BetTable[O2]-1)*BetTable[S2])*(1-(BetTable[C% 2]))+BetTable[S2])</f>
        <v>0</v>
      </c>
      <c r="AB991" s="227">
        <f>(((BetTable[O3]-1)*BetTable[S3])*(1-(BetTable[C% 3]))+BetTable[S3])</f>
        <v>0</v>
      </c>
      <c r="AC991" s="228">
        <f>IFERROR(IF(BetTable[Sport]="","",BetTable[R1]/BetTable[TS]),"")</f>
        <v>0.96000000000000008</v>
      </c>
      <c r="AD991" s="228" t="str">
        <f>IF(BetTable[O2]="","",#REF!/BetTable[TS])</f>
        <v/>
      </c>
      <c r="AE991" s="228" t="str">
        <f>IFERROR(IF(BetTable[Sport]="","",#REF!/BetTable[TS]),"")</f>
        <v/>
      </c>
      <c r="AF991" s="227">
        <f>IF(BetTable[Outcome]="Win",BetTable[WBA1-Commission],IF(BetTable[Outcome]="Win Half Stake",(BetTable[Stake]/2)+BetTable[WBA1-Commission]/2,IF(BetTable[Outcome]="Lose Half Stake",BetTable[Stake]/2,IF(BetTable[Outcome]="Lose",0,IF(BetTable[Outcome]="Void",BetTable[Stake],)))))</f>
        <v>56.84</v>
      </c>
      <c r="AG991" s="227">
        <f>IF(BetTable[Outcome2]="Win",BetTable[WBA2-Commission],IF(BetTable[Outcome2]="Win Half Stake",(BetTable[S2]/2)+BetTable[WBA2-Commission]/2,IF(BetTable[Outcome2]="Lose Half Stake",BetTable[S2]/2,IF(BetTable[Outcome2]="Lose",0,IF(BetTable[Outcome2]="Void",BetTable[S2],)))))</f>
        <v>0</v>
      </c>
      <c r="AH991" s="227">
        <f>IF(BetTable[Outcome3]="Win",BetTable[WBA3-Commission],IF(BetTable[Outcome3]="Win Half Stake",(BetTable[S3]/2)+BetTable[WBA3-Commission]/2,IF(BetTable[Outcome3]="Lose Half Stake",BetTable[S3]/2,IF(BetTable[Outcome3]="Lose",0,IF(BetTable[Outcome3]="Void",BetTable[S3],)))))</f>
        <v>0</v>
      </c>
      <c r="AI991" s="231">
        <f>IF(BetTable[Outcome]="",AI990,BetTable[Result]+AI990)</f>
        <v>1663.2732499999995</v>
      </c>
      <c r="AJ991" s="223"/>
    </row>
    <row r="992" spans="1:36" x14ac:dyDescent="0.2">
      <c r="A992" s="222" t="s">
        <v>2375</v>
      </c>
      <c r="B992" s="223" t="s">
        <v>200</v>
      </c>
      <c r="C992" s="224" t="s">
        <v>1714</v>
      </c>
      <c r="D992" s="224"/>
      <c r="E992" s="224"/>
      <c r="F992" s="225"/>
      <c r="G992" s="225"/>
      <c r="H992" s="225"/>
      <c r="I992" s="223" t="s">
        <v>2530</v>
      </c>
      <c r="J992" s="226">
        <v>1.92</v>
      </c>
      <c r="K992" s="226"/>
      <c r="L992" s="226"/>
      <c r="M992" s="227">
        <v>30</v>
      </c>
      <c r="N992" s="227"/>
      <c r="O992" s="227"/>
      <c r="P992" s="222" t="s">
        <v>543</v>
      </c>
      <c r="Q992" s="222" t="s">
        <v>495</v>
      </c>
      <c r="R992" s="222" t="s">
        <v>2531</v>
      </c>
      <c r="S992" s="228">
        <v>1.8085808580857999E-2</v>
      </c>
      <c r="T992" s="229" t="s">
        <v>372</v>
      </c>
      <c r="U992" s="229"/>
      <c r="V992" s="229"/>
      <c r="W992" s="230">
        <f>IF(BetTable[Sport]="","",BetTable[Stake]+BetTable[S2]+BetTable[S3])</f>
        <v>30</v>
      </c>
      <c r="X992" s="227">
        <f>IF(BetTable[Odds]="","",(BetTable[WBA1-Commission])-BetTable[TS])</f>
        <v>27.599999999999994</v>
      </c>
      <c r="Y992" s="231">
        <f>IF(BetTable[Outcome]="","",BetTable[WBA1]+BetTable[WBA2]+BetTable[WBA3]-BetTable[TS])</f>
        <v>27.599999999999994</v>
      </c>
      <c r="Z992" s="227">
        <f>(((BetTable[Odds]-1)*BetTable[Stake])*(1-(BetTable[Comm %]))+BetTable[Stake])</f>
        <v>57.599999999999994</v>
      </c>
      <c r="AA992" s="227">
        <f>(((BetTable[O2]-1)*BetTable[S2])*(1-(BetTable[C% 2]))+BetTable[S2])</f>
        <v>0</v>
      </c>
      <c r="AB992" s="227">
        <f>(((BetTable[O3]-1)*BetTable[S3])*(1-(BetTable[C% 3]))+BetTable[S3])</f>
        <v>0</v>
      </c>
      <c r="AC992" s="228">
        <f>IFERROR(IF(BetTable[Sport]="","",BetTable[R1]/BetTable[TS]),"")</f>
        <v>0.91999999999999982</v>
      </c>
      <c r="AD992" s="228" t="str">
        <f>IF(BetTable[O2]="","",#REF!/BetTable[TS])</f>
        <v/>
      </c>
      <c r="AE992" s="228" t="str">
        <f>IFERROR(IF(BetTable[Sport]="","",#REF!/BetTable[TS]),"")</f>
        <v/>
      </c>
      <c r="AF992" s="227">
        <f>IF(BetTable[Outcome]="Win",BetTable[WBA1-Commission],IF(BetTable[Outcome]="Win Half Stake",(BetTable[Stake]/2)+BetTable[WBA1-Commission]/2,IF(BetTable[Outcome]="Lose Half Stake",BetTable[Stake]/2,IF(BetTable[Outcome]="Lose",0,IF(BetTable[Outcome]="Void",BetTable[Stake],)))))</f>
        <v>57.599999999999994</v>
      </c>
      <c r="AG992" s="227">
        <f>IF(BetTable[Outcome2]="Win",BetTable[WBA2-Commission],IF(BetTable[Outcome2]="Win Half Stake",(BetTable[S2]/2)+BetTable[WBA2-Commission]/2,IF(BetTable[Outcome2]="Lose Half Stake",BetTable[S2]/2,IF(BetTable[Outcome2]="Lose",0,IF(BetTable[Outcome2]="Void",BetTable[S2],)))))</f>
        <v>0</v>
      </c>
      <c r="AH992" s="227">
        <f>IF(BetTable[Outcome3]="Win",BetTable[WBA3-Commission],IF(BetTable[Outcome3]="Win Half Stake",(BetTable[S3]/2)+BetTable[WBA3-Commission]/2,IF(BetTable[Outcome3]="Lose Half Stake",BetTable[S3]/2,IF(BetTable[Outcome3]="Lose",0,IF(BetTable[Outcome3]="Void",BetTable[S3],)))))</f>
        <v>0</v>
      </c>
      <c r="AI992" s="231">
        <f>IF(BetTable[Outcome]="",AI991,BetTable[Result]+AI991)</f>
        <v>1690.8732499999994</v>
      </c>
      <c r="AJ992" s="223"/>
    </row>
    <row r="993" spans="1:36" x14ac:dyDescent="0.2">
      <c r="A993" s="222" t="s">
        <v>2375</v>
      </c>
      <c r="B993" s="223" t="s">
        <v>200</v>
      </c>
      <c r="C993" s="224" t="s">
        <v>1714</v>
      </c>
      <c r="D993" s="224"/>
      <c r="E993" s="224"/>
      <c r="F993" s="225"/>
      <c r="G993" s="225"/>
      <c r="H993" s="225"/>
      <c r="I993" s="223" t="s">
        <v>2532</v>
      </c>
      <c r="J993" s="226">
        <v>2.65</v>
      </c>
      <c r="K993" s="226"/>
      <c r="L993" s="226"/>
      <c r="M993" s="227">
        <v>33</v>
      </c>
      <c r="N993" s="227"/>
      <c r="O993" s="227"/>
      <c r="P993" s="222" t="s">
        <v>428</v>
      </c>
      <c r="Q993" s="222" t="s">
        <v>1842</v>
      </c>
      <c r="R993" s="222" t="s">
        <v>2533</v>
      </c>
      <c r="S993" s="228">
        <v>3.5042715854257202E-2</v>
      </c>
      <c r="T993" s="229" t="s">
        <v>382</v>
      </c>
      <c r="U993" s="229"/>
      <c r="V993" s="229"/>
      <c r="W993" s="230">
        <f>IF(BetTable[Sport]="","",BetTable[Stake]+BetTable[S2]+BetTable[S3])</f>
        <v>33</v>
      </c>
      <c r="X993" s="227">
        <f>IF(BetTable[Odds]="","",(BetTable[WBA1-Commission])-BetTable[TS])</f>
        <v>54.449999999999989</v>
      </c>
      <c r="Y993" s="231">
        <f>IF(BetTable[Outcome]="","",BetTable[WBA1]+BetTable[WBA2]+BetTable[WBA3]-BetTable[TS])</f>
        <v>-33</v>
      </c>
      <c r="Z993" s="227">
        <f>(((BetTable[Odds]-1)*BetTable[Stake])*(1-(BetTable[Comm %]))+BetTable[Stake])</f>
        <v>87.449999999999989</v>
      </c>
      <c r="AA993" s="227">
        <f>(((BetTable[O2]-1)*BetTable[S2])*(1-(BetTable[C% 2]))+BetTable[S2])</f>
        <v>0</v>
      </c>
      <c r="AB993" s="227">
        <f>(((BetTable[O3]-1)*BetTable[S3])*(1-(BetTable[C% 3]))+BetTable[S3])</f>
        <v>0</v>
      </c>
      <c r="AC993" s="228">
        <f>IFERROR(IF(BetTable[Sport]="","",BetTable[R1]/BetTable[TS]),"")</f>
        <v>1.6499999999999997</v>
      </c>
      <c r="AD993" s="228" t="str">
        <f>IF(BetTable[O2]="","",#REF!/BetTable[TS])</f>
        <v/>
      </c>
      <c r="AE993" s="228" t="str">
        <f>IFERROR(IF(BetTable[Sport]="","",#REF!/BetTable[TS]),"")</f>
        <v/>
      </c>
      <c r="AF993" s="227">
        <f>IF(BetTable[Outcome]="Win",BetTable[WBA1-Commission],IF(BetTable[Outcome]="Win Half Stake",(BetTable[Stake]/2)+BetTable[WBA1-Commission]/2,IF(BetTable[Outcome]="Lose Half Stake",BetTable[Stake]/2,IF(BetTable[Outcome]="Lose",0,IF(BetTable[Outcome]="Void",BetTable[Stake],)))))</f>
        <v>0</v>
      </c>
      <c r="AG993" s="227">
        <f>IF(BetTable[Outcome2]="Win",BetTable[WBA2-Commission],IF(BetTable[Outcome2]="Win Half Stake",(BetTable[S2]/2)+BetTable[WBA2-Commission]/2,IF(BetTable[Outcome2]="Lose Half Stake",BetTable[S2]/2,IF(BetTable[Outcome2]="Lose",0,IF(BetTable[Outcome2]="Void",BetTable[S2],)))))</f>
        <v>0</v>
      </c>
      <c r="AH993" s="227">
        <f>IF(BetTable[Outcome3]="Win",BetTable[WBA3-Commission],IF(BetTable[Outcome3]="Win Half Stake",(BetTable[S3]/2)+BetTable[WBA3-Commission]/2,IF(BetTable[Outcome3]="Lose Half Stake",BetTable[S3]/2,IF(BetTable[Outcome3]="Lose",0,IF(BetTable[Outcome3]="Void",BetTable[S3],)))))</f>
        <v>0</v>
      </c>
      <c r="AI993" s="231">
        <f>IF(BetTable[Outcome]="",AI992,BetTable[Result]+AI992)</f>
        <v>1657.8732499999994</v>
      </c>
      <c r="AJ993" s="223"/>
    </row>
    <row r="994" spans="1:36" x14ac:dyDescent="0.2">
      <c r="A994" s="222" t="s">
        <v>2375</v>
      </c>
      <c r="B994" s="223" t="s">
        <v>200</v>
      </c>
      <c r="C994" s="224" t="s">
        <v>1714</v>
      </c>
      <c r="D994" s="224"/>
      <c r="E994" s="224"/>
      <c r="F994" s="225"/>
      <c r="G994" s="225"/>
      <c r="H994" s="225"/>
      <c r="I994" s="223" t="s">
        <v>2534</v>
      </c>
      <c r="J994" s="226">
        <v>2.11</v>
      </c>
      <c r="K994" s="226"/>
      <c r="L994" s="226"/>
      <c r="M994" s="227">
        <v>41</v>
      </c>
      <c r="N994" s="227"/>
      <c r="O994" s="227"/>
      <c r="P994" s="222" t="s">
        <v>360</v>
      </c>
      <c r="Q994" s="222" t="s">
        <v>495</v>
      </c>
      <c r="R994" s="222" t="s">
        <v>2535</v>
      </c>
      <c r="S994" s="228">
        <v>2.9283693774915201E-2</v>
      </c>
      <c r="T994" s="229" t="s">
        <v>382</v>
      </c>
      <c r="U994" s="229"/>
      <c r="V994" s="229"/>
      <c r="W994" s="230">
        <f>IF(BetTable[Sport]="","",BetTable[Stake]+BetTable[S2]+BetTable[S3])</f>
        <v>41</v>
      </c>
      <c r="X994" s="227">
        <f>IF(BetTable[Odds]="","",(BetTable[WBA1-Commission])-BetTable[TS])</f>
        <v>45.509999999999991</v>
      </c>
      <c r="Y994" s="231">
        <f>IF(BetTable[Outcome]="","",BetTable[WBA1]+BetTable[WBA2]+BetTable[WBA3]-BetTable[TS])</f>
        <v>-41</v>
      </c>
      <c r="Z994" s="227">
        <f>(((BetTable[Odds]-1)*BetTable[Stake])*(1-(BetTable[Comm %]))+BetTable[Stake])</f>
        <v>86.509999999999991</v>
      </c>
      <c r="AA994" s="227">
        <f>(((BetTable[O2]-1)*BetTable[S2])*(1-(BetTable[C% 2]))+BetTable[S2])</f>
        <v>0</v>
      </c>
      <c r="AB994" s="227">
        <f>(((BetTable[O3]-1)*BetTable[S3])*(1-(BetTable[C% 3]))+BetTable[S3])</f>
        <v>0</v>
      </c>
      <c r="AC994" s="228">
        <f>IFERROR(IF(BetTable[Sport]="","",BetTable[R1]/BetTable[TS]),"")</f>
        <v>1.1099999999999999</v>
      </c>
      <c r="AD994" s="228" t="str">
        <f>IF(BetTable[O2]="","",#REF!/BetTable[TS])</f>
        <v/>
      </c>
      <c r="AE994" s="228" t="str">
        <f>IFERROR(IF(BetTable[Sport]="","",#REF!/BetTable[TS]),"")</f>
        <v/>
      </c>
      <c r="AF994" s="227">
        <f>IF(BetTable[Outcome]="Win",BetTable[WBA1-Commission],IF(BetTable[Outcome]="Win Half Stake",(BetTable[Stake]/2)+BetTable[WBA1-Commission]/2,IF(BetTable[Outcome]="Lose Half Stake",BetTable[Stake]/2,IF(BetTable[Outcome]="Lose",0,IF(BetTable[Outcome]="Void",BetTable[Stake],)))))</f>
        <v>0</v>
      </c>
      <c r="AG994" s="227">
        <f>IF(BetTable[Outcome2]="Win",BetTable[WBA2-Commission],IF(BetTable[Outcome2]="Win Half Stake",(BetTable[S2]/2)+BetTable[WBA2-Commission]/2,IF(BetTable[Outcome2]="Lose Half Stake",BetTable[S2]/2,IF(BetTable[Outcome2]="Lose",0,IF(BetTable[Outcome2]="Void",BetTable[S2],)))))</f>
        <v>0</v>
      </c>
      <c r="AH994" s="227">
        <f>IF(BetTable[Outcome3]="Win",BetTable[WBA3-Commission],IF(BetTable[Outcome3]="Win Half Stake",(BetTable[S3]/2)+BetTable[WBA3-Commission]/2,IF(BetTable[Outcome3]="Lose Half Stake",BetTable[S3]/2,IF(BetTable[Outcome3]="Lose",0,IF(BetTable[Outcome3]="Void",BetTable[S3],)))))</f>
        <v>0</v>
      </c>
      <c r="AI994" s="231">
        <f>IF(BetTable[Outcome]="",AI993,BetTable[Result]+AI993)</f>
        <v>1616.8732499999994</v>
      </c>
      <c r="AJ994" s="223"/>
    </row>
    <row r="995" spans="1:36" x14ac:dyDescent="0.2">
      <c r="A995" s="222" t="s">
        <v>2375</v>
      </c>
      <c r="B995" s="223" t="s">
        <v>200</v>
      </c>
      <c r="C995" s="224" t="s">
        <v>1714</v>
      </c>
      <c r="D995" s="224"/>
      <c r="E995" s="224"/>
      <c r="F995" s="225"/>
      <c r="G995" s="225"/>
      <c r="H995" s="225"/>
      <c r="I995" s="223" t="s">
        <v>2536</v>
      </c>
      <c r="J995" s="226">
        <v>2.0640000000000001</v>
      </c>
      <c r="K995" s="226"/>
      <c r="L995" s="226"/>
      <c r="M995" s="227">
        <v>26</v>
      </c>
      <c r="N995" s="227"/>
      <c r="O995" s="227"/>
      <c r="P995" s="222" t="s">
        <v>351</v>
      </c>
      <c r="Q995" s="222" t="s">
        <v>1132</v>
      </c>
      <c r="R995" s="222" t="s">
        <v>2537</v>
      </c>
      <c r="S995" s="228">
        <v>1.7957396777073E-2</v>
      </c>
      <c r="T995" s="229" t="s">
        <v>372</v>
      </c>
      <c r="U995" s="229"/>
      <c r="V995" s="229"/>
      <c r="W995" s="230">
        <f>IF(BetTable[Sport]="","",BetTable[Stake]+BetTable[S2]+BetTable[S3])</f>
        <v>26</v>
      </c>
      <c r="X995" s="227">
        <f>IF(BetTable[Odds]="","",(BetTable[WBA1-Commission])-BetTable[TS])</f>
        <v>27.664000000000001</v>
      </c>
      <c r="Y995" s="231">
        <f>IF(BetTable[Outcome]="","",BetTable[WBA1]+BetTable[WBA2]+BetTable[WBA3]-BetTable[TS])</f>
        <v>27.664000000000001</v>
      </c>
      <c r="Z995" s="227">
        <f>(((BetTable[Odds]-1)*BetTable[Stake])*(1-(BetTable[Comm %]))+BetTable[Stake])</f>
        <v>53.664000000000001</v>
      </c>
      <c r="AA995" s="227">
        <f>(((BetTable[O2]-1)*BetTable[S2])*(1-(BetTable[C% 2]))+BetTable[S2])</f>
        <v>0</v>
      </c>
      <c r="AB995" s="227">
        <f>(((BetTable[O3]-1)*BetTable[S3])*(1-(BetTable[C% 3]))+BetTable[S3])</f>
        <v>0</v>
      </c>
      <c r="AC995" s="228">
        <f>IFERROR(IF(BetTable[Sport]="","",BetTable[R1]/BetTable[TS]),"")</f>
        <v>1.0640000000000001</v>
      </c>
      <c r="AD995" s="228" t="str">
        <f>IF(BetTable[O2]="","",#REF!/BetTable[TS])</f>
        <v/>
      </c>
      <c r="AE995" s="228" t="str">
        <f>IFERROR(IF(BetTable[Sport]="","",#REF!/BetTable[TS]),"")</f>
        <v/>
      </c>
      <c r="AF995" s="227">
        <f>IF(BetTable[Outcome]="Win",BetTable[WBA1-Commission],IF(BetTable[Outcome]="Win Half Stake",(BetTable[Stake]/2)+BetTable[WBA1-Commission]/2,IF(BetTable[Outcome]="Lose Half Stake",BetTable[Stake]/2,IF(BetTable[Outcome]="Lose",0,IF(BetTable[Outcome]="Void",BetTable[Stake],)))))</f>
        <v>53.664000000000001</v>
      </c>
      <c r="AG995" s="227">
        <f>IF(BetTable[Outcome2]="Win",BetTable[WBA2-Commission],IF(BetTable[Outcome2]="Win Half Stake",(BetTable[S2]/2)+BetTable[WBA2-Commission]/2,IF(BetTable[Outcome2]="Lose Half Stake",BetTable[S2]/2,IF(BetTable[Outcome2]="Lose",0,IF(BetTable[Outcome2]="Void",BetTable[S2],)))))</f>
        <v>0</v>
      </c>
      <c r="AH995" s="227">
        <f>IF(BetTable[Outcome3]="Win",BetTable[WBA3-Commission],IF(BetTable[Outcome3]="Win Half Stake",(BetTable[S3]/2)+BetTable[WBA3-Commission]/2,IF(BetTable[Outcome3]="Lose Half Stake",BetTable[S3]/2,IF(BetTable[Outcome3]="Lose",0,IF(BetTable[Outcome3]="Void",BetTable[S3],)))))</f>
        <v>0</v>
      </c>
      <c r="AI995" s="231">
        <f>IF(BetTable[Outcome]="",AI994,BetTable[Result]+AI994)</f>
        <v>1644.5372499999994</v>
      </c>
      <c r="AJ995" s="223"/>
    </row>
    <row r="996" spans="1:36" x14ac:dyDescent="0.2">
      <c r="A996" s="222" t="s">
        <v>2375</v>
      </c>
      <c r="B996" s="223" t="s">
        <v>200</v>
      </c>
      <c r="C996" s="224" t="s">
        <v>1714</v>
      </c>
      <c r="D996" s="224"/>
      <c r="E996" s="224"/>
      <c r="F996" s="225"/>
      <c r="G996" s="225"/>
      <c r="H996" s="225"/>
      <c r="I996" s="223" t="s">
        <v>2538</v>
      </c>
      <c r="J996" s="226">
        <v>1.95</v>
      </c>
      <c r="K996" s="226"/>
      <c r="L996" s="226"/>
      <c r="M996" s="227">
        <v>26</v>
      </c>
      <c r="N996" s="227"/>
      <c r="O996" s="227"/>
      <c r="P996" s="222" t="s">
        <v>688</v>
      </c>
      <c r="Q996" s="222" t="s">
        <v>1263</v>
      </c>
      <c r="R996" s="222" t="s">
        <v>2539</v>
      </c>
      <c r="S996" s="228">
        <v>1.5937552889478301E-2</v>
      </c>
      <c r="T996" s="229" t="s">
        <v>382</v>
      </c>
      <c r="U996" s="229"/>
      <c r="V996" s="229"/>
      <c r="W996" s="230">
        <f>IF(BetTable[Sport]="","",BetTable[Stake]+BetTable[S2]+BetTable[S3])</f>
        <v>26</v>
      </c>
      <c r="X996" s="227">
        <f>IF(BetTable[Odds]="","",(BetTable[WBA1-Commission])-BetTable[TS])</f>
        <v>24.700000000000003</v>
      </c>
      <c r="Y996" s="231">
        <f>IF(BetTable[Outcome]="","",BetTable[WBA1]+BetTable[WBA2]+BetTable[WBA3]-BetTable[TS])</f>
        <v>-26</v>
      </c>
      <c r="Z996" s="227">
        <f>(((BetTable[Odds]-1)*BetTable[Stake])*(1-(BetTable[Comm %]))+BetTable[Stake])</f>
        <v>50.7</v>
      </c>
      <c r="AA996" s="227">
        <f>(((BetTable[O2]-1)*BetTable[S2])*(1-(BetTable[C% 2]))+BetTable[S2])</f>
        <v>0</v>
      </c>
      <c r="AB996" s="227">
        <f>(((BetTable[O3]-1)*BetTable[S3])*(1-(BetTable[C% 3]))+BetTable[S3])</f>
        <v>0</v>
      </c>
      <c r="AC996" s="228">
        <f>IFERROR(IF(BetTable[Sport]="","",BetTable[R1]/BetTable[TS]),"")</f>
        <v>0.95000000000000007</v>
      </c>
      <c r="AD996" s="228" t="str">
        <f>IF(BetTable[O2]="","",#REF!/BetTable[TS])</f>
        <v/>
      </c>
      <c r="AE996" s="228" t="str">
        <f>IFERROR(IF(BetTable[Sport]="","",#REF!/BetTable[TS]),"")</f>
        <v/>
      </c>
      <c r="AF996" s="227">
        <f>IF(BetTable[Outcome]="Win",BetTable[WBA1-Commission],IF(BetTable[Outcome]="Win Half Stake",(BetTable[Stake]/2)+BetTable[WBA1-Commission]/2,IF(BetTable[Outcome]="Lose Half Stake",BetTable[Stake]/2,IF(BetTable[Outcome]="Lose",0,IF(BetTable[Outcome]="Void",BetTable[Stake],)))))</f>
        <v>0</v>
      </c>
      <c r="AG996" s="227">
        <f>IF(BetTable[Outcome2]="Win",BetTable[WBA2-Commission],IF(BetTable[Outcome2]="Win Half Stake",(BetTable[S2]/2)+BetTable[WBA2-Commission]/2,IF(BetTable[Outcome2]="Lose Half Stake",BetTable[S2]/2,IF(BetTable[Outcome2]="Lose",0,IF(BetTable[Outcome2]="Void",BetTable[S2],)))))</f>
        <v>0</v>
      </c>
      <c r="AH996" s="227">
        <f>IF(BetTable[Outcome3]="Win",BetTable[WBA3-Commission],IF(BetTable[Outcome3]="Win Half Stake",(BetTable[S3]/2)+BetTable[WBA3-Commission]/2,IF(BetTable[Outcome3]="Lose Half Stake",BetTable[S3]/2,IF(BetTable[Outcome3]="Lose",0,IF(BetTable[Outcome3]="Void",BetTable[S3],)))))</f>
        <v>0</v>
      </c>
      <c r="AI996" s="231">
        <f>IF(BetTable[Outcome]="",AI995,BetTable[Result]+AI995)</f>
        <v>1618.5372499999994</v>
      </c>
      <c r="AJ996" s="223"/>
    </row>
    <row r="997" spans="1:36" x14ac:dyDescent="0.2">
      <c r="A997" s="222" t="s">
        <v>2375</v>
      </c>
      <c r="B997" s="223" t="s">
        <v>200</v>
      </c>
      <c r="C997" s="224" t="s">
        <v>185</v>
      </c>
      <c r="D997" s="224"/>
      <c r="E997" s="224"/>
      <c r="F997" s="225"/>
      <c r="G997" s="225"/>
      <c r="H997" s="225"/>
      <c r="I997" s="223" t="s">
        <v>2540</v>
      </c>
      <c r="J997" s="226">
        <v>5.75</v>
      </c>
      <c r="K997" s="226"/>
      <c r="L997" s="226"/>
      <c r="M997" s="227">
        <v>11</v>
      </c>
      <c r="N997" s="227"/>
      <c r="O997" s="227"/>
      <c r="P997" s="222" t="s">
        <v>494</v>
      </c>
      <c r="Q997" s="222" t="s">
        <v>632</v>
      </c>
      <c r="R997" s="222" t="s">
        <v>2541</v>
      </c>
      <c r="S997" s="228">
        <v>3.4144110052517697E-2</v>
      </c>
      <c r="T997" s="229" t="s">
        <v>382</v>
      </c>
      <c r="U997" s="229"/>
      <c r="V997" s="229"/>
      <c r="W997" s="230">
        <f>IF(BetTable[Sport]="","",BetTable[Stake]+BetTable[S2]+BetTable[S3])</f>
        <v>11</v>
      </c>
      <c r="X997" s="227">
        <f>IF(BetTable[Odds]="","",(BetTable[WBA1-Commission])-BetTable[TS])</f>
        <v>52.25</v>
      </c>
      <c r="Y997" s="231">
        <f>IF(BetTable[Outcome]="","",BetTable[WBA1]+BetTable[WBA2]+BetTable[WBA3]-BetTable[TS])</f>
        <v>-11</v>
      </c>
      <c r="Z997" s="227">
        <f>(((BetTable[Odds]-1)*BetTable[Stake])*(1-(BetTable[Comm %]))+BetTable[Stake])</f>
        <v>63.25</v>
      </c>
      <c r="AA997" s="227">
        <f>(((BetTable[O2]-1)*BetTable[S2])*(1-(BetTable[C% 2]))+BetTable[S2])</f>
        <v>0</v>
      </c>
      <c r="AB997" s="227">
        <f>(((BetTable[O3]-1)*BetTable[S3])*(1-(BetTable[C% 3]))+BetTable[S3])</f>
        <v>0</v>
      </c>
      <c r="AC997" s="228">
        <f>IFERROR(IF(BetTable[Sport]="","",BetTable[R1]/BetTable[TS]),"")</f>
        <v>4.75</v>
      </c>
      <c r="AD997" s="228" t="str">
        <f>IF(BetTable[O2]="","",#REF!/BetTable[TS])</f>
        <v/>
      </c>
      <c r="AE997" s="228" t="str">
        <f>IFERROR(IF(BetTable[Sport]="","",#REF!/BetTable[TS]),"")</f>
        <v/>
      </c>
      <c r="AF997" s="227">
        <f>IF(BetTable[Outcome]="Win",BetTable[WBA1-Commission],IF(BetTable[Outcome]="Win Half Stake",(BetTable[Stake]/2)+BetTable[WBA1-Commission]/2,IF(BetTable[Outcome]="Lose Half Stake",BetTable[Stake]/2,IF(BetTable[Outcome]="Lose",0,IF(BetTable[Outcome]="Void",BetTable[Stake],)))))</f>
        <v>0</v>
      </c>
      <c r="AG997" s="227">
        <f>IF(BetTable[Outcome2]="Win",BetTable[WBA2-Commission],IF(BetTable[Outcome2]="Win Half Stake",(BetTable[S2]/2)+BetTable[WBA2-Commission]/2,IF(BetTable[Outcome2]="Lose Half Stake",BetTable[S2]/2,IF(BetTable[Outcome2]="Lose",0,IF(BetTable[Outcome2]="Void",BetTable[S2],)))))</f>
        <v>0</v>
      </c>
      <c r="AH997" s="227">
        <f>IF(BetTable[Outcome3]="Win",BetTable[WBA3-Commission],IF(BetTable[Outcome3]="Win Half Stake",(BetTable[S3]/2)+BetTable[WBA3-Commission]/2,IF(BetTable[Outcome3]="Lose Half Stake",BetTable[S3]/2,IF(BetTable[Outcome3]="Lose",0,IF(BetTable[Outcome3]="Void",BetTable[S3],)))))</f>
        <v>0</v>
      </c>
      <c r="AI997" s="231">
        <f>IF(BetTable[Outcome]="",AI996,BetTable[Result]+AI996)</f>
        <v>1607.5372499999994</v>
      </c>
      <c r="AJ997" s="223"/>
    </row>
    <row r="998" spans="1:36" x14ac:dyDescent="0.2">
      <c r="A998" s="222" t="s">
        <v>2375</v>
      </c>
      <c r="B998" s="223" t="s">
        <v>200</v>
      </c>
      <c r="C998" s="224" t="s">
        <v>1714</v>
      </c>
      <c r="D998" s="224"/>
      <c r="E998" s="224"/>
      <c r="F998" s="225"/>
      <c r="G998" s="225"/>
      <c r="H998" s="225"/>
      <c r="I998" s="223" t="s">
        <v>2542</v>
      </c>
      <c r="J998" s="226">
        <v>3.15</v>
      </c>
      <c r="K998" s="226"/>
      <c r="L998" s="226"/>
      <c r="M998" s="227">
        <v>42</v>
      </c>
      <c r="N998" s="227"/>
      <c r="O998" s="227"/>
      <c r="P998" s="222" t="s">
        <v>494</v>
      </c>
      <c r="Q998" s="222" t="s">
        <v>581</v>
      </c>
      <c r="R998" s="222" t="s">
        <v>2543</v>
      </c>
      <c r="S998" s="228">
        <v>5.79345126049697E-2</v>
      </c>
      <c r="T998" s="229" t="s">
        <v>382</v>
      </c>
      <c r="U998" s="229"/>
      <c r="V998" s="229"/>
      <c r="W998" s="230">
        <f>IF(BetTable[Sport]="","",BetTable[Stake]+BetTable[S2]+BetTable[S3])</f>
        <v>42</v>
      </c>
      <c r="X998" s="227">
        <f>IF(BetTable[Odds]="","",(BetTable[WBA1-Commission])-BetTable[TS])</f>
        <v>90.300000000000011</v>
      </c>
      <c r="Y998" s="231">
        <f>IF(BetTable[Outcome]="","",BetTable[WBA1]+BetTable[WBA2]+BetTable[WBA3]-BetTable[TS])</f>
        <v>-42</v>
      </c>
      <c r="Z998" s="227">
        <f>(((BetTable[Odds]-1)*BetTable[Stake])*(1-(BetTable[Comm %]))+BetTable[Stake])</f>
        <v>132.30000000000001</v>
      </c>
      <c r="AA998" s="227">
        <f>(((BetTable[O2]-1)*BetTable[S2])*(1-(BetTable[C% 2]))+BetTable[S2])</f>
        <v>0</v>
      </c>
      <c r="AB998" s="227">
        <f>(((BetTable[O3]-1)*BetTable[S3])*(1-(BetTable[C% 3]))+BetTable[S3])</f>
        <v>0</v>
      </c>
      <c r="AC998" s="228">
        <f>IFERROR(IF(BetTable[Sport]="","",BetTable[R1]/BetTable[TS]),"")</f>
        <v>2.1500000000000004</v>
      </c>
      <c r="AD998" s="228" t="str">
        <f>IF(BetTable[O2]="","",#REF!/BetTable[TS])</f>
        <v/>
      </c>
      <c r="AE998" s="228" t="str">
        <f>IFERROR(IF(BetTable[Sport]="","",#REF!/BetTable[TS]),"")</f>
        <v/>
      </c>
      <c r="AF998" s="227">
        <f>IF(BetTable[Outcome]="Win",BetTable[WBA1-Commission],IF(BetTable[Outcome]="Win Half Stake",(BetTable[Stake]/2)+BetTable[WBA1-Commission]/2,IF(BetTable[Outcome]="Lose Half Stake",BetTable[Stake]/2,IF(BetTable[Outcome]="Lose",0,IF(BetTable[Outcome]="Void",BetTable[Stake],)))))</f>
        <v>0</v>
      </c>
      <c r="AG998" s="227">
        <f>IF(BetTable[Outcome2]="Win",BetTable[WBA2-Commission],IF(BetTable[Outcome2]="Win Half Stake",(BetTable[S2]/2)+BetTable[WBA2-Commission]/2,IF(BetTable[Outcome2]="Lose Half Stake",BetTable[S2]/2,IF(BetTable[Outcome2]="Lose",0,IF(BetTable[Outcome2]="Void",BetTable[S2],)))))</f>
        <v>0</v>
      </c>
      <c r="AH998" s="227">
        <f>IF(BetTable[Outcome3]="Win",BetTable[WBA3-Commission],IF(BetTable[Outcome3]="Win Half Stake",(BetTable[S3]/2)+BetTable[WBA3-Commission]/2,IF(BetTable[Outcome3]="Lose Half Stake",BetTable[S3]/2,IF(BetTable[Outcome3]="Lose",0,IF(BetTable[Outcome3]="Void",BetTable[S3],)))))</f>
        <v>0</v>
      </c>
      <c r="AI998" s="231">
        <f>IF(BetTable[Outcome]="",AI997,BetTable[Result]+AI997)</f>
        <v>1565.5372499999994</v>
      </c>
      <c r="AJ998" s="223"/>
    </row>
    <row r="999" spans="1:36" x14ac:dyDescent="0.2">
      <c r="A999" s="222" t="s">
        <v>2375</v>
      </c>
      <c r="B999" s="223" t="s">
        <v>200</v>
      </c>
      <c r="C999" s="224" t="s">
        <v>1714</v>
      </c>
      <c r="D999" s="224"/>
      <c r="E999" s="224"/>
      <c r="F999" s="225"/>
      <c r="G999" s="225"/>
      <c r="H999" s="225"/>
      <c r="I999" s="223" t="s">
        <v>2421</v>
      </c>
      <c r="J999" s="226">
        <v>1.93</v>
      </c>
      <c r="K999" s="226"/>
      <c r="L999" s="226"/>
      <c r="M999" s="227">
        <v>29</v>
      </c>
      <c r="N999" s="227"/>
      <c r="O999" s="227"/>
      <c r="P999" s="222" t="s">
        <v>1710</v>
      </c>
      <c r="Q999" s="222" t="s">
        <v>1842</v>
      </c>
      <c r="R999" s="222" t="s">
        <v>2544</v>
      </c>
      <c r="S999" s="228">
        <v>1.71645225316048E-2</v>
      </c>
      <c r="T999" s="229" t="s">
        <v>549</v>
      </c>
      <c r="U999" s="229"/>
      <c r="V999" s="229"/>
      <c r="W999" s="230">
        <f>IF(BetTable[Sport]="","",BetTable[Stake]+BetTable[S2]+BetTable[S3])</f>
        <v>29</v>
      </c>
      <c r="X999" s="227">
        <f>IF(BetTable[Odds]="","",(BetTable[WBA1-Commission])-BetTable[TS])</f>
        <v>26.97</v>
      </c>
      <c r="Y999" s="231">
        <f>IF(BetTable[Outcome]="","",BetTable[WBA1]+BetTable[WBA2]+BetTable[WBA3]-BetTable[TS])</f>
        <v>-14.5</v>
      </c>
      <c r="Z999" s="227">
        <f>(((BetTable[Odds]-1)*BetTable[Stake])*(1-(BetTable[Comm %]))+BetTable[Stake])</f>
        <v>55.97</v>
      </c>
      <c r="AA999" s="227">
        <f>(((BetTable[O2]-1)*BetTable[S2])*(1-(BetTable[C% 2]))+BetTable[S2])</f>
        <v>0</v>
      </c>
      <c r="AB999" s="227">
        <f>(((BetTable[O3]-1)*BetTable[S3])*(1-(BetTable[C% 3]))+BetTable[S3])</f>
        <v>0</v>
      </c>
      <c r="AC999" s="228">
        <f>IFERROR(IF(BetTable[Sport]="","",BetTable[R1]/BetTable[TS]),"")</f>
        <v>0.92999999999999994</v>
      </c>
      <c r="AD999" s="228" t="str">
        <f>IF(BetTable[O2]="","",#REF!/BetTable[TS])</f>
        <v/>
      </c>
      <c r="AE999" s="228" t="str">
        <f>IFERROR(IF(BetTable[Sport]="","",#REF!/BetTable[TS]),"")</f>
        <v/>
      </c>
      <c r="AF999" s="227">
        <f>IF(BetTable[Outcome]="Win",BetTable[WBA1-Commission],IF(BetTable[Outcome]="Win Half Stake",(BetTable[Stake]/2)+BetTable[WBA1-Commission]/2,IF(BetTable[Outcome]="Lose Half Stake",BetTable[Stake]/2,IF(BetTable[Outcome]="Lose",0,IF(BetTable[Outcome]="Void",BetTable[Stake],)))))</f>
        <v>14.5</v>
      </c>
      <c r="AG999" s="227">
        <f>IF(BetTable[Outcome2]="Win",BetTable[WBA2-Commission],IF(BetTable[Outcome2]="Win Half Stake",(BetTable[S2]/2)+BetTable[WBA2-Commission]/2,IF(BetTable[Outcome2]="Lose Half Stake",BetTable[S2]/2,IF(BetTable[Outcome2]="Lose",0,IF(BetTable[Outcome2]="Void",BetTable[S2],)))))</f>
        <v>0</v>
      </c>
      <c r="AH999" s="227">
        <f>IF(BetTable[Outcome3]="Win",BetTable[WBA3-Commission],IF(BetTable[Outcome3]="Win Half Stake",(BetTable[S3]/2)+BetTable[WBA3-Commission]/2,IF(BetTable[Outcome3]="Lose Half Stake",BetTable[S3]/2,IF(BetTable[Outcome3]="Lose",0,IF(BetTable[Outcome3]="Void",BetTable[S3],)))))</f>
        <v>0</v>
      </c>
      <c r="AI999" s="231">
        <f>IF(BetTable[Outcome]="",AI998,BetTable[Result]+AI998)</f>
        <v>1551.0372499999994</v>
      </c>
      <c r="AJ999" s="223"/>
    </row>
    <row r="1000" spans="1:36" x14ac:dyDescent="0.2">
      <c r="A1000" s="222" t="s">
        <v>2375</v>
      </c>
      <c r="B1000" s="223" t="s">
        <v>200</v>
      </c>
      <c r="C1000" s="224" t="s">
        <v>1714</v>
      </c>
      <c r="D1000" s="224"/>
      <c r="E1000" s="224"/>
      <c r="F1000" s="225"/>
      <c r="G1000" s="225"/>
      <c r="H1000" s="225"/>
      <c r="I1000" s="223" t="s">
        <v>2545</v>
      </c>
      <c r="J1000" s="226">
        <v>2.04</v>
      </c>
      <c r="K1000" s="226"/>
      <c r="L1000" s="226"/>
      <c r="M1000" s="227">
        <v>42</v>
      </c>
      <c r="N1000" s="227"/>
      <c r="O1000" s="227"/>
      <c r="P1000" s="222" t="s">
        <v>1710</v>
      </c>
      <c r="Q1000" s="222" t="s">
        <v>632</v>
      </c>
      <c r="R1000" s="222" t="s">
        <v>2546</v>
      </c>
      <c r="S1000" s="228">
        <v>1.99999999999999E-2</v>
      </c>
      <c r="T1000" s="229" t="s">
        <v>372</v>
      </c>
      <c r="U1000" s="229"/>
      <c r="V1000" s="229"/>
      <c r="W1000" s="230">
        <f>IF(BetTable[Sport]="","",BetTable[Stake]+BetTable[S2]+BetTable[S3])</f>
        <v>42</v>
      </c>
      <c r="X1000" s="227">
        <f>IF(BetTable[Odds]="","",(BetTable[WBA1-Commission])-BetTable[TS])</f>
        <v>43.680000000000007</v>
      </c>
      <c r="Y1000" s="231">
        <f>IF(BetTable[Outcome]="","",BetTable[WBA1]+BetTable[WBA2]+BetTable[WBA3]-BetTable[TS])</f>
        <v>43.680000000000007</v>
      </c>
      <c r="Z1000" s="227">
        <f>(((BetTable[Odds]-1)*BetTable[Stake])*(1-(BetTable[Comm %]))+BetTable[Stake])</f>
        <v>85.68</v>
      </c>
      <c r="AA1000" s="227">
        <f>(((BetTable[O2]-1)*BetTable[S2])*(1-(BetTable[C% 2]))+BetTable[S2])</f>
        <v>0</v>
      </c>
      <c r="AB1000" s="227">
        <f>(((BetTable[O3]-1)*BetTable[S3])*(1-(BetTable[C% 3]))+BetTable[S3])</f>
        <v>0</v>
      </c>
      <c r="AC1000" s="228">
        <f>IFERROR(IF(BetTable[Sport]="","",BetTable[R1]/BetTable[TS]),"")</f>
        <v>1.0400000000000003</v>
      </c>
      <c r="AD1000" s="228" t="str">
        <f>IF(BetTable[O2]="","",#REF!/BetTable[TS])</f>
        <v/>
      </c>
      <c r="AE1000" s="228" t="str">
        <f>IFERROR(IF(BetTable[Sport]="","",#REF!/BetTable[TS]),"")</f>
        <v/>
      </c>
      <c r="AF1000" s="227">
        <f>IF(BetTable[Outcome]="Win",BetTable[WBA1-Commission],IF(BetTable[Outcome]="Win Half Stake",(BetTable[Stake]/2)+BetTable[WBA1-Commission]/2,IF(BetTable[Outcome]="Lose Half Stake",BetTable[Stake]/2,IF(BetTable[Outcome]="Lose",0,IF(BetTable[Outcome]="Void",BetTable[Stake],)))))</f>
        <v>85.68</v>
      </c>
      <c r="AG1000" s="227">
        <f>IF(BetTable[Outcome2]="Win",BetTable[WBA2-Commission],IF(BetTable[Outcome2]="Win Half Stake",(BetTable[S2]/2)+BetTable[WBA2-Commission]/2,IF(BetTable[Outcome2]="Lose Half Stake",BetTable[S2]/2,IF(BetTable[Outcome2]="Lose",0,IF(BetTable[Outcome2]="Void",BetTable[S2],)))))</f>
        <v>0</v>
      </c>
      <c r="AH1000" s="227">
        <f>IF(BetTable[Outcome3]="Win",BetTable[WBA3-Commission],IF(BetTable[Outcome3]="Win Half Stake",(BetTable[S3]/2)+BetTable[WBA3-Commission]/2,IF(BetTable[Outcome3]="Lose Half Stake",BetTable[S3]/2,IF(BetTable[Outcome3]="Lose",0,IF(BetTable[Outcome3]="Void",BetTable[S3],)))))</f>
        <v>0</v>
      </c>
      <c r="AI1000" s="231">
        <f>IF(BetTable[Outcome]="",AI999,BetTable[Result]+AI999)</f>
        <v>1594.7172499999995</v>
      </c>
      <c r="AJ1000" s="223"/>
    </row>
    <row r="1001" spans="1:36" x14ac:dyDescent="0.2">
      <c r="A1001" s="222" t="s">
        <v>2375</v>
      </c>
      <c r="B1001" s="223" t="s">
        <v>201</v>
      </c>
      <c r="C1001" s="224" t="s">
        <v>216</v>
      </c>
      <c r="D1001" s="224"/>
      <c r="E1001" s="224"/>
      <c r="F1001" s="225"/>
      <c r="G1001" s="225"/>
      <c r="H1001" s="225"/>
      <c r="I1001" s="223" t="s">
        <v>2547</v>
      </c>
      <c r="J1001" s="226">
        <v>2.2200000000000002</v>
      </c>
      <c r="K1001" s="226"/>
      <c r="L1001" s="226"/>
      <c r="M1001" s="227">
        <v>25</v>
      </c>
      <c r="N1001" s="227"/>
      <c r="O1001" s="227"/>
      <c r="P1001" s="222" t="s">
        <v>2548</v>
      </c>
      <c r="Q1001" s="222" t="s">
        <v>488</v>
      </c>
      <c r="R1001" s="222" t="s">
        <v>2549</v>
      </c>
      <c r="S1001" s="228">
        <v>1.9399684044233801E-2</v>
      </c>
      <c r="T1001" s="229" t="s">
        <v>382</v>
      </c>
      <c r="U1001" s="229"/>
      <c r="V1001" s="229"/>
      <c r="W1001" s="230">
        <f>IF(BetTable[Sport]="","",BetTable[Stake]+BetTable[S2]+BetTable[S3])</f>
        <v>25</v>
      </c>
      <c r="X1001" s="227">
        <f>IF(BetTable[Odds]="","",(BetTable[WBA1-Commission])-BetTable[TS])</f>
        <v>30.5</v>
      </c>
      <c r="Y1001" s="231">
        <f>IF(BetTable[Outcome]="","",BetTable[WBA1]+BetTable[WBA2]+BetTable[WBA3]-BetTable[TS])</f>
        <v>-25</v>
      </c>
      <c r="Z1001" s="227">
        <f>(((BetTable[Odds]-1)*BetTable[Stake])*(1-(BetTable[Comm %]))+BetTable[Stake])</f>
        <v>55.5</v>
      </c>
      <c r="AA1001" s="227">
        <f>(((BetTable[O2]-1)*BetTable[S2])*(1-(BetTable[C% 2]))+BetTable[S2])</f>
        <v>0</v>
      </c>
      <c r="AB1001" s="227">
        <f>(((BetTable[O3]-1)*BetTable[S3])*(1-(BetTable[C% 3]))+BetTable[S3])</f>
        <v>0</v>
      </c>
      <c r="AC1001" s="228">
        <f>IFERROR(IF(BetTable[Sport]="","",BetTable[R1]/BetTable[TS]),"")</f>
        <v>1.22</v>
      </c>
      <c r="AD1001" s="228" t="str">
        <f>IF(BetTable[O2]="","",#REF!/BetTable[TS])</f>
        <v/>
      </c>
      <c r="AE1001" s="228" t="str">
        <f>IFERROR(IF(BetTable[Sport]="","",#REF!/BetTable[TS]),"")</f>
        <v/>
      </c>
      <c r="AF1001" s="227">
        <f>IF(BetTable[Outcome]="Win",BetTable[WBA1-Commission],IF(BetTable[Outcome]="Win Half Stake",(BetTable[Stake]/2)+BetTable[WBA1-Commission]/2,IF(BetTable[Outcome]="Lose Half Stake",BetTable[Stake]/2,IF(BetTable[Outcome]="Lose",0,IF(BetTable[Outcome]="Void",BetTable[Stake],)))))</f>
        <v>0</v>
      </c>
      <c r="AG1001" s="227">
        <f>IF(BetTable[Outcome2]="Win",BetTable[WBA2-Commission],IF(BetTable[Outcome2]="Win Half Stake",(BetTable[S2]/2)+BetTable[WBA2-Commission]/2,IF(BetTable[Outcome2]="Lose Half Stake",BetTable[S2]/2,IF(BetTable[Outcome2]="Lose",0,IF(BetTable[Outcome2]="Void",BetTable[S2],)))))</f>
        <v>0</v>
      </c>
      <c r="AH1001" s="227">
        <f>IF(BetTable[Outcome3]="Win",BetTable[WBA3-Commission],IF(BetTable[Outcome3]="Win Half Stake",(BetTable[S3]/2)+BetTable[WBA3-Commission]/2,IF(BetTable[Outcome3]="Lose Half Stake",BetTable[S3]/2,IF(BetTable[Outcome3]="Lose",0,IF(BetTable[Outcome3]="Void",BetTable[S3],)))))</f>
        <v>0</v>
      </c>
      <c r="AI1001" s="231">
        <f>IF(BetTable[Outcome]="",AI1000,BetTable[Result]+AI1000)</f>
        <v>1569.7172499999995</v>
      </c>
      <c r="AJ1001" s="223"/>
    </row>
    <row r="1002" spans="1:36" x14ac:dyDescent="0.2">
      <c r="A1002" s="222" t="s">
        <v>2375</v>
      </c>
      <c r="B1002" s="223" t="s">
        <v>201</v>
      </c>
      <c r="C1002" s="224" t="s">
        <v>216</v>
      </c>
      <c r="D1002" s="224"/>
      <c r="E1002" s="224"/>
      <c r="F1002" s="225"/>
      <c r="G1002" s="225"/>
      <c r="H1002" s="225"/>
      <c r="I1002" s="223" t="s">
        <v>2547</v>
      </c>
      <c r="J1002" s="226">
        <v>4.4000000000000004</v>
      </c>
      <c r="K1002" s="226"/>
      <c r="L1002" s="226"/>
      <c r="M1002" s="227">
        <v>20</v>
      </c>
      <c r="N1002" s="227"/>
      <c r="O1002" s="227"/>
      <c r="P1002" s="222" t="s">
        <v>435</v>
      </c>
      <c r="Q1002" s="222" t="s">
        <v>488</v>
      </c>
      <c r="R1002" s="222" t="s">
        <v>2550</v>
      </c>
      <c r="S1002" s="228">
        <v>4.3016967218658102E-2</v>
      </c>
      <c r="T1002" s="229" t="s">
        <v>382</v>
      </c>
      <c r="U1002" s="229"/>
      <c r="V1002" s="229"/>
      <c r="W1002" s="230">
        <f>IF(BetTable[Sport]="","",BetTable[Stake]+BetTable[S2]+BetTable[S3])</f>
        <v>20</v>
      </c>
      <c r="X1002" s="227">
        <f>IF(BetTable[Odds]="","",(BetTable[WBA1-Commission])-BetTable[TS])</f>
        <v>68</v>
      </c>
      <c r="Y1002" s="231">
        <f>IF(BetTable[Outcome]="","",BetTable[WBA1]+BetTable[WBA2]+BetTable[WBA3]-BetTable[TS])</f>
        <v>-20</v>
      </c>
      <c r="Z1002" s="227">
        <f>(((BetTable[Odds]-1)*BetTable[Stake])*(1-(BetTable[Comm %]))+BetTable[Stake])</f>
        <v>88</v>
      </c>
      <c r="AA1002" s="227">
        <f>(((BetTable[O2]-1)*BetTable[S2])*(1-(BetTable[C% 2]))+BetTable[S2])</f>
        <v>0</v>
      </c>
      <c r="AB1002" s="227">
        <f>(((BetTable[O3]-1)*BetTable[S3])*(1-(BetTable[C% 3]))+BetTable[S3])</f>
        <v>0</v>
      </c>
      <c r="AC1002" s="228">
        <f>IFERROR(IF(BetTable[Sport]="","",BetTable[R1]/BetTable[TS]),"")</f>
        <v>3.4</v>
      </c>
      <c r="AD1002" s="228" t="str">
        <f>IF(BetTable[O2]="","",#REF!/BetTable[TS])</f>
        <v/>
      </c>
      <c r="AE1002" s="228" t="str">
        <f>IFERROR(IF(BetTable[Sport]="","",#REF!/BetTable[TS]),"")</f>
        <v/>
      </c>
      <c r="AF1002" s="227">
        <f>IF(BetTable[Outcome]="Win",BetTable[WBA1-Commission],IF(BetTable[Outcome]="Win Half Stake",(BetTable[Stake]/2)+BetTable[WBA1-Commission]/2,IF(BetTable[Outcome]="Lose Half Stake",BetTable[Stake]/2,IF(BetTable[Outcome]="Lose",0,IF(BetTable[Outcome]="Void",BetTable[Stake],)))))</f>
        <v>0</v>
      </c>
      <c r="AG1002" s="227">
        <f>IF(BetTable[Outcome2]="Win",BetTable[WBA2-Commission],IF(BetTable[Outcome2]="Win Half Stake",(BetTable[S2]/2)+BetTable[WBA2-Commission]/2,IF(BetTable[Outcome2]="Lose Half Stake",BetTable[S2]/2,IF(BetTable[Outcome2]="Lose",0,IF(BetTable[Outcome2]="Void",BetTable[S2],)))))</f>
        <v>0</v>
      </c>
      <c r="AH1002" s="227">
        <f>IF(BetTable[Outcome3]="Win",BetTable[WBA3-Commission],IF(BetTable[Outcome3]="Win Half Stake",(BetTable[S3]/2)+BetTable[WBA3-Commission]/2,IF(BetTable[Outcome3]="Lose Half Stake",BetTable[S3]/2,IF(BetTable[Outcome3]="Lose",0,IF(BetTable[Outcome3]="Void",BetTable[S3],)))))</f>
        <v>0</v>
      </c>
      <c r="AI1002" s="231">
        <f>IF(BetTable[Outcome]="",AI1001,BetTable[Result]+AI1001)</f>
        <v>1549.7172499999995</v>
      </c>
      <c r="AJ1002" s="223"/>
    </row>
    <row r="1003" spans="1:36" x14ac:dyDescent="0.2">
      <c r="A1003" s="222" t="s">
        <v>2375</v>
      </c>
      <c r="B1003" s="223" t="s">
        <v>7</v>
      </c>
      <c r="C1003" s="224" t="s">
        <v>216</v>
      </c>
      <c r="D1003" s="224"/>
      <c r="E1003" s="224"/>
      <c r="F1003" s="225"/>
      <c r="G1003" s="225"/>
      <c r="H1003" s="225"/>
      <c r="I1003" s="223" t="s">
        <v>2551</v>
      </c>
      <c r="J1003" s="226">
        <v>1.909</v>
      </c>
      <c r="K1003" s="226"/>
      <c r="L1003" s="226"/>
      <c r="M1003" s="227">
        <v>45</v>
      </c>
      <c r="N1003" s="227"/>
      <c r="O1003" s="227"/>
      <c r="P1003" s="222" t="s">
        <v>2552</v>
      </c>
      <c r="Q1003" s="222" t="s">
        <v>2372</v>
      </c>
      <c r="R1003" s="222" t="s">
        <v>2553</v>
      </c>
      <c r="S1003" s="228">
        <v>2.6217974746857001E-2</v>
      </c>
      <c r="T1003" s="229" t="s">
        <v>372</v>
      </c>
      <c r="U1003" s="229"/>
      <c r="V1003" s="229"/>
      <c r="W1003" s="230">
        <f>IF(BetTable[Sport]="","",BetTable[Stake]+BetTable[S2]+BetTable[S3])</f>
        <v>45</v>
      </c>
      <c r="X1003" s="227">
        <f>IF(BetTable[Odds]="","",(BetTable[WBA1-Commission])-BetTable[TS])</f>
        <v>40.905000000000001</v>
      </c>
      <c r="Y1003" s="231">
        <f>IF(BetTable[Outcome]="","",BetTable[WBA1]+BetTable[WBA2]+BetTable[WBA3]-BetTable[TS])</f>
        <v>40.905000000000001</v>
      </c>
      <c r="Z1003" s="227">
        <f>(((BetTable[Odds]-1)*BetTable[Stake])*(1-(BetTable[Comm %]))+BetTable[Stake])</f>
        <v>85.905000000000001</v>
      </c>
      <c r="AA1003" s="227">
        <f>(((BetTable[O2]-1)*BetTable[S2])*(1-(BetTable[C% 2]))+BetTable[S2])</f>
        <v>0</v>
      </c>
      <c r="AB1003" s="227">
        <f>(((BetTable[O3]-1)*BetTable[S3])*(1-(BetTable[C% 3]))+BetTable[S3])</f>
        <v>0</v>
      </c>
      <c r="AC1003" s="228">
        <f>IFERROR(IF(BetTable[Sport]="","",BetTable[R1]/BetTable[TS]),"")</f>
        <v>0.90900000000000003</v>
      </c>
      <c r="AD1003" s="228" t="str">
        <f>IF(BetTable[O2]="","",#REF!/BetTable[TS])</f>
        <v/>
      </c>
      <c r="AE1003" s="228" t="str">
        <f>IFERROR(IF(BetTable[Sport]="","",#REF!/BetTable[TS]),"")</f>
        <v/>
      </c>
      <c r="AF1003" s="227">
        <f>IF(BetTable[Outcome]="Win",BetTable[WBA1-Commission],IF(BetTable[Outcome]="Win Half Stake",(BetTable[Stake]/2)+BetTable[WBA1-Commission]/2,IF(BetTable[Outcome]="Lose Half Stake",BetTable[Stake]/2,IF(BetTable[Outcome]="Lose",0,IF(BetTable[Outcome]="Void",BetTable[Stake],)))))</f>
        <v>85.905000000000001</v>
      </c>
      <c r="AG1003" s="227">
        <f>IF(BetTable[Outcome2]="Win",BetTable[WBA2-Commission],IF(BetTable[Outcome2]="Win Half Stake",(BetTable[S2]/2)+BetTable[WBA2-Commission]/2,IF(BetTable[Outcome2]="Lose Half Stake",BetTable[S2]/2,IF(BetTable[Outcome2]="Lose",0,IF(BetTable[Outcome2]="Void",BetTable[S2],)))))</f>
        <v>0</v>
      </c>
      <c r="AH1003" s="227">
        <f>IF(BetTable[Outcome3]="Win",BetTable[WBA3-Commission],IF(BetTable[Outcome3]="Win Half Stake",(BetTable[S3]/2)+BetTable[WBA3-Commission]/2,IF(BetTable[Outcome3]="Lose Half Stake",BetTable[S3]/2,IF(BetTable[Outcome3]="Lose",0,IF(BetTable[Outcome3]="Void",BetTable[S3],)))))</f>
        <v>0</v>
      </c>
      <c r="AI1003" s="231">
        <f>IF(BetTable[Outcome]="",AI1002,BetTable[Result]+AI1002)</f>
        <v>1590.6222499999994</v>
      </c>
      <c r="AJ1003" s="223"/>
    </row>
    <row r="1004" spans="1:36" x14ac:dyDescent="0.2">
      <c r="A1004" s="222" t="s">
        <v>2375</v>
      </c>
      <c r="B1004" s="223" t="s">
        <v>9</v>
      </c>
      <c r="C1004" s="224" t="s">
        <v>216</v>
      </c>
      <c r="D1004" s="224"/>
      <c r="E1004" s="224"/>
      <c r="F1004" s="225"/>
      <c r="G1004" s="225"/>
      <c r="H1004" s="225"/>
      <c r="I1004" s="223" t="s">
        <v>2554</v>
      </c>
      <c r="J1004" s="226">
        <v>1.7410000000000001</v>
      </c>
      <c r="K1004" s="226"/>
      <c r="L1004" s="226"/>
      <c r="M1004" s="227">
        <v>33</v>
      </c>
      <c r="N1004" s="227"/>
      <c r="O1004" s="227"/>
      <c r="P1004" s="222" t="s">
        <v>2506</v>
      </c>
      <c r="Q1004" s="222" t="s">
        <v>491</v>
      </c>
      <c r="R1004" s="222" t="s">
        <v>2555</v>
      </c>
      <c r="S1004" s="228">
        <v>1.6147689771186201E-2</v>
      </c>
      <c r="T1004" s="229" t="s">
        <v>372</v>
      </c>
      <c r="U1004" s="229"/>
      <c r="V1004" s="229"/>
      <c r="W1004" s="230">
        <f>IF(BetTable[Sport]="","",BetTable[Stake]+BetTable[S2]+BetTable[S3])</f>
        <v>33</v>
      </c>
      <c r="X1004" s="227">
        <f>IF(BetTable[Odds]="","",(BetTable[WBA1-Commission])-BetTable[TS])</f>
        <v>24.453000000000003</v>
      </c>
      <c r="Y1004" s="231">
        <f>IF(BetTable[Outcome]="","",BetTable[WBA1]+BetTable[WBA2]+BetTable[WBA3]-BetTable[TS])</f>
        <v>24.453000000000003</v>
      </c>
      <c r="Z1004" s="227">
        <f>(((BetTable[Odds]-1)*BetTable[Stake])*(1-(BetTable[Comm %]))+BetTable[Stake])</f>
        <v>57.453000000000003</v>
      </c>
      <c r="AA1004" s="227">
        <f>(((BetTable[O2]-1)*BetTable[S2])*(1-(BetTable[C% 2]))+BetTable[S2])</f>
        <v>0</v>
      </c>
      <c r="AB1004" s="227">
        <f>(((BetTable[O3]-1)*BetTable[S3])*(1-(BetTable[C% 3]))+BetTable[S3])</f>
        <v>0</v>
      </c>
      <c r="AC1004" s="228">
        <f>IFERROR(IF(BetTable[Sport]="","",BetTable[R1]/BetTable[TS]),"")</f>
        <v>0.7410000000000001</v>
      </c>
      <c r="AD1004" s="228" t="str">
        <f>IF(BetTable[O2]="","",#REF!/BetTable[TS])</f>
        <v/>
      </c>
      <c r="AE1004" s="228" t="str">
        <f>IFERROR(IF(BetTable[Sport]="","",#REF!/BetTable[TS]),"")</f>
        <v/>
      </c>
      <c r="AF1004" s="227">
        <f>IF(BetTable[Outcome]="Win",BetTable[WBA1-Commission],IF(BetTable[Outcome]="Win Half Stake",(BetTable[Stake]/2)+BetTable[WBA1-Commission]/2,IF(BetTable[Outcome]="Lose Half Stake",BetTable[Stake]/2,IF(BetTable[Outcome]="Lose",0,IF(BetTable[Outcome]="Void",BetTable[Stake],)))))</f>
        <v>57.453000000000003</v>
      </c>
      <c r="AG1004" s="227">
        <f>IF(BetTable[Outcome2]="Win",BetTable[WBA2-Commission],IF(BetTable[Outcome2]="Win Half Stake",(BetTable[S2]/2)+BetTable[WBA2-Commission]/2,IF(BetTable[Outcome2]="Lose Half Stake",BetTable[S2]/2,IF(BetTable[Outcome2]="Lose",0,IF(BetTable[Outcome2]="Void",BetTable[S2],)))))</f>
        <v>0</v>
      </c>
      <c r="AH1004" s="227">
        <f>IF(BetTable[Outcome3]="Win",BetTable[WBA3-Commission],IF(BetTable[Outcome3]="Win Half Stake",(BetTable[S3]/2)+BetTable[WBA3-Commission]/2,IF(BetTable[Outcome3]="Lose Half Stake",BetTable[S3]/2,IF(BetTable[Outcome3]="Lose",0,IF(BetTable[Outcome3]="Void",BetTable[S3],)))))</f>
        <v>0</v>
      </c>
      <c r="AI1004" s="231">
        <f>IF(BetTable[Outcome]="",AI1003,BetTable[Result]+AI1003)</f>
        <v>1615.0752499999994</v>
      </c>
      <c r="AJ1004" s="223"/>
    </row>
    <row r="1005" spans="1:36" x14ac:dyDescent="0.2">
      <c r="A1005" s="222" t="s">
        <v>2375</v>
      </c>
      <c r="B1005" s="223" t="s">
        <v>9</v>
      </c>
      <c r="C1005" s="224" t="s">
        <v>216</v>
      </c>
      <c r="D1005" s="224"/>
      <c r="E1005" s="224"/>
      <c r="F1005" s="225"/>
      <c r="G1005" s="225"/>
      <c r="H1005" s="225"/>
      <c r="I1005" s="223" t="s">
        <v>2556</v>
      </c>
      <c r="J1005" s="226">
        <v>1.909</v>
      </c>
      <c r="K1005" s="226"/>
      <c r="L1005" s="226"/>
      <c r="M1005" s="227">
        <v>27</v>
      </c>
      <c r="N1005" s="227"/>
      <c r="O1005" s="227"/>
      <c r="P1005" s="222" t="s">
        <v>1614</v>
      </c>
      <c r="Q1005" s="222" t="s">
        <v>491</v>
      </c>
      <c r="R1005" s="222" t="s">
        <v>2557</v>
      </c>
      <c r="S1005" s="228">
        <v>3.6901931103557502E-2</v>
      </c>
      <c r="T1005" s="229" t="s">
        <v>382</v>
      </c>
      <c r="U1005" s="229"/>
      <c r="V1005" s="229"/>
      <c r="W1005" s="230">
        <f>IF(BetTable[Sport]="","",BetTable[Stake]+BetTable[S2]+BetTable[S3])</f>
        <v>27</v>
      </c>
      <c r="X1005" s="227">
        <f>IF(BetTable[Odds]="","",(BetTable[WBA1-Commission])-BetTable[TS])</f>
        <v>24.542999999999999</v>
      </c>
      <c r="Y1005" s="231">
        <f>IF(BetTable[Outcome]="","",BetTable[WBA1]+BetTable[WBA2]+BetTable[WBA3]-BetTable[TS])</f>
        <v>-27</v>
      </c>
      <c r="Z1005" s="227">
        <f>(((BetTable[Odds]-1)*BetTable[Stake])*(1-(BetTable[Comm %]))+BetTable[Stake])</f>
        <v>51.542999999999999</v>
      </c>
      <c r="AA1005" s="227">
        <f>(((BetTable[O2]-1)*BetTable[S2])*(1-(BetTable[C% 2]))+BetTable[S2])</f>
        <v>0</v>
      </c>
      <c r="AB1005" s="227">
        <f>(((BetTable[O3]-1)*BetTable[S3])*(1-(BetTable[C% 3]))+BetTable[S3])</f>
        <v>0</v>
      </c>
      <c r="AC1005" s="228">
        <f>IFERROR(IF(BetTable[Sport]="","",BetTable[R1]/BetTable[TS]),"")</f>
        <v>0.90899999999999992</v>
      </c>
      <c r="AD1005" s="228" t="str">
        <f>IF(BetTable[O2]="","",#REF!/BetTable[TS])</f>
        <v/>
      </c>
      <c r="AE1005" s="228" t="str">
        <f>IFERROR(IF(BetTable[Sport]="","",#REF!/BetTable[TS]),"")</f>
        <v/>
      </c>
      <c r="AF1005" s="227">
        <f>IF(BetTable[Outcome]="Win",BetTable[WBA1-Commission],IF(BetTable[Outcome]="Win Half Stake",(BetTable[Stake]/2)+BetTable[WBA1-Commission]/2,IF(BetTable[Outcome]="Lose Half Stake",BetTable[Stake]/2,IF(BetTable[Outcome]="Lose",0,IF(BetTable[Outcome]="Void",BetTable[Stake],)))))</f>
        <v>0</v>
      </c>
      <c r="AG1005" s="227">
        <f>IF(BetTable[Outcome2]="Win",BetTable[WBA2-Commission],IF(BetTable[Outcome2]="Win Half Stake",(BetTable[S2]/2)+BetTable[WBA2-Commission]/2,IF(BetTable[Outcome2]="Lose Half Stake",BetTable[S2]/2,IF(BetTable[Outcome2]="Lose",0,IF(BetTable[Outcome2]="Void",BetTable[S2],)))))</f>
        <v>0</v>
      </c>
      <c r="AH1005" s="227">
        <f>IF(BetTable[Outcome3]="Win",BetTable[WBA3-Commission],IF(BetTable[Outcome3]="Win Half Stake",(BetTable[S3]/2)+BetTable[WBA3-Commission]/2,IF(BetTable[Outcome3]="Lose Half Stake",BetTable[S3]/2,IF(BetTable[Outcome3]="Lose",0,IF(BetTable[Outcome3]="Void",BetTable[S3],)))))</f>
        <v>0</v>
      </c>
      <c r="AI1005" s="231">
        <f>IF(BetTable[Outcome]="",AI1004,BetTable[Result]+AI1004)</f>
        <v>1588.0752499999994</v>
      </c>
      <c r="AJ1005" s="223"/>
    </row>
    <row r="1006" spans="1:36" x14ac:dyDescent="0.2">
      <c r="A1006" s="222" t="s">
        <v>2375</v>
      </c>
      <c r="B1006" s="223" t="s">
        <v>201</v>
      </c>
      <c r="C1006" s="224" t="s">
        <v>216</v>
      </c>
      <c r="D1006" s="224"/>
      <c r="E1006" s="224"/>
      <c r="F1006" s="225"/>
      <c r="G1006" s="225"/>
      <c r="H1006" s="225"/>
      <c r="I1006" s="223" t="s">
        <v>2558</v>
      </c>
      <c r="J1006" s="226">
        <v>3.55</v>
      </c>
      <c r="K1006" s="226"/>
      <c r="L1006" s="226"/>
      <c r="M1006" s="227">
        <v>17</v>
      </c>
      <c r="N1006" s="227"/>
      <c r="O1006" s="227"/>
      <c r="P1006" s="222" t="s">
        <v>671</v>
      </c>
      <c r="Q1006" s="222" t="s">
        <v>1042</v>
      </c>
      <c r="R1006" s="222" t="s">
        <v>2559</v>
      </c>
      <c r="S1006" s="228">
        <v>2.8128029618958598E-2</v>
      </c>
      <c r="T1006" s="229" t="s">
        <v>382</v>
      </c>
      <c r="U1006" s="229"/>
      <c r="V1006" s="229"/>
      <c r="W1006" s="230">
        <f>IF(BetTable[Sport]="","",BetTable[Stake]+BetTable[S2]+BetTable[S3])</f>
        <v>17</v>
      </c>
      <c r="X1006" s="227">
        <f>IF(BetTable[Odds]="","",(BetTable[WBA1-Commission])-BetTable[TS])</f>
        <v>43.349999999999994</v>
      </c>
      <c r="Y1006" s="231">
        <f>IF(BetTable[Outcome]="","",BetTable[WBA1]+BetTable[WBA2]+BetTable[WBA3]-BetTable[TS])</f>
        <v>-17</v>
      </c>
      <c r="Z1006" s="227">
        <f>(((BetTable[Odds]-1)*BetTable[Stake])*(1-(BetTable[Comm %]))+BetTable[Stake])</f>
        <v>60.349999999999994</v>
      </c>
      <c r="AA1006" s="227">
        <f>(((BetTable[O2]-1)*BetTable[S2])*(1-(BetTable[C% 2]))+BetTable[S2])</f>
        <v>0</v>
      </c>
      <c r="AB1006" s="227">
        <f>(((BetTable[O3]-1)*BetTable[S3])*(1-(BetTable[C% 3]))+BetTable[S3])</f>
        <v>0</v>
      </c>
      <c r="AC1006" s="228">
        <f>IFERROR(IF(BetTable[Sport]="","",BetTable[R1]/BetTable[TS]),"")</f>
        <v>2.5499999999999998</v>
      </c>
      <c r="AD1006" s="228" t="str">
        <f>IF(BetTable[O2]="","",#REF!/BetTable[TS])</f>
        <v/>
      </c>
      <c r="AE1006" s="228" t="str">
        <f>IFERROR(IF(BetTable[Sport]="","",#REF!/BetTable[TS]),"")</f>
        <v/>
      </c>
      <c r="AF1006" s="227">
        <f>IF(BetTable[Outcome]="Win",BetTable[WBA1-Commission],IF(BetTable[Outcome]="Win Half Stake",(BetTable[Stake]/2)+BetTable[WBA1-Commission]/2,IF(BetTable[Outcome]="Lose Half Stake",BetTable[Stake]/2,IF(BetTable[Outcome]="Lose",0,IF(BetTable[Outcome]="Void",BetTable[Stake],)))))</f>
        <v>0</v>
      </c>
      <c r="AG1006" s="227">
        <f>IF(BetTable[Outcome2]="Win",BetTable[WBA2-Commission],IF(BetTable[Outcome2]="Win Half Stake",(BetTable[S2]/2)+BetTable[WBA2-Commission]/2,IF(BetTable[Outcome2]="Lose Half Stake",BetTable[S2]/2,IF(BetTable[Outcome2]="Lose",0,IF(BetTable[Outcome2]="Void",BetTable[S2],)))))</f>
        <v>0</v>
      </c>
      <c r="AH1006" s="227">
        <f>IF(BetTable[Outcome3]="Win",BetTable[WBA3-Commission],IF(BetTable[Outcome3]="Win Half Stake",(BetTable[S3]/2)+BetTable[WBA3-Commission]/2,IF(BetTable[Outcome3]="Lose Half Stake",BetTable[S3]/2,IF(BetTable[Outcome3]="Lose",0,IF(BetTable[Outcome3]="Void",BetTable[S3],)))))</f>
        <v>0</v>
      </c>
      <c r="AI1006" s="231">
        <f>IF(BetTable[Outcome]="",AI1005,BetTable[Result]+AI1005)</f>
        <v>1571.0752499999994</v>
      </c>
      <c r="AJ1006" s="223"/>
    </row>
    <row r="1007" spans="1:36" x14ac:dyDescent="0.2">
      <c r="A1007" s="222" t="s">
        <v>2375</v>
      </c>
      <c r="B1007" s="223" t="s">
        <v>200</v>
      </c>
      <c r="C1007" s="224" t="s">
        <v>1714</v>
      </c>
      <c r="D1007" s="224"/>
      <c r="E1007" s="224"/>
      <c r="F1007" s="225"/>
      <c r="G1007" s="225"/>
      <c r="H1007" s="225"/>
      <c r="I1007" s="223" t="s">
        <v>2560</v>
      </c>
      <c r="J1007" s="226">
        <v>2.02</v>
      </c>
      <c r="K1007" s="226"/>
      <c r="L1007" s="226"/>
      <c r="M1007" s="227">
        <v>33</v>
      </c>
      <c r="N1007" s="227"/>
      <c r="O1007" s="227"/>
      <c r="P1007" s="222" t="s">
        <v>385</v>
      </c>
      <c r="Q1007" s="222" t="s">
        <v>632</v>
      </c>
      <c r="R1007" s="222" t="s">
        <v>2561</v>
      </c>
      <c r="S1007" s="228">
        <v>2.1845182184810599E-2</v>
      </c>
      <c r="T1007" s="229" t="s">
        <v>383</v>
      </c>
      <c r="U1007" s="229"/>
      <c r="V1007" s="229"/>
      <c r="W1007" s="230">
        <f>IF(BetTable[Sport]="","",BetTable[Stake]+BetTable[S2]+BetTable[S3])</f>
        <v>33</v>
      </c>
      <c r="X1007" s="227">
        <f>IF(BetTable[Odds]="","",(BetTable[WBA1-Commission])-BetTable[TS])</f>
        <v>33.659999999999997</v>
      </c>
      <c r="Y1007" s="231">
        <f>IF(BetTable[Outcome]="","",BetTable[WBA1]+BetTable[WBA2]+BetTable[WBA3]-BetTable[TS])</f>
        <v>0</v>
      </c>
      <c r="Z1007" s="227">
        <f>(((BetTable[Odds]-1)*BetTable[Stake])*(1-(BetTable[Comm %]))+BetTable[Stake])</f>
        <v>66.66</v>
      </c>
      <c r="AA1007" s="227">
        <f>(((BetTable[O2]-1)*BetTable[S2])*(1-(BetTable[C% 2]))+BetTable[S2])</f>
        <v>0</v>
      </c>
      <c r="AB1007" s="227">
        <f>(((BetTable[O3]-1)*BetTable[S3])*(1-(BetTable[C% 3]))+BetTable[S3])</f>
        <v>0</v>
      </c>
      <c r="AC1007" s="228">
        <f>IFERROR(IF(BetTable[Sport]="","",BetTable[R1]/BetTable[TS]),"")</f>
        <v>1.0199999999999998</v>
      </c>
      <c r="AD1007" s="228" t="str">
        <f>IF(BetTable[O2]="","",#REF!/BetTable[TS])</f>
        <v/>
      </c>
      <c r="AE1007" s="228" t="str">
        <f>IFERROR(IF(BetTable[Sport]="","",#REF!/BetTable[TS]),"")</f>
        <v/>
      </c>
      <c r="AF1007" s="227">
        <f>IF(BetTable[Outcome]="Win",BetTable[WBA1-Commission],IF(BetTable[Outcome]="Win Half Stake",(BetTable[Stake]/2)+BetTable[WBA1-Commission]/2,IF(BetTable[Outcome]="Lose Half Stake",BetTable[Stake]/2,IF(BetTable[Outcome]="Lose",0,IF(BetTable[Outcome]="Void",BetTable[Stake],)))))</f>
        <v>33</v>
      </c>
      <c r="AG1007" s="227">
        <f>IF(BetTable[Outcome2]="Win",BetTable[WBA2-Commission],IF(BetTable[Outcome2]="Win Half Stake",(BetTable[S2]/2)+BetTable[WBA2-Commission]/2,IF(BetTable[Outcome2]="Lose Half Stake",BetTable[S2]/2,IF(BetTable[Outcome2]="Lose",0,IF(BetTable[Outcome2]="Void",BetTable[S2],)))))</f>
        <v>0</v>
      </c>
      <c r="AH1007" s="227">
        <f>IF(BetTable[Outcome3]="Win",BetTable[WBA3-Commission],IF(BetTable[Outcome3]="Win Half Stake",(BetTable[S3]/2)+BetTable[WBA3-Commission]/2,IF(BetTable[Outcome3]="Lose Half Stake",BetTable[S3]/2,IF(BetTable[Outcome3]="Lose",0,IF(BetTable[Outcome3]="Void",BetTable[S3],)))))</f>
        <v>0</v>
      </c>
      <c r="AI1007" s="231">
        <f>IF(BetTable[Outcome]="",AI1006,BetTable[Result]+AI1006)</f>
        <v>1571.0752499999994</v>
      </c>
      <c r="AJ1007" s="223"/>
    </row>
    <row r="1008" spans="1:36" x14ac:dyDescent="0.2">
      <c r="A1008" s="222" t="s">
        <v>2375</v>
      </c>
      <c r="B1008" s="223" t="s">
        <v>7</v>
      </c>
      <c r="C1008" s="224" t="s">
        <v>216</v>
      </c>
      <c r="D1008" s="224"/>
      <c r="E1008" s="224"/>
      <c r="F1008" s="225"/>
      <c r="G1008" s="225"/>
      <c r="H1008" s="225"/>
      <c r="I1008" s="223" t="s">
        <v>2562</v>
      </c>
      <c r="J1008" s="226">
        <v>1.909</v>
      </c>
      <c r="K1008" s="226"/>
      <c r="L1008" s="226"/>
      <c r="M1008" s="227">
        <v>28</v>
      </c>
      <c r="N1008" s="227"/>
      <c r="O1008" s="227"/>
      <c r="P1008" s="222" t="s">
        <v>2073</v>
      </c>
      <c r="Q1008" s="222" t="s">
        <v>506</v>
      </c>
      <c r="R1008" s="222" t="s">
        <v>2563</v>
      </c>
      <c r="S1008" s="228">
        <v>1.61720223823104E-2</v>
      </c>
      <c r="T1008" s="229" t="s">
        <v>382</v>
      </c>
      <c r="U1008" s="229"/>
      <c r="V1008" s="229"/>
      <c r="W1008" s="230">
        <f>IF(BetTable[Sport]="","",BetTable[Stake]+BetTable[S2]+BetTable[S3])</f>
        <v>28</v>
      </c>
      <c r="X1008" s="227">
        <f>IF(BetTable[Odds]="","",(BetTable[WBA1-Commission])-BetTable[TS])</f>
        <v>25.451999999999998</v>
      </c>
      <c r="Y1008" s="231">
        <f>IF(BetTable[Outcome]="","",BetTable[WBA1]+BetTable[WBA2]+BetTable[WBA3]-BetTable[TS])</f>
        <v>-28</v>
      </c>
      <c r="Z1008" s="227">
        <f>(((BetTable[Odds]-1)*BetTable[Stake])*(1-(BetTable[Comm %]))+BetTable[Stake])</f>
        <v>53.451999999999998</v>
      </c>
      <c r="AA1008" s="227">
        <f>(((BetTable[O2]-1)*BetTable[S2])*(1-(BetTable[C% 2]))+BetTable[S2])</f>
        <v>0</v>
      </c>
      <c r="AB1008" s="227">
        <f>(((BetTable[O3]-1)*BetTable[S3])*(1-(BetTable[C% 3]))+BetTable[S3])</f>
        <v>0</v>
      </c>
      <c r="AC1008" s="228">
        <f>IFERROR(IF(BetTable[Sport]="","",BetTable[R1]/BetTable[TS]),"")</f>
        <v>0.90899999999999992</v>
      </c>
      <c r="AD1008" s="228" t="str">
        <f>IF(BetTable[O2]="","",#REF!/BetTable[TS])</f>
        <v/>
      </c>
      <c r="AE1008" s="228" t="str">
        <f>IFERROR(IF(BetTable[Sport]="","",#REF!/BetTable[TS]),"")</f>
        <v/>
      </c>
      <c r="AF1008" s="227">
        <f>IF(BetTable[Outcome]="Win",BetTable[WBA1-Commission],IF(BetTable[Outcome]="Win Half Stake",(BetTable[Stake]/2)+BetTable[WBA1-Commission]/2,IF(BetTable[Outcome]="Lose Half Stake",BetTable[Stake]/2,IF(BetTable[Outcome]="Lose",0,IF(BetTable[Outcome]="Void",BetTable[Stake],)))))</f>
        <v>0</v>
      </c>
      <c r="AG1008" s="227">
        <f>IF(BetTable[Outcome2]="Win",BetTable[WBA2-Commission],IF(BetTable[Outcome2]="Win Half Stake",(BetTable[S2]/2)+BetTable[WBA2-Commission]/2,IF(BetTable[Outcome2]="Lose Half Stake",BetTable[S2]/2,IF(BetTable[Outcome2]="Lose",0,IF(BetTable[Outcome2]="Void",BetTable[S2],)))))</f>
        <v>0</v>
      </c>
      <c r="AH1008" s="227">
        <f>IF(BetTable[Outcome3]="Win",BetTable[WBA3-Commission],IF(BetTable[Outcome3]="Win Half Stake",(BetTable[S3]/2)+BetTable[WBA3-Commission]/2,IF(BetTable[Outcome3]="Lose Half Stake",BetTable[S3]/2,IF(BetTable[Outcome3]="Lose",0,IF(BetTable[Outcome3]="Void",BetTable[S3],)))))</f>
        <v>0</v>
      </c>
      <c r="AI1008" s="231">
        <f>IF(BetTable[Outcome]="",AI1007,BetTable[Result]+AI1007)</f>
        <v>1543.0752499999994</v>
      </c>
      <c r="AJ1008" s="223"/>
    </row>
    <row r="1009" spans="1:36" x14ac:dyDescent="0.2">
      <c r="A1009" s="222" t="s">
        <v>2375</v>
      </c>
      <c r="B1009" s="223" t="s">
        <v>200</v>
      </c>
      <c r="C1009" s="224" t="s">
        <v>216</v>
      </c>
      <c r="D1009" s="224"/>
      <c r="E1009" s="224"/>
      <c r="F1009" s="225"/>
      <c r="G1009" s="225"/>
      <c r="H1009" s="225"/>
      <c r="I1009" s="223" t="s">
        <v>2564</v>
      </c>
      <c r="J1009" s="226">
        <v>2.06</v>
      </c>
      <c r="K1009" s="226"/>
      <c r="L1009" s="226"/>
      <c r="M1009" s="227">
        <v>55</v>
      </c>
      <c r="N1009" s="227"/>
      <c r="O1009" s="227"/>
      <c r="P1009" s="222" t="s">
        <v>435</v>
      </c>
      <c r="Q1009" s="222" t="s">
        <v>474</v>
      </c>
      <c r="R1009" s="222" t="s">
        <v>2565</v>
      </c>
      <c r="S1009" s="228">
        <v>3.7546123516590299E-2</v>
      </c>
      <c r="T1009" s="229" t="s">
        <v>372</v>
      </c>
      <c r="U1009" s="229"/>
      <c r="V1009" s="229"/>
      <c r="W1009" s="230">
        <f>IF(BetTable[Sport]="","",BetTable[Stake]+BetTable[S2]+BetTable[S3])</f>
        <v>55</v>
      </c>
      <c r="X1009" s="227">
        <f>IF(BetTable[Odds]="","",(BetTable[WBA1-Commission])-BetTable[TS])</f>
        <v>58.300000000000011</v>
      </c>
      <c r="Y1009" s="231">
        <f>IF(BetTable[Outcome]="","",BetTable[WBA1]+BetTable[WBA2]+BetTable[WBA3]-BetTable[TS])</f>
        <v>58.300000000000011</v>
      </c>
      <c r="Z1009" s="227">
        <f>(((BetTable[Odds]-1)*BetTable[Stake])*(1-(BetTable[Comm %]))+BetTable[Stake])</f>
        <v>113.30000000000001</v>
      </c>
      <c r="AA1009" s="227">
        <f>(((BetTable[O2]-1)*BetTable[S2])*(1-(BetTable[C% 2]))+BetTable[S2])</f>
        <v>0</v>
      </c>
      <c r="AB1009" s="227">
        <f>(((BetTable[O3]-1)*BetTable[S3])*(1-(BetTable[C% 3]))+BetTable[S3])</f>
        <v>0</v>
      </c>
      <c r="AC1009" s="228">
        <f>IFERROR(IF(BetTable[Sport]="","",BetTable[R1]/BetTable[TS]),"")</f>
        <v>1.0600000000000003</v>
      </c>
      <c r="AD1009" s="228" t="str">
        <f>IF(BetTable[O2]="","",#REF!/BetTable[TS])</f>
        <v/>
      </c>
      <c r="AE1009" s="228" t="str">
        <f>IFERROR(IF(BetTable[Sport]="","",#REF!/BetTable[TS]),"")</f>
        <v/>
      </c>
      <c r="AF1009" s="227">
        <f>IF(BetTable[Outcome]="Win",BetTable[WBA1-Commission],IF(BetTable[Outcome]="Win Half Stake",(BetTable[Stake]/2)+BetTable[WBA1-Commission]/2,IF(BetTable[Outcome]="Lose Half Stake",BetTable[Stake]/2,IF(BetTable[Outcome]="Lose",0,IF(BetTable[Outcome]="Void",BetTable[Stake],)))))</f>
        <v>113.30000000000001</v>
      </c>
      <c r="AG1009" s="227">
        <f>IF(BetTable[Outcome2]="Win",BetTable[WBA2-Commission],IF(BetTable[Outcome2]="Win Half Stake",(BetTable[S2]/2)+BetTable[WBA2-Commission]/2,IF(BetTable[Outcome2]="Lose Half Stake",BetTable[S2]/2,IF(BetTable[Outcome2]="Lose",0,IF(BetTable[Outcome2]="Void",BetTable[S2],)))))</f>
        <v>0</v>
      </c>
      <c r="AH1009" s="227">
        <f>IF(BetTable[Outcome3]="Win",BetTable[WBA3-Commission],IF(BetTable[Outcome3]="Win Half Stake",(BetTable[S3]/2)+BetTable[WBA3-Commission]/2,IF(BetTable[Outcome3]="Lose Half Stake",BetTable[S3]/2,IF(BetTable[Outcome3]="Lose",0,IF(BetTable[Outcome3]="Void",BetTable[S3],)))))</f>
        <v>0</v>
      </c>
      <c r="AI1009" s="231">
        <f>IF(BetTable[Outcome]="",AI1008,BetTable[Result]+AI1008)</f>
        <v>1601.3752499999994</v>
      </c>
      <c r="AJ1009" s="223"/>
    </row>
    <row r="1010" spans="1:36" x14ac:dyDescent="0.2">
      <c r="A1010" s="222" t="s">
        <v>2375</v>
      </c>
      <c r="B1010" s="223" t="s">
        <v>7</v>
      </c>
      <c r="C1010" s="224" t="s">
        <v>1714</v>
      </c>
      <c r="D1010" s="224"/>
      <c r="E1010" s="224"/>
      <c r="F1010" s="225"/>
      <c r="G1010" s="225"/>
      <c r="H1010" s="225"/>
      <c r="I1010" s="223" t="s">
        <v>2566</v>
      </c>
      <c r="J1010" s="226">
        <v>1.9</v>
      </c>
      <c r="K1010" s="226"/>
      <c r="L1010" s="226"/>
      <c r="M1010" s="227">
        <v>39</v>
      </c>
      <c r="N1010" s="227"/>
      <c r="O1010" s="227"/>
      <c r="P1010" s="222" t="s">
        <v>453</v>
      </c>
      <c r="Q1010" s="222" t="s">
        <v>482</v>
      </c>
      <c r="R1010" s="222" t="s">
        <v>2567</v>
      </c>
      <c r="S1010" s="228">
        <v>3.5970482140215497E-2</v>
      </c>
      <c r="T1010" s="229" t="s">
        <v>372</v>
      </c>
      <c r="U1010" s="229"/>
      <c r="V1010" s="229"/>
      <c r="W1010" s="230">
        <f>IF(BetTable[Sport]="","",BetTable[Stake]+BetTable[S2]+BetTable[S3])</f>
        <v>39</v>
      </c>
      <c r="X1010" s="227">
        <f>IF(BetTable[Odds]="","",(BetTable[WBA1-Commission])-BetTable[TS])</f>
        <v>35.099999999999994</v>
      </c>
      <c r="Y1010" s="231">
        <f>IF(BetTable[Outcome]="","",BetTable[WBA1]+BetTable[WBA2]+BetTable[WBA3]-BetTable[TS])</f>
        <v>35.099999999999994</v>
      </c>
      <c r="Z1010" s="227">
        <f>(((BetTable[Odds]-1)*BetTable[Stake])*(1-(BetTable[Comm %]))+BetTable[Stake])</f>
        <v>74.099999999999994</v>
      </c>
      <c r="AA1010" s="227">
        <f>(((BetTable[O2]-1)*BetTable[S2])*(1-(BetTable[C% 2]))+BetTable[S2])</f>
        <v>0</v>
      </c>
      <c r="AB1010" s="227">
        <f>(((BetTable[O3]-1)*BetTable[S3])*(1-(BetTable[C% 3]))+BetTable[S3])</f>
        <v>0</v>
      </c>
      <c r="AC1010" s="228">
        <f>IFERROR(IF(BetTable[Sport]="","",BetTable[R1]/BetTable[TS]),"")</f>
        <v>0.8999999999999998</v>
      </c>
      <c r="AD1010" s="228" t="str">
        <f>IF(BetTable[O2]="","",#REF!/BetTable[TS])</f>
        <v/>
      </c>
      <c r="AE1010" s="228" t="str">
        <f>IFERROR(IF(BetTable[Sport]="","",#REF!/BetTable[TS]),"")</f>
        <v/>
      </c>
      <c r="AF1010" s="227">
        <f>IF(BetTable[Outcome]="Win",BetTable[WBA1-Commission],IF(BetTable[Outcome]="Win Half Stake",(BetTable[Stake]/2)+BetTable[WBA1-Commission]/2,IF(BetTable[Outcome]="Lose Half Stake",BetTable[Stake]/2,IF(BetTable[Outcome]="Lose",0,IF(BetTable[Outcome]="Void",BetTable[Stake],)))))</f>
        <v>74.099999999999994</v>
      </c>
      <c r="AG1010" s="227">
        <f>IF(BetTable[Outcome2]="Win",BetTable[WBA2-Commission],IF(BetTable[Outcome2]="Win Half Stake",(BetTable[S2]/2)+BetTable[WBA2-Commission]/2,IF(BetTable[Outcome2]="Lose Half Stake",BetTable[S2]/2,IF(BetTable[Outcome2]="Lose",0,IF(BetTable[Outcome2]="Void",BetTable[S2],)))))</f>
        <v>0</v>
      </c>
      <c r="AH1010" s="227">
        <f>IF(BetTable[Outcome3]="Win",BetTable[WBA3-Commission],IF(BetTable[Outcome3]="Win Half Stake",(BetTable[S3]/2)+BetTable[WBA3-Commission]/2,IF(BetTable[Outcome3]="Lose Half Stake",BetTable[S3]/2,IF(BetTable[Outcome3]="Lose",0,IF(BetTable[Outcome3]="Void",BetTable[S3],)))))</f>
        <v>0</v>
      </c>
      <c r="AI1010" s="231">
        <f>IF(BetTable[Outcome]="",AI1009,BetTable[Result]+AI1009)</f>
        <v>1636.4752499999993</v>
      </c>
      <c r="AJ1010" s="223"/>
    </row>
    <row r="1011" spans="1:36" x14ac:dyDescent="0.2">
      <c r="A1011" s="222" t="s">
        <v>2375</v>
      </c>
      <c r="B1011" s="223" t="s">
        <v>200</v>
      </c>
      <c r="C1011" s="224" t="s">
        <v>1714</v>
      </c>
      <c r="D1011" s="224"/>
      <c r="E1011" s="224"/>
      <c r="F1011" s="225"/>
      <c r="G1011" s="225"/>
      <c r="H1011" s="225"/>
      <c r="I1011" s="223" t="s">
        <v>2568</v>
      </c>
      <c r="J1011" s="226">
        <v>1.98</v>
      </c>
      <c r="K1011" s="226"/>
      <c r="L1011" s="226"/>
      <c r="M1011" s="227">
        <v>28</v>
      </c>
      <c r="N1011" s="227"/>
      <c r="O1011" s="227"/>
      <c r="P1011" s="222" t="s">
        <v>864</v>
      </c>
      <c r="Q1011" s="222" t="s">
        <v>569</v>
      </c>
      <c r="R1011" s="222" t="s">
        <v>2569</v>
      </c>
      <c r="S1011" s="228">
        <v>1.7747644960199999E-2</v>
      </c>
      <c r="T1011" s="229" t="s">
        <v>372</v>
      </c>
      <c r="U1011" s="229"/>
      <c r="V1011" s="229"/>
      <c r="W1011" s="230">
        <f>IF(BetTable[Sport]="","",BetTable[Stake]+BetTable[S2]+BetTable[S3])</f>
        <v>28</v>
      </c>
      <c r="X1011" s="227">
        <f>IF(BetTable[Odds]="","",(BetTable[WBA1-Commission])-BetTable[TS])</f>
        <v>27.439999999999998</v>
      </c>
      <c r="Y1011" s="231">
        <f>IF(BetTable[Outcome]="","",BetTable[WBA1]+BetTable[WBA2]+BetTable[WBA3]-BetTable[TS])</f>
        <v>27.439999999999998</v>
      </c>
      <c r="Z1011" s="227">
        <f>(((BetTable[Odds]-1)*BetTable[Stake])*(1-(BetTable[Comm %]))+BetTable[Stake])</f>
        <v>55.44</v>
      </c>
      <c r="AA1011" s="227">
        <f>(((BetTable[O2]-1)*BetTable[S2])*(1-(BetTable[C% 2]))+BetTable[S2])</f>
        <v>0</v>
      </c>
      <c r="AB1011" s="227">
        <f>(((BetTable[O3]-1)*BetTable[S3])*(1-(BetTable[C% 3]))+BetTable[S3])</f>
        <v>0</v>
      </c>
      <c r="AC1011" s="228">
        <f>IFERROR(IF(BetTable[Sport]="","",BetTable[R1]/BetTable[TS]),"")</f>
        <v>0.97999999999999987</v>
      </c>
      <c r="AD1011" s="228" t="str">
        <f>IF(BetTable[O2]="","",#REF!/BetTable[TS])</f>
        <v/>
      </c>
      <c r="AE1011" s="228" t="str">
        <f>IFERROR(IF(BetTable[Sport]="","",#REF!/BetTable[TS]),"")</f>
        <v/>
      </c>
      <c r="AF1011" s="227">
        <f>IF(BetTable[Outcome]="Win",BetTable[WBA1-Commission],IF(BetTable[Outcome]="Win Half Stake",(BetTable[Stake]/2)+BetTable[WBA1-Commission]/2,IF(BetTable[Outcome]="Lose Half Stake",BetTable[Stake]/2,IF(BetTable[Outcome]="Lose",0,IF(BetTable[Outcome]="Void",BetTable[Stake],)))))</f>
        <v>55.44</v>
      </c>
      <c r="AG1011" s="227">
        <f>IF(BetTable[Outcome2]="Win",BetTable[WBA2-Commission],IF(BetTable[Outcome2]="Win Half Stake",(BetTable[S2]/2)+BetTable[WBA2-Commission]/2,IF(BetTable[Outcome2]="Lose Half Stake",BetTable[S2]/2,IF(BetTable[Outcome2]="Lose",0,IF(BetTable[Outcome2]="Void",BetTable[S2],)))))</f>
        <v>0</v>
      </c>
      <c r="AH1011" s="227">
        <f>IF(BetTable[Outcome3]="Win",BetTable[WBA3-Commission],IF(BetTable[Outcome3]="Win Half Stake",(BetTable[S3]/2)+BetTable[WBA3-Commission]/2,IF(BetTable[Outcome3]="Lose Half Stake",BetTable[S3]/2,IF(BetTable[Outcome3]="Lose",0,IF(BetTable[Outcome3]="Void",BetTable[S3],)))))</f>
        <v>0</v>
      </c>
      <c r="AI1011" s="231">
        <f>IF(BetTable[Outcome]="",AI1010,BetTable[Result]+AI1010)</f>
        <v>1663.9152499999993</v>
      </c>
      <c r="AJ1011" s="223"/>
    </row>
    <row r="1012" spans="1:36" x14ac:dyDescent="0.2">
      <c r="A1012" s="222" t="s">
        <v>2375</v>
      </c>
      <c r="B1012" s="223" t="s">
        <v>200</v>
      </c>
      <c r="C1012" s="224" t="s">
        <v>1714</v>
      </c>
      <c r="D1012" s="224"/>
      <c r="E1012" s="224"/>
      <c r="F1012" s="225"/>
      <c r="G1012" s="225"/>
      <c r="H1012" s="225"/>
      <c r="I1012" s="223" t="s">
        <v>2570</v>
      </c>
      <c r="J1012" s="226">
        <v>1.8</v>
      </c>
      <c r="K1012" s="226"/>
      <c r="L1012" s="226"/>
      <c r="M1012" s="227">
        <v>36</v>
      </c>
      <c r="N1012" s="227"/>
      <c r="O1012" s="227"/>
      <c r="P1012" s="222" t="s">
        <v>354</v>
      </c>
      <c r="Q1012" s="222" t="s">
        <v>488</v>
      </c>
      <c r="R1012" s="222" t="s">
        <v>2571</v>
      </c>
      <c r="S1012" s="228">
        <v>1.8670943474710301E-2</v>
      </c>
      <c r="T1012" s="229" t="s">
        <v>510</v>
      </c>
      <c r="U1012" s="229"/>
      <c r="V1012" s="229"/>
      <c r="W1012" s="230">
        <f>IF(BetTable[Sport]="","",BetTable[Stake]+BetTable[S2]+BetTable[S3])</f>
        <v>36</v>
      </c>
      <c r="X1012" s="227">
        <f>IF(BetTable[Odds]="","",(BetTable[WBA1-Commission])-BetTable[TS])</f>
        <v>28.799999999999997</v>
      </c>
      <c r="Y1012" s="231">
        <f>IF(BetTable[Outcome]="","",BetTable[WBA1]+BetTable[WBA2]+BetTable[WBA3]-BetTable[TS])</f>
        <v>14.399999999999999</v>
      </c>
      <c r="Z1012" s="227">
        <f>(((BetTable[Odds]-1)*BetTable[Stake])*(1-(BetTable[Comm %]))+BetTable[Stake])</f>
        <v>64.8</v>
      </c>
      <c r="AA1012" s="227">
        <f>(((BetTable[O2]-1)*BetTable[S2])*(1-(BetTable[C% 2]))+BetTable[S2])</f>
        <v>0</v>
      </c>
      <c r="AB1012" s="227">
        <f>(((BetTable[O3]-1)*BetTable[S3])*(1-(BetTable[C% 3]))+BetTable[S3])</f>
        <v>0</v>
      </c>
      <c r="AC1012" s="228">
        <f>IFERROR(IF(BetTable[Sport]="","",BetTable[R1]/BetTable[TS]),"")</f>
        <v>0.79999999999999993</v>
      </c>
      <c r="AD1012" s="228" t="str">
        <f>IF(BetTable[O2]="","",#REF!/BetTable[TS])</f>
        <v/>
      </c>
      <c r="AE1012" s="228" t="str">
        <f>IFERROR(IF(BetTable[Sport]="","",#REF!/BetTable[TS]),"")</f>
        <v/>
      </c>
      <c r="AF1012" s="227">
        <f>IF(BetTable[Outcome]="Win",BetTable[WBA1-Commission],IF(BetTable[Outcome]="Win Half Stake",(BetTable[Stake]/2)+BetTable[WBA1-Commission]/2,IF(BetTable[Outcome]="Lose Half Stake",BetTable[Stake]/2,IF(BetTable[Outcome]="Lose",0,IF(BetTable[Outcome]="Void",BetTable[Stake],)))))</f>
        <v>50.4</v>
      </c>
      <c r="AG1012" s="227">
        <f>IF(BetTable[Outcome2]="Win",BetTable[WBA2-Commission],IF(BetTable[Outcome2]="Win Half Stake",(BetTable[S2]/2)+BetTable[WBA2-Commission]/2,IF(BetTable[Outcome2]="Lose Half Stake",BetTable[S2]/2,IF(BetTable[Outcome2]="Lose",0,IF(BetTable[Outcome2]="Void",BetTable[S2],)))))</f>
        <v>0</v>
      </c>
      <c r="AH1012" s="227">
        <f>IF(BetTable[Outcome3]="Win",BetTable[WBA3-Commission],IF(BetTable[Outcome3]="Win Half Stake",(BetTable[S3]/2)+BetTable[WBA3-Commission]/2,IF(BetTable[Outcome3]="Lose Half Stake",BetTable[S3]/2,IF(BetTable[Outcome3]="Lose",0,IF(BetTable[Outcome3]="Void",BetTable[S3],)))))</f>
        <v>0</v>
      </c>
      <c r="AI1012" s="231">
        <f>IF(BetTable[Outcome]="",AI1011,BetTable[Result]+AI1011)</f>
        <v>1678.3152499999994</v>
      </c>
      <c r="AJ1012" s="223"/>
    </row>
    <row r="1013" spans="1:36" x14ac:dyDescent="0.2">
      <c r="A1013" s="222" t="s">
        <v>2375</v>
      </c>
      <c r="B1013" s="223" t="s">
        <v>7</v>
      </c>
      <c r="C1013" s="224" t="s">
        <v>91</v>
      </c>
      <c r="D1013" s="224"/>
      <c r="E1013" s="224"/>
      <c r="F1013" s="225"/>
      <c r="G1013" s="225"/>
      <c r="H1013" s="225"/>
      <c r="I1013" s="223" t="s">
        <v>2572</v>
      </c>
      <c r="J1013" s="226">
        <v>1.87</v>
      </c>
      <c r="K1013" s="226"/>
      <c r="L1013" s="226"/>
      <c r="M1013" s="227">
        <v>53</v>
      </c>
      <c r="N1013" s="227"/>
      <c r="O1013" s="227"/>
      <c r="P1013" s="222" t="s">
        <v>2573</v>
      </c>
      <c r="Q1013" s="222" t="s">
        <v>839</v>
      </c>
      <c r="R1013" s="222" t="s">
        <v>2574</v>
      </c>
      <c r="S1013" s="228">
        <v>2.9745218577257999E-2</v>
      </c>
      <c r="T1013" s="229" t="s">
        <v>372</v>
      </c>
      <c r="U1013" s="229"/>
      <c r="V1013" s="229"/>
      <c r="W1013" s="230">
        <f>IF(BetTable[Sport]="","",BetTable[Stake]+BetTable[S2]+BetTable[S3])</f>
        <v>53</v>
      </c>
      <c r="X1013" s="227">
        <f>IF(BetTable[Odds]="","",(BetTable[WBA1-Commission])-BetTable[TS])</f>
        <v>46.110000000000014</v>
      </c>
      <c r="Y1013" s="231">
        <f>IF(BetTable[Outcome]="","",BetTable[WBA1]+BetTable[WBA2]+BetTable[WBA3]-BetTable[TS])</f>
        <v>46.110000000000014</v>
      </c>
      <c r="Z1013" s="227">
        <f>(((BetTable[Odds]-1)*BetTable[Stake])*(1-(BetTable[Comm %]))+BetTable[Stake])</f>
        <v>99.110000000000014</v>
      </c>
      <c r="AA1013" s="227">
        <f>(((BetTable[O2]-1)*BetTable[S2])*(1-(BetTable[C% 2]))+BetTable[S2])</f>
        <v>0</v>
      </c>
      <c r="AB1013" s="227">
        <f>(((BetTable[O3]-1)*BetTable[S3])*(1-(BetTable[C% 3]))+BetTable[S3])</f>
        <v>0</v>
      </c>
      <c r="AC1013" s="228">
        <f>IFERROR(IF(BetTable[Sport]="","",BetTable[R1]/BetTable[TS]),"")</f>
        <v>0.87000000000000022</v>
      </c>
      <c r="AD1013" s="228" t="str">
        <f>IF(BetTable[O2]="","",#REF!/BetTable[TS])</f>
        <v/>
      </c>
      <c r="AE1013" s="228" t="str">
        <f>IFERROR(IF(BetTable[Sport]="","",#REF!/BetTable[TS]),"")</f>
        <v/>
      </c>
      <c r="AF1013" s="227">
        <f>IF(BetTable[Outcome]="Win",BetTable[WBA1-Commission],IF(BetTable[Outcome]="Win Half Stake",(BetTable[Stake]/2)+BetTable[WBA1-Commission]/2,IF(BetTable[Outcome]="Lose Half Stake",BetTable[Stake]/2,IF(BetTable[Outcome]="Lose",0,IF(BetTable[Outcome]="Void",BetTable[Stake],)))))</f>
        <v>99.110000000000014</v>
      </c>
      <c r="AG1013" s="227">
        <f>IF(BetTable[Outcome2]="Win",BetTable[WBA2-Commission],IF(BetTable[Outcome2]="Win Half Stake",(BetTable[S2]/2)+BetTable[WBA2-Commission]/2,IF(BetTable[Outcome2]="Lose Half Stake",BetTable[S2]/2,IF(BetTable[Outcome2]="Lose",0,IF(BetTable[Outcome2]="Void",BetTable[S2],)))))</f>
        <v>0</v>
      </c>
      <c r="AH1013" s="227">
        <f>IF(BetTable[Outcome3]="Win",BetTable[WBA3-Commission],IF(BetTable[Outcome3]="Win Half Stake",(BetTable[S3]/2)+BetTable[WBA3-Commission]/2,IF(BetTable[Outcome3]="Lose Half Stake",BetTable[S3]/2,IF(BetTable[Outcome3]="Lose",0,IF(BetTable[Outcome3]="Void",BetTable[S3],)))))</f>
        <v>0</v>
      </c>
      <c r="AI1013" s="231">
        <f>IF(BetTable[Outcome]="",AI1012,BetTable[Result]+AI1012)</f>
        <v>1724.4252499999993</v>
      </c>
      <c r="AJ1013" s="223"/>
    </row>
    <row r="1014" spans="1:36" x14ac:dyDescent="0.2">
      <c r="A1014" s="222" t="s">
        <v>2375</v>
      </c>
      <c r="B1014" s="223" t="s">
        <v>200</v>
      </c>
      <c r="C1014" s="224" t="s">
        <v>1714</v>
      </c>
      <c r="D1014" s="224"/>
      <c r="E1014" s="224"/>
      <c r="F1014" s="225"/>
      <c r="G1014" s="225"/>
      <c r="H1014" s="225"/>
      <c r="I1014" s="223" t="s">
        <v>2575</v>
      </c>
      <c r="J1014" s="226">
        <v>1.85</v>
      </c>
      <c r="K1014" s="226"/>
      <c r="L1014" s="226"/>
      <c r="M1014" s="227">
        <v>38</v>
      </c>
      <c r="N1014" s="227"/>
      <c r="O1014" s="227"/>
      <c r="P1014" s="222" t="s">
        <v>351</v>
      </c>
      <c r="Q1014" s="222" t="s">
        <v>581</v>
      </c>
      <c r="R1014" s="222" t="s">
        <v>2576</v>
      </c>
      <c r="S1014" s="228">
        <v>2.0867626204392101E-2</v>
      </c>
      <c r="T1014" s="229" t="s">
        <v>372</v>
      </c>
      <c r="U1014" s="229"/>
      <c r="V1014" s="229"/>
      <c r="W1014" s="230">
        <f>IF(BetTable[Sport]="","",BetTable[Stake]+BetTable[S2]+BetTable[S3])</f>
        <v>38</v>
      </c>
      <c r="X1014" s="227">
        <f>IF(BetTable[Odds]="","",(BetTable[WBA1-Commission])-BetTable[TS])</f>
        <v>32.300000000000011</v>
      </c>
      <c r="Y1014" s="231">
        <f>IF(BetTable[Outcome]="","",BetTable[WBA1]+BetTable[WBA2]+BetTable[WBA3]-BetTable[TS])</f>
        <v>32.300000000000011</v>
      </c>
      <c r="Z1014" s="227">
        <f>(((BetTable[Odds]-1)*BetTable[Stake])*(1-(BetTable[Comm %]))+BetTable[Stake])</f>
        <v>70.300000000000011</v>
      </c>
      <c r="AA1014" s="227">
        <f>(((BetTable[O2]-1)*BetTable[S2])*(1-(BetTable[C% 2]))+BetTable[S2])</f>
        <v>0</v>
      </c>
      <c r="AB1014" s="227">
        <f>(((BetTable[O3]-1)*BetTable[S3])*(1-(BetTable[C% 3]))+BetTable[S3])</f>
        <v>0</v>
      </c>
      <c r="AC1014" s="228">
        <f>IFERROR(IF(BetTable[Sport]="","",BetTable[R1]/BetTable[TS]),"")</f>
        <v>0.85000000000000031</v>
      </c>
      <c r="AD1014" s="228" t="str">
        <f>IF(BetTable[O2]="","",#REF!/BetTable[TS])</f>
        <v/>
      </c>
      <c r="AE1014" s="228" t="str">
        <f>IFERROR(IF(BetTable[Sport]="","",#REF!/BetTable[TS]),"")</f>
        <v/>
      </c>
      <c r="AF1014" s="227">
        <f>IF(BetTable[Outcome]="Win",BetTable[WBA1-Commission],IF(BetTable[Outcome]="Win Half Stake",(BetTable[Stake]/2)+BetTable[WBA1-Commission]/2,IF(BetTable[Outcome]="Lose Half Stake",BetTable[Stake]/2,IF(BetTable[Outcome]="Lose",0,IF(BetTable[Outcome]="Void",BetTable[Stake],)))))</f>
        <v>70.300000000000011</v>
      </c>
      <c r="AG1014" s="227">
        <f>IF(BetTable[Outcome2]="Win",BetTable[WBA2-Commission],IF(BetTable[Outcome2]="Win Half Stake",(BetTable[S2]/2)+BetTable[WBA2-Commission]/2,IF(BetTable[Outcome2]="Lose Half Stake",BetTable[S2]/2,IF(BetTable[Outcome2]="Lose",0,IF(BetTable[Outcome2]="Void",BetTable[S2],)))))</f>
        <v>0</v>
      </c>
      <c r="AH1014" s="227">
        <f>IF(BetTable[Outcome3]="Win",BetTable[WBA3-Commission],IF(BetTable[Outcome3]="Win Half Stake",(BetTable[S3]/2)+BetTable[WBA3-Commission]/2,IF(BetTable[Outcome3]="Lose Half Stake",BetTable[S3]/2,IF(BetTable[Outcome3]="Lose",0,IF(BetTable[Outcome3]="Void",BetTable[S3],)))))</f>
        <v>0</v>
      </c>
      <c r="AI1014" s="231">
        <f>IF(BetTable[Outcome]="",AI1013,BetTable[Result]+AI1013)</f>
        <v>1756.7252499999993</v>
      </c>
      <c r="AJ1014" s="223"/>
    </row>
    <row r="1015" spans="1:36" x14ac:dyDescent="0.2">
      <c r="A1015" s="222" t="s">
        <v>2375</v>
      </c>
      <c r="B1015" s="223" t="s">
        <v>9</v>
      </c>
      <c r="C1015" s="224" t="s">
        <v>91</v>
      </c>
      <c r="D1015" s="224"/>
      <c r="E1015" s="224"/>
      <c r="F1015" s="225"/>
      <c r="G1015" s="225"/>
      <c r="H1015" s="225"/>
      <c r="I1015" s="223" t="s">
        <v>2577</v>
      </c>
      <c r="J1015" s="226">
        <v>2.04</v>
      </c>
      <c r="K1015" s="226"/>
      <c r="L1015" s="226"/>
      <c r="M1015" s="227">
        <v>44</v>
      </c>
      <c r="N1015" s="227"/>
      <c r="O1015" s="227"/>
      <c r="P1015" s="222" t="s">
        <v>791</v>
      </c>
      <c r="Q1015" s="222" t="s">
        <v>836</v>
      </c>
      <c r="R1015" s="222" t="s">
        <v>2578</v>
      </c>
      <c r="S1015" s="228">
        <v>2.9252846866465301E-2</v>
      </c>
      <c r="T1015" s="229" t="s">
        <v>382</v>
      </c>
      <c r="U1015" s="229"/>
      <c r="V1015" s="229"/>
      <c r="W1015" s="230">
        <f>IF(BetTable[Sport]="","",BetTable[Stake]+BetTable[S2]+BetTable[S3])</f>
        <v>44</v>
      </c>
      <c r="X1015" s="227">
        <f>IF(BetTable[Odds]="","",(BetTable[WBA1-Commission])-BetTable[TS])</f>
        <v>45.760000000000005</v>
      </c>
      <c r="Y1015" s="231">
        <f>IF(BetTable[Outcome]="","",BetTable[WBA1]+BetTable[WBA2]+BetTable[WBA3]-BetTable[TS])</f>
        <v>-44</v>
      </c>
      <c r="Z1015" s="227">
        <f>(((BetTable[Odds]-1)*BetTable[Stake])*(1-(BetTable[Comm %]))+BetTable[Stake])</f>
        <v>89.76</v>
      </c>
      <c r="AA1015" s="227">
        <f>(((BetTable[O2]-1)*BetTable[S2])*(1-(BetTable[C% 2]))+BetTable[S2])</f>
        <v>0</v>
      </c>
      <c r="AB1015" s="227">
        <f>(((BetTable[O3]-1)*BetTable[S3])*(1-(BetTable[C% 3]))+BetTable[S3])</f>
        <v>0</v>
      </c>
      <c r="AC1015" s="228">
        <f>IFERROR(IF(BetTable[Sport]="","",BetTable[R1]/BetTable[TS]),"")</f>
        <v>1.04</v>
      </c>
      <c r="AD1015" s="228" t="str">
        <f>IF(BetTable[O2]="","",#REF!/BetTable[TS])</f>
        <v/>
      </c>
      <c r="AE1015" s="228" t="str">
        <f>IFERROR(IF(BetTable[Sport]="","",#REF!/BetTable[TS]),"")</f>
        <v/>
      </c>
      <c r="AF1015" s="227">
        <f>IF(BetTable[Outcome]="Win",BetTable[WBA1-Commission],IF(BetTable[Outcome]="Win Half Stake",(BetTable[Stake]/2)+BetTable[WBA1-Commission]/2,IF(BetTable[Outcome]="Lose Half Stake",BetTable[Stake]/2,IF(BetTable[Outcome]="Lose",0,IF(BetTable[Outcome]="Void",BetTable[Stake],)))))</f>
        <v>0</v>
      </c>
      <c r="AG1015" s="227">
        <f>IF(BetTable[Outcome2]="Win",BetTable[WBA2-Commission],IF(BetTable[Outcome2]="Win Half Stake",(BetTable[S2]/2)+BetTable[WBA2-Commission]/2,IF(BetTable[Outcome2]="Lose Half Stake",BetTable[S2]/2,IF(BetTable[Outcome2]="Lose",0,IF(BetTable[Outcome2]="Void",BetTable[S2],)))))</f>
        <v>0</v>
      </c>
      <c r="AH1015" s="227">
        <f>IF(BetTable[Outcome3]="Win",BetTable[WBA3-Commission],IF(BetTable[Outcome3]="Win Half Stake",(BetTable[S3]/2)+BetTable[WBA3-Commission]/2,IF(BetTable[Outcome3]="Lose Half Stake",BetTable[S3]/2,IF(BetTable[Outcome3]="Lose",0,IF(BetTable[Outcome3]="Void",BetTable[S3],)))))</f>
        <v>0</v>
      </c>
      <c r="AI1015" s="231">
        <f>IF(BetTable[Outcome]="",AI1014,BetTable[Result]+AI1014)</f>
        <v>1712.7252499999993</v>
      </c>
      <c r="AJ1015" s="223"/>
    </row>
    <row r="1016" spans="1:36" x14ac:dyDescent="0.2">
      <c r="A1016" s="222" t="s">
        <v>2375</v>
      </c>
      <c r="B1016" s="223" t="s">
        <v>200</v>
      </c>
      <c r="C1016" s="224" t="s">
        <v>1714</v>
      </c>
      <c r="D1016" s="224"/>
      <c r="E1016" s="224"/>
      <c r="F1016" s="225"/>
      <c r="G1016" s="225"/>
      <c r="H1016" s="225"/>
      <c r="I1016" s="223" t="s">
        <v>2579</v>
      </c>
      <c r="J1016" s="226">
        <v>1.82</v>
      </c>
      <c r="K1016" s="226"/>
      <c r="L1016" s="226"/>
      <c r="M1016" s="227">
        <v>31</v>
      </c>
      <c r="N1016" s="227"/>
      <c r="O1016" s="227"/>
      <c r="P1016" s="222" t="s">
        <v>354</v>
      </c>
      <c r="Q1016" s="222" t="s">
        <v>488</v>
      </c>
      <c r="R1016" s="222" t="s">
        <v>2580</v>
      </c>
      <c r="S1016" s="228">
        <v>1.6350053086763301E-2</v>
      </c>
      <c r="T1016" s="229" t="s">
        <v>510</v>
      </c>
      <c r="U1016" s="229"/>
      <c r="V1016" s="229"/>
      <c r="W1016" s="230">
        <f>IF(BetTable[Sport]="","",BetTable[Stake]+BetTable[S2]+BetTable[S3])</f>
        <v>31</v>
      </c>
      <c r="X1016" s="227">
        <f>IF(BetTable[Odds]="","",(BetTable[WBA1-Commission])-BetTable[TS])</f>
        <v>25.42</v>
      </c>
      <c r="Y1016" s="231">
        <f>IF(BetTable[Outcome]="","",BetTable[WBA1]+BetTable[WBA2]+BetTable[WBA3]-BetTable[TS])</f>
        <v>12.71</v>
      </c>
      <c r="Z1016" s="227">
        <f>(((BetTable[Odds]-1)*BetTable[Stake])*(1-(BetTable[Comm %]))+BetTable[Stake])</f>
        <v>56.42</v>
      </c>
      <c r="AA1016" s="227">
        <f>(((BetTable[O2]-1)*BetTable[S2])*(1-(BetTable[C% 2]))+BetTable[S2])</f>
        <v>0</v>
      </c>
      <c r="AB1016" s="227">
        <f>(((BetTable[O3]-1)*BetTable[S3])*(1-(BetTable[C% 3]))+BetTable[S3])</f>
        <v>0</v>
      </c>
      <c r="AC1016" s="228">
        <f>IFERROR(IF(BetTable[Sport]="","",BetTable[R1]/BetTable[TS]),"")</f>
        <v>0.82000000000000006</v>
      </c>
      <c r="AD1016" s="228" t="str">
        <f>IF(BetTable[O2]="","",#REF!/BetTable[TS])</f>
        <v/>
      </c>
      <c r="AE1016" s="228" t="str">
        <f>IFERROR(IF(BetTable[Sport]="","",#REF!/BetTable[TS]),"")</f>
        <v/>
      </c>
      <c r="AF1016" s="227">
        <f>IF(BetTable[Outcome]="Win",BetTable[WBA1-Commission],IF(BetTable[Outcome]="Win Half Stake",(BetTable[Stake]/2)+BetTable[WBA1-Commission]/2,IF(BetTable[Outcome]="Lose Half Stake",BetTable[Stake]/2,IF(BetTable[Outcome]="Lose",0,IF(BetTable[Outcome]="Void",BetTable[Stake],)))))</f>
        <v>43.71</v>
      </c>
      <c r="AG1016" s="227">
        <f>IF(BetTable[Outcome2]="Win",BetTable[WBA2-Commission],IF(BetTable[Outcome2]="Win Half Stake",(BetTable[S2]/2)+BetTable[WBA2-Commission]/2,IF(BetTable[Outcome2]="Lose Half Stake",BetTable[S2]/2,IF(BetTable[Outcome2]="Lose",0,IF(BetTable[Outcome2]="Void",BetTable[S2],)))))</f>
        <v>0</v>
      </c>
      <c r="AH1016" s="227">
        <f>IF(BetTable[Outcome3]="Win",BetTable[WBA3-Commission],IF(BetTable[Outcome3]="Win Half Stake",(BetTable[S3]/2)+BetTable[WBA3-Commission]/2,IF(BetTable[Outcome3]="Lose Half Stake",BetTable[S3]/2,IF(BetTable[Outcome3]="Lose",0,IF(BetTable[Outcome3]="Void",BetTable[S3],)))))</f>
        <v>0</v>
      </c>
      <c r="AI1016" s="231">
        <f>IF(BetTable[Outcome]="",AI1015,BetTable[Result]+AI1015)</f>
        <v>1725.4352499999993</v>
      </c>
      <c r="AJ1016" s="223"/>
    </row>
    <row r="1017" spans="1:36" x14ac:dyDescent="0.2">
      <c r="A1017" s="222" t="s">
        <v>2375</v>
      </c>
      <c r="B1017" s="223" t="s">
        <v>175</v>
      </c>
      <c r="C1017" s="224" t="s">
        <v>91</v>
      </c>
      <c r="D1017" s="224"/>
      <c r="E1017" s="224"/>
      <c r="F1017" s="225"/>
      <c r="G1017" s="225"/>
      <c r="H1017" s="225"/>
      <c r="I1017" s="223" t="s">
        <v>2581</v>
      </c>
      <c r="J1017" s="226">
        <v>1.9</v>
      </c>
      <c r="K1017" s="226"/>
      <c r="L1017" s="226"/>
      <c r="M1017" s="227">
        <v>44</v>
      </c>
      <c r="N1017" s="227"/>
      <c r="O1017" s="227"/>
      <c r="P1017" s="222" t="s">
        <v>2582</v>
      </c>
      <c r="Q1017" s="222" t="s">
        <v>530</v>
      </c>
      <c r="R1017" s="222" t="s">
        <v>2583</v>
      </c>
      <c r="S1017" s="228">
        <v>2.5447883379971399E-2</v>
      </c>
      <c r="T1017" s="229" t="s">
        <v>372</v>
      </c>
      <c r="U1017" s="229"/>
      <c r="V1017" s="229"/>
      <c r="W1017" s="230">
        <f>IF(BetTable[Sport]="","",BetTable[Stake]+BetTable[S2]+BetTable[S3])</f>
        <v>44</v>
      </c>
      <c r="X1017" s="227">
        <f>IF(BetTable[Odds]="","",(BetTable[WBA1-Commission])-BetTable[TS])</f>
        <v>39.599999999999994</v>
      </c>
      <c r="Y1017" s="231">
        <f>IF(BetTable[Outcome]="","",BetTable[WBA1]+BetTable[WBA2]+BetTable[WBA3]-BetTable[TS])</f>
        <v>39.599999999999994</v>
      </c>
      <c r="Z1017" s="227">
        <f>(((BetTable[Odds]-1)*BetTable[Stake])*(1-(BetTable[Comm %]))+BetTable[Stake])</f>
        <v>83.6</v>
      </c>
      <c r="AA1017" s="227">
        <f>(((BetTable[O2]-1)*BetTable[S2])*(1-(BetTable[C% 2]))+BetTable[S2])</f>
        <v>0</v>
      </c>
      <c r="AB1017" s="227">
        <f>(((BetTable[O3]-1)*BetTable[S3])*(1-(BetTable[C% 3]))+BetTable[S3])</f>
        <v>0</v>
      </c>
      <c r="AC1017" s="228">
        <f>IFERROR(IF(BetTable[Sport]="","",BetTable[R1]/BetTable[TS]),"")</f>
        <v>0.89999999999999991</v>
      </c>
      <c r="AD1017" s="228" t="str">
        <f>IF(BetTable[O2]="","",#REF!/BetTable[TS])</f>
        <v/>
      </c>
      <c r="AE1017" s="228" t="str">
        <f>IFERROR(IF(BetTable[Sport]="","",#REF!/BetTable[TS]),"")</f>
        <v/>
      </c>
      <c r="AF1017" s="227">
        <f>IF(BetTable[Outcome]="Win",BetTable[WBA1-Commission],IF(BetTable[Outcome]="Win Half Stake",(BetTable[Stake]/2)+BetTable[WBA1-Commission]/2,IF(BetTable[Outcome]="Lose Half Stake",BetTable[Stake]/2,IF(BetTable[Outcome]="Lose",0,IF(BetTable[Outcome]="Void",BetTable[Stake],)))))</f>
        <v>83.6</v>
      </c>
      <c r="AG1017" s="227">
        <f>IF(BetTable[Outcome2]="Win",BetTable[WBA2-Commission],IF(BetTable[Outcome2]="Win Half Stake",(BetTable[S2]/2)+BetTable[WBA2-Commission]/2,IF(BetTable[Outcome2]="Lose Half Stake",BetTable[S2]/2,IF(BetTable[Outcome2]="Lose",0,IF(BetTable[Outcome2]="Void",BetTable[S2],)))))</f>
        <v>0</v>
      </c>
      <c r="AH1017" s="227">
        <f>IF(BetTable[Outcome3]="Win",BetTable[WBA3-Commission],IF(BetTable[Outcome3]="Win Half Stake",(BetTable[S3]/2)+BetTable[WBA3-Commission]/2,IF(BetTable[Outcome3]="Lose Half Stake",BetTable[S3]/2,IF(BetTable[Outcome3]="Lose",0,IF(BetTable[Outcome3]="Void",BetTable[S3],)))))</f>
        <v>0</v>
      </c>
      <c r="AI1017" s="231">
        <f>IF(BetTable[Outcome]="",AI1016,BetTable[Result]+AI1016)</f>
        <v>1765.0352499999992</v>
      </c>
      <c r="AJ1017" s="223"/>
    </row>
    <row r="1018" spans="1:36" x14ac:dyDescent="0.2">
      <c r="A1018" s="222" t="s">
        <v>2375</v>
      </c>
      <c r="B1018" s="223" t="s">
        <v>7</v>
      </c>
      <c r="C1018" s="224" t="s">
        <v>91</v>
      </c>
      <c r="D1018" s="224"/>
      <c r="E1018" s="224"/>
      <c r="F1018" s="225"/>
      <c r="G1018" s="225"/>
      <c r="H1018" s="225"/>
      <c r="I1018" s="223" t="s">
        <v>2584</v>
      </c>
      <c r="J1018" s="226">
        <v>1.94</v>
      </c>
      <c r="K1018" s="226"/>
      <c r="L1018" s="226"/>
      <c r="M1018" s="227">
        <v>41</v>
      </c>
      <c r="N1018" s="227"/>
      <c r="O1018" s="227"/>
      <c r="P1018" s="222" t="s">
        <v>2585</v>
      </c>
      <c r="Q1018" s="222" t="s">
        <v>1132</v>
      </c>
      <c r="R1018" s="222" t="s">
        <v>2586</v>
      </c>
      <c r="S1018" s="228">
        <v>2.48238499064053E-2</v>
      </c>
      <c r="T1018" s="229" t="s">
        <v>372</v>
      </c>
      <c r="U1018" s="229"/>
      <c r="V1018" s="229"/>
      <c r="W1018" s="230">
        <f>IF(BetTable[Sport]="","",BetTable[Stake]+BetTable[S2]+BetTable[S3])</f>
        <v>41</v>
      </c>
      <c r="X1018" s="227">
        <f>IF(BetTable[Odds]="","",(BetTable[WBA1-Commission])-BetTable[TS])</f>
        <v>38.539999999999992</v>
      </c>
      <c r="Y1018" s="231">
        <f>IF(BetTable[Outcome]="","",BetTable[WBA1]+BetTable[WBA2]+BetTable[WBA3]-BetTable[TS])</f>
        <v>38.539999999999992</v>
      </c>
      <c r="Z1018" s="227">
        <f>(((BetTable[Odds]-1)*BetTable[Stake])*(1-(BetTable[Comm %]))+BetTable[Stake])</f>
        <v>79.539999999999992</v>
      </c>
      <c r="AA1018" s="227">
        <f>(((BetTable[O2]-1)*BetTable[S2])*(1-(BetTable[C% 2]))+BetTable[S2])</f>
        <v>0</v>
      </c>
      <c r="AB1018" s="227">
        <f>(((BetTable[O3]-1)*BetTable[S3])*(1-(BetTable[C% 3]))+BetTable[S3])</f>
        <v>0</v>
      </c>
      <c r="AC1018" s="228">
        <f>IFERROR(IF(BetTable[Sport]="","",BetTable[R1]/BetTable[TS]),"")</f>
        <v>0.93999999999999984</v>
      </c>
      <c r="AD1018" s="228" t="str">
        <f>IF(BetTable[O2]="","",#REF!/BetTable[TS])</f>
        <v/>
      </c>
      <c r="AE1018" s="228" t="str">
        <f>IFERROR(IF(BetTable[Sport]="","",#REF!/BetTable[TS]),"")</f>
        <v/>
      </c>
      <c r="AF1018" s="227">
        <f>IF(BetTable[Outcome]="Win",BetTable[WBA1-Commission],IF(BetTable[Outcome]="Win Half Stake",(BetTable[Stake]/2)+BetTable[WBA1-Commission]/2,IF(BetTable[Outcome]="Lose Half Stake",BetTable[Stake]/2,IF(BetTable[Outcome]="Lose",0,IF(BetTable[Outcome]="Void",BetTable[Stake],)))))</f>
        <v>79.539999999999992</v>
      </c>
      <c r="AG1018" s="227">
        <f>IF(BetTable[Outcome2]="Win",BetTable[WBA2-Commission],IF(BetTable[Outcome2]="Win Half Stake",(BetTable[S2]/2)+BetTable[WBA2-Commission]/2,IF(BetTable[Outcome2]="Lose Half Stake",BetTable[S2]/2,IF(BetTable[Outcome2]="Lose",0,IF(BetTable[Outcome2]="Void",BetTable[S2],)))))</f>
        <v>0</v>
      </c>
      <c r="AH1018" s="227">
        <f>IF(BetTable[Outcome3]="Win",BetTable[WBA3-Commission],IF(BetTable[Outcome3]="Win Half Stake",(BetTable[S3]/2)+BetTable[WBA3-Commission]/2,IF(BetTable[Outcome3]="Lose Half Stake",BetTable[S3]/2,IF(BetTable[Outcome3]="Lose",0,IF(BetTable[Outcome3]="Void",BetTable[S3],)))))</f>
        <v>0</v>
      </c>
      <c r="AI1018" s="231">
        <f>IF(BetTable[Outcome]="",AI1017,BetTable[Result]+AI1017)</f>
        <v>1803.5752499999992</v>
      </c>
      <c r="AJ1018" s="223"/>
    </row>
    <row r="1019" spans="1:36" x14ac:dyDescent="0.2">
      <c r="A1019" s="222" t="s">
        <v>2375</v>
      </c>
      <c r="B1019" s="223" t="s">
        <v>7</v>
      </c>
      <c r="C1019" s="224" t="s">
        <v>216</v>
      </c>
      <c r="D1019" s="224"/>
      <c r="E1019" s="224"/>
      <c r="F1019" s="225"/>
      <c r="G1019" s="225"/>
      <c r="H1019" s="225"/>
      <c r="I1019" s="223" t="s">
        <v>2587</v>
      </c>
      <c r="J1019" s="226">
        <v>1.909</v>
      </c>
      <c r="K1019" s="226"/>
      <c r="L1019" s="226"/>
      <c r="M1019" s="227">
        <v>63</v>
      </c>
      <c r="N1019" s="227"/>
      <c r="O1019" s="227"/>
      <c r="P1019" s="222" t="s">
        <v>2035</v>
      </c>
      <c r="Q1019" s="222" t="s">
        <v>530</v>
      </c>
      <c r="R1019" s="222" t="s">
        <v>2588</v>
      </c>
      <c r="S1019" s="228">
        <v>3.6901931103557502E-2</v>
      </c>
      <c r="T1019" s="229" t="s">
        <v>382</v>
      </c>
      <c r="U1019" s="229"/>
      <c r="V1019" s="229"/>
      <c r="W1019" s="230">
        <f>IF(BetTable[Sport]="","",BetTable[Stake]+BetTable[S2]+BetTable[S3])</f>
        <v>63</v>
      </c>
      <c r="X1019" s="227">
        <f>IF(BetTable[Odds]="","",(BetTable[WBA1-Commission])-BetTable[TS])</f>
        <v>57.266999999999996</v>
      </c>
      <c r="Y1019" s="231">
        <f>IF(BetTable[Outcome]="","",BetTable[WBA1]+BetTable[WBA2]+BetTable[WBA3]-BetTable[TS])</f>
        <v>-63</v>
      </c>
      <c r="Z1019" s="227">
        <f>(((BetTable[Odds]-1)*BetTable[Stake])*(1-(BetTable[Comm %]))+BetTable[Stake])</f>
        <v>120.267</v>
      </c>
      <c r="AA1019" s="227">
        <f>(((BetTable[O2]-1)*BetTable[S2])*(1-(BetTable[C% 2]))+BetTable[S2])</f>
        <v>0</v>
      </c>
      <c r="AB1019" s="227">
        <f>(((BetTable[O3]-1)*BetTable[S3])*(1-(BetTable[C% 3]))+BetTable[S3])</f>
        <v>0</v>
      </c>
      <c r="AC1019" s="228">
        <f>IFERROR(IF(BetTable[Sport]="","",BetTable[R1]/BetTable[TS]),"")</f>
        <v>0.90899999999999992</v>
      </c>
      <c r="AD1019" s="228" t="str">
        <f>IF(BetTable[O2]="","",#REF!/BetTable[TS])</f>
        <v/>
      </c>
      <c r="AE1019" s="228" t="str">
        <f>IFERROR(IF(BetTable[Sport]="","",#REF!/BetTable[TS]),"")</f>
        <v/>
      </c>
      <c r="AF1019" s="227">
        <f>IF(BetTable[Outcome]="Win",BetTable[WBA1-Commission],IF(BetTable[Outcome]="Win Half Stake",(BetTable[Stake]/2)+BetTable[WBA1-Commission]/2,IF(BetTable[Outcome]="Lose Half Stake",BetTable[Stake]/2,IF(BetTable[Outcome]="Lose",0,IF(BetTable[Outcome]="Void",BetTable[Stake],)))))</f>
        <v>0</v>
      </c>
      <c r="AG1019" s="227">
        <f>IF(BetTable[Outcome2]="Win",BetTable[WBA2-Commission],IF(BetTable[Outcome2]="Win Half Stake",(BetTable[S2]/2)+BetTable[WBA2-Commission]/2,IF(BetTable[Outcome2]="Lose Half Stake",BetTable[S2]/2,IF(BetTable[Outcome2]="Lose",0,IF(BetTable[Outcome2]="Void",BetTable[S2],)))))</f>
        <v>0</v>
      </c>
      <c r="AH1019" s="227">
        <f>IF(BetTable[Outcome3]="Win",BetTable[WBA3-Commission],IF(BetTable[Outcome3]="Win Half Stake",(BetTable[S3]/2)+BetTable[WBA3-Commission]/2,IF(BetTable[Outcome3]="Lose Half Stake",BetTable[S3]/2,IF(BetTable[Outcome3]="Lose",0,IF(BetTable[Outcome3]="Void",BetTable[S3],)))))</f>
        <v>0</v>
      </c>
      <c r="AI1019" s="231">
        <f>IF(BetTable[Outcome]="",AI1018,BetTable[Result]+AI1018)</f>
        <v>1740.5752499999992</v>
      </c>
      <c r="AJ1019" s="223"/>
    </row>
    <row r="1020" spans="1:36" x14ac:dyDescent="0.2">
      <c r="A1020" s="222" t="s">
        <v>2375</v>
      </c>
      <c r="B1020" s="223" t="s">
        <v>7</v>
      </c>
      <c r="C1020" s="224" t="s">
        <v>1714</v>
      </c>
      <c r="D1020" s="224"/>
      <c r="E1020" s="224"/>
      <c r="F1020" s="225"/>
      <c r="G1020" s="225"/>
      <c r="H1020" s="225"/>
      <c r="I1020" s="223" t="s">
        <v>2589</v>
      </c>
      <c r="J1020" s="226">
        <v>1.94</v>
      </c>
      <c r="K1020" s="226"/>
      <c r="L1020" s="226"/>
      <c r="M1020" s="227">
        <v>39</v>
      </c>
      <c r="N1020" s="227"/>
      <c r="O1020" s="227"/>
      <c r="P1020" s="222" t="s">
        <v>2585</v>
      </c>
      <c r="Q1020" s="222" t="s">
        <v>1132</v>
      </c>
      <c r="R1020" s="222" t="s">
        <v>2590</v>
      </c>
      <c r="S1020" s="228">
        <v>2.48238499064053E-2</v>
      </c>
      <c r="T1020" s="229" t="s">
        <v>372</v>
      </c>
      <c r="U1020" s="229"/>
      <c r="V1020" s="229"/>
      <c r="W1020" s="230">
        <f>IF(BetTable[Sport]="","",BetTable[Stake]+BetTable[S2]+BetTable[S3])</f>
        <v>39</v>
      </c>
      <c r="X1020" s="227">
        <f>IF(BetTable[Odds]="","",(BetTable[WBA1-Commission])-BetTable[TS])</f>
        <v>36.659999999999997</v>
      </c>
      <c r="Y1020" s="231">
        <f>IF(BetTable[Outcome]="","",BetTable[WBA1]+BetTable[WBA2]+BetTable[WBA3]-BetTable[TS])</f>
        <v>36.659999999999997</v>
      </c>
      <c r="Z1020" s="227">
        <f>(((BetTable[Odds]-1)*BetTable[Stake])*(1-(BetTable[Comm %]))+BetTable[Stake])</f>
        <v>75.66</v>
      </c>
      <c r="AA1020" s="227">
        <f>(((BetTable[O2]-1)*BetTable[S2])*(1-(BetTable[C% 2]))+BetTable[S2])</f>
        <v>0</v>
      </c>
      <c r="AB1020" s="227">
        <f>(((BetTable[O3]-1)*BetTable[S3])*(1-(BetTable[C% 3]))+BetTable[S3])</f>
        <v>0</v>
      </c>
      <c r="AC1020" s="228">
        <f>IFERROR(IF(BetTable[Sport]="","",BetTable[R1]/BetTable[TS]),"")</f>
        <v>0.94</v>
      </c>
      <c r="AD1020" s="228" t="str">
        <f>IF(BetTable[O2]="","",#REF!/BetTable[TS])</f>
        <v/>
      </c>
      <c r="AE1020" s="228" t="str">
        <f>IFERROR(IF(BetTable[Sport]="","",#REF!/BetTable[TS]),"")</f>
        <v/>
      </c>
      <c r="AF1020" s="227">
        <f>IF(BetTable[Outcome]="Win",BetTable[WBA1-Commission],IF(BetTable[Outcome]="Win Half Stake",(BetTable[Stake]/2)+BetTable[WBA1-Commission]/2,IF(BetTable[Outcome]="Lose Half Stake",BetTable[Stake]/2,IF(BetTable[Outcome]="Lose",0,IF(BetTable[Outcome]="Void",BetTable[Stake],)))))</f>
        <v>75.66</v>
      </c>
      <c r="AG1020" s="227">
        <f>IF(BetTable[Outcome2]="Win",BetTable[WBA2-Commission],IF(BetTable[Outcome2]="Win Half Stake",(BetTable[S2]/2)+BetTable[WBA2-Commission]/2,IF(BetTable[Outcome2]="Lose Half Stake",BetTable[S2]/2,IF(BetTable[Outcome2]="Lose",0,IF(BetTable[Outcome2]="Void",BetTable[S2],)))))</f>
        <v>0</v>
      </c>
      <c r="AH1020" s="227">
        <f>IF(BetTable[Outcome3]="Win",BetTable[WBA3-Commission],IF(BetTable[Outcome3]="Win Half Stake",(BetTable[S3]/2)+BetTable[WBA3-Commission]/2,IF(BetTable[Outcome3]="Lose Half Stake",BetTable[S3]/2,IF(BetTable[Outcome3]="Lose",0,IF(BetTable[Outcome3]="Void",BetTable[S3],)))))</f>
        <v>0</v>
      </c>
      <c r="AI1020" s="231">
        <f>IF(BetTable[Outcome]="",AI1019,BetTable[Result]+AI1019)</f>
        <v>1777.2352499999993</v>
      </c>
      <c r="AJ1020" s="223"/>
    </row>
    <row r="1021" spans="1:36" x14ac:dyDescent="0.2">
      <c r="A1021" s="222" t="s">
        <v>2375</v>
      </c>
      <c r="B1021" s="223" t="s">
        <v>200</v>
      </c>
      <c r="C1021" s="224" t="s">
        <v>216</v>
      </c>
      <c r="D1021" s="224"/>
      <c r="E1021" s="224"/>
      <c r="F1021" s="225"/>
      <c r="G1021" s="225"/>
      <c r="H1021" s="225"/>
      <c r="I1021" s="223" t="s">
        <v>2591</v>
      </c>
      <c r="J1021" s="226">
        <v>1.694</v>
      </c>
      <c r="K1021" s="226"/>
      <c r="L1021" s="226"/>
      <c r="M1021" s="227">
        <v>36</v>
      </c>
      <c r="N1021" s="227"/>
      <c r="O1021" s="227"/>
      <c r="P1021" s="222" t="s">
        <v>543</v>
      </c>
      <c r="Q1021" s="222" t="s">
        <v>818</v>
      </c>
      <c r="R1021" s="222" t="s">
        <v>2592</v>
      </c>
      <c r="S1021" s="228">
        <v>1.5934699211668901E-2</v>
      </c>
      <c r="T1021" s="229" t="s">
        <v>372</v>
      </c>
      <c r="U1021" s="229"/>
      <c r="V1021" s="229"/>
      <c r="W1021" s="230">
        <f>IF(BetTable[Sport]="","",BetTable[Stake]+BetTable[S2]+BetTable[S3])</f>
        <v>36</v>
      </c>
      <c r="X1021" s="227">
        <f>IF(BetTable[Odds]="","",(BetTable[WBA1-Commission])-BetTable[TS])</f>
        <v>24.983999999999995</v>
      </c>
      <c r="Y1021" s="231">
        <f>IF(BetTable[Outcome]="","",BetTable[WBA1]+BetTable[WBA2]+BetTable[WBA3]-BetTable[TS])</f>
        <v>24.983999999999995</v>
      </c>
      <c r="Z1021" s="227">
        <f>(((BetTable[Odds]-1)*BetTable[Stake])*(1-(BetTable[Comm %]))+BetTable[Stake])</f>
        <v>60.983999999999995</v>
      </c>
      <c r="AA1021" s="227">
        <f>(((BetTable[O2]-1)*BetTable[S2])*(1-(BetTable[C% 2]))+BetTable[S2])</f>
        <v>0</v>
      </c>
      <c r="AB1021" s="227">
        <f>(((BetTable[O3]-1)*BetTable[S3])*(1-(BetTable[C% 3]))+BetTable[S3])</f>
        <v>0</v>
      </c>
      <c r="AC1021" s="228">
        <f>IFERROR(IF(BetTable[Sport]="","",BetTable[R1]/BetTable[TS]),"")</f>
        <v>0.69399999999999984</v>
      </c>
      <c r="AD1021" s="228" t="str">
        <f>IF(BetTable[O2]="","",#REF!/BetTable[TS])</f>
        <v/>
      </c>
      <c r="AE1021" s="228" t="str">
        <f>IFERROR(IF(BetTable[Sport]="","",#REF!/BetTable[TS]),"")</f>
        <v/>
      </c>
      <c r="AF1021" s="227">
        <f>IF(BetTable[Outcome]="Win",BetTable[WBA1-Commission],IF(BetTable[Outcome]="Win Half Stake",(BetTable[Stake]/2)+BetTable[WBA1-Commission]/2,IF(BetTable[Outcome]="Lose Half Stake",BetTable[Stake]/2,IF(BetTable[Outcome]="Lose",0,IF(BetTable[Outcome]="Void",BetTable[Stake],)))))</f>
        <v>60.983999999999995</v>
      </c>
      <c r="AG1021" s="227">
        <f>IF(BetTable[Outcome2]="Win",BetTable[WBA2-Commission],IF(BetTable[Outcome2]="Win Half Stake",(BetTable[S2]/2)+BetTable[WBA2-Commission]/2,IF(BetTable[Outcome2]="Lose Half Stake",BetTable[S2]/2,IF(BetTable[Outcome2]="Lose",0,IF(BetTable[Outcome2]="Void",BetTable[S2],)))))</f>
        <v>0</v>
      </c>
      <c r="AH1021" s="227">
        <f>IF(BetTable[Outcome3]="Win",BetTable[WBA3-Commission],IF(BetTable[Outcome3]="Win Half Stake",(BetTable[S3]/2)+BetTable[WBA3-Commission]/2,IF(BetTable[Outcome3]="Lose Half Stake",BetTable[S3]/2,IF(BetTable[Outcome3]="Lose",0,IF(BetTable[Outcome3]="Void",BetTable[S3],)))))</f>
        <v>0</v>
      </c>
      <c r="AI1021" s="231">
        <f>IF(BetTable[Outcome]="",AI1020,BetTable[Result]+AI1020)</f>
        <v>1802.2192499999992</v>
      </c>
      <c r="AJ1021" s="223"/>
    </row>
    <row r="1022" spans="1:36" x14ac:dyDescent="0.2">
      <c r="A1022" s="222" t="s">
        <v>2375</v>
      </c>
      <c r="B1022" s="223" t="s">
        <v>7</v>
      </c>
      <c r="C1022" s="224" t="s">
        <v>216</v>
      </c>
      <c r="D1022" s="224"/>
      <c r="E1022" s="224"/>
      <c r="F1022" s="225"/>
      <c r="G1022" s="225"/>
      <c r="H1022" s="225"/>
      <c r="I1022" s="223" t="s">
        <v>2593</v>
      </c>
      <c r="J1022" s="226">
        <v>1.909</v>
      </c>
      <c r="K1022" s="226"/>
      <c r="L1022" s="226"/>
      <c r="M1022" s="227">
        <v>55</v>
      </c>
      <c r="N1022" s="227"/>
      <c r="O1022" s="227"/>
      <c r="P1022" s="222" t="s">
        <v>1805</v>
      </c>
      <c r="Q1022" s="222" t="s">
        <v>1132</v>
      </c>
      <c r="R1022" s="222" t="s">
        <v>2594</v>
      </c>
      <c r="S1022" s="228">
        <v>4.2644689510860902E-2</v>
      </c>
      <c r="T1022" s="229" t="s">
        <v>382</v>
      </c>
      <c r="U1022" s="229"/>
      <c r="V1022" s="229"/>
      <c r="W1022" s="230">
        <f>IF(BetTable[Sport]="","",BetTable[Stake]+BetTable[S2]+BetTable[S3])</f>
        <v>55</v>
      </c>
      <c r="X1022" s="227">
        <f>IF(BetTable[Odds]="","",(BetTable[WBA1-Commission])-BetTable[TS])</f>
        <v>49.995000000000005</v>
      </c>
      <c r="Y1022" s="231">
        <f>IF(BetTable[Outcome]="","",BetTable[WBA1]+BetTable[WBA2]+BetTable[WBA3]-BetTable[TS])</f>
        <v>-55</v>
      </c>
      <c r="Z1022" s="227">
        <f>(((BetTable[Odds]-1)*BetTable[Stake])*(1-(BetTable[Comm %]))+BetTable[Stake])</f>
        <v>104.995</v>
      </c>
      <c r="AA1022" s="227">
        <f>(((BetTable[O2]-1)*BetTable[S2])*(1-(BetTable[C% 2]))+BetTable[S2])</f>
        <v>0</v>
      </c>
      <c r="AB1022" s="227">
        <f>(((BetTable[O3]-1)*BetTable[S3])*(1-(BetTable[C% 3]))+BetTable[S3])</f>
        <v>0</v>
      </c>
      <c r="AC1022" s="228">
        <f>IFERROR(IF(BetTable[Sport]="","",BetTable[R1]/BetTable[TS]),"")</f>
        <v>0.90900000000000003</v>
      </c>
      <c r="AD1022" s="228" t="str">
        <f>IF(BetTable[O2]="","",#REF!/BetTable[TS])</f>
        <v/>
      </c>
      <c r="AE1022" s="228" t="str">
        <f>IFERROR(IF(BetTable[Sport]="","",#REF!/BetTable[TS]),"")</f>
        <v/>
      </c>
      <c r="AF1022" s="227">
        <f>IF(BetTable[Outcome]="Win",BetTable[WBA1-Commission],IF(BetTable[Outcome]="Win Half Stake",(BetTable[Stake]/2)+BetTable[WBA1-Commission]/2,IF(BetTable[Outcome]="Lose Half Stake",BetTable[Stake]/2,IF(BetTable[Outcome]="Lose",0,IF(BetTable[Outcome]="Void",BetTable[Stake],)))))</f>
        <v>0</v>
      </c>
      <c r="AG1022" s="227">
        <f>IF(BetTable[Outcome2]="Win",BetTable[WBA2-Commission],IF(BetTable[Outcome2]="Win Half Stake",(BetTable[S2]/2)+BetTable[WBA2-Commission]/2,IF(BetTable[Outcome2]="Lose Half Stake",BetTable[S2]/2,IF(BetTable[Outcome2]="Lose",0,IF(BetTable[Outcome2]="Void",BetTable[S2],)))))</f>
        <v>0</v>
      </c>
      <c r="AH1022" s="227">
        <f>IF(BetTable[Outcome3]="Win",BetTable[WBA3-Commission],IF(BetTable[Outcome3]="Win Half Stake",(BetTable[S3]/2)+BetTable[WBA3-Commission]/2,IF(BetTable[Outcome3]="Lose Half Stake",BetTable[S3]/2,IF(BetTable[Outcome3]="Lose",0,IF(BetTable[Outcome3]="Void",BetTable[S3],)))))</f>
        <v>0</v>
      </c>
      <c r="AI1022" s="231">
        <f>IF(BetTable[Outcome]="",AI1021,BetTable[Result]+AI1021)</f>
        <v>1747.2192499999992</v>
      </c>
      <c r="AJ1022" s="223"/>
    </row>
    <row r="1023" spans="1:36" x14ac:dyDescent="0.2">
      <c r="A1023" s="222" t="s">
        <v>2375</v>
      </c>
      <c r="B1023" s="223" t="s">
        <v>200</v>
      </c>
      <c r="C1023" s="224" t="s">
        <v>1714</v>
      </c>
      <c r="D1023" s="224"/>
      <c r="E1023" s="224"/>
      <c r="F1023" s="225"/>
      <c r="G1023" s="225"/>
      <c r="H1023" s="225"/>
      <c r="I1023" s="223" t="s">
        <v>2595</v>
      </c>
      <c r="J1023" s="226">
        <v>2.13</v>
      </c>
      <c r="K1023" s="226"/>
      <c r="L1023" s="226"/>
      <c r="M1023" s="227">
        <v>24</v>
      </c>
      <c r="N1023" s="227"/>
      <c r="O1023" s="227"/>
      <c r="P1023" s="222" t="s">
        <v>435</v>
      </c>
      <c r="Q1023" s="222" t="s">
        <v>458</v>
      </c>
      <c r="R1023" s="222" t="s">
        <v>2596</v>
      </c>
      <c r="S1023" s="228">
        <v>1.7774851234025901E-2</v>
      </c>
      <c r="T1023" s="229" t="s">
        <v>372</v>
      </c>
      <c r="U1023" s="229"/>
      <c r="V1023" s="229"/>
      <c r="W1023" s="230">
        <f>IF(BetTable[Sport]="","",BetTable[Stake]+BetTable[S2]+BetTable[S3])</f>
        <v>24</v>
      </c>
      <c r="X1023" s="227">
        <f>IF(BetTable[Odds]="","",(BetTable[WBA1-Commission])-BetTable[TS])</f>
        <v>27.119999999999997</v>
      </c>
      <c r="Y1023" s="231">
        <f>IF(BetTable[Outcome]="","",BetTable[WBA1]+BetTable[WBA2]+BetTable[WBA3]-BetTable[TS])</f>
        <v>27.119999999999997</v>
      </c>
      <c r="Z1023" s="227">
        <f>(((BetTable[Odds]-1)*BetTable[Stake])*(1-(BetTable[Comm %]))+BetTable[Stake])</f>
        <v>51.12</v>
      </c>
      <c r="AA1023" s="227">
        <f>(((BetTable[O2]-1)*BetTable[S2])*(1-(BetTable[C% 2]))+BetTable[S2])</f>
        <v>0</v>
      </c>
      <c r="AB1023" s="227">
        <f>(((BetTable[O3]-1)*BetTable[S3])*(1-(BetTable[C% 3]))+BetTable[S3])</f>
        <v>0</v>
      </c>
      <c r="AC1023" s="228">
        <f>IFERROR(IF(BetTable[Sport]="","",BetTable[R1]/BetTable[TS]),"")</f>
        <v>1.1299999999999999</v>
      </c>
      <c r="AD1023" s="228" t="str">
        <f>IF(BetTable[O2]="","",#REF!/BetTable[TS])</f>
        <v/>
      </c>
      <c r="AE1023" s="228" t="str">
        <f>IFERROR(IF(BetTable[Sport]="","",#REF!/BetTable[TS]),"")</f>
        <v/>
      </c>
      <c r="AF1023" s="227">
        <f>IF(BetTable[Outcome]="Win",BetTable[WBA1-Commission],IF(BetTable[Outcome]="Win Half Stake",(BetTable[Stake]/2)+BetTable[WBA1-Commission]/2,IF(BetTable[Outcome]="Lose Half Stake",BetTable[Stake]/2,IF(BetTable[Outcome]="Lose",0,IF(BetTable[Outcome]="Void",BetTable[Stake],)))))</f>
        <v>51.12</v>
      </c>
      <c r="AG1023" s="227">
        <f>IF(BetTable[Outcome2]="Win",BetTable[WBA2-Commission],IF(BetTable[Outcome2]="Win Half Stake",(BetTable[S2]/2)+BetTable[WBA2-Commission]/2,IF(BetTable[Outcome2]="Lose Half Stake",BetTable[S2]/2,IF(BetTable[Outcome2]="Lose",0,IF(BetTable[Outcome2]="Void",BetTable[S2],)))))</f>
        <v>0</v>
      </c>
      <c r="AH1023" s="227">
        <f>IF(BetTable[Outcome3]="Win",BetTable[WBA3-Commission],IF(BetTable[Outcome3]="Win Half Stake",(BetTable[S3]/2)+BetTable[WBA3-Commission]/2,IF(BetTable[Outcome3]="Lose Half Stake",BetTable[S3]/2,IF(BetTable[Outcome3]="Lose",0,IF(BetTable[Outcome3]="Void",BetTable[S3],)))))</f>
        <v>0</v>
      </c>
      <c r="AI1023" s="231">
        <f>IF(BetTable[Outcome]="",AI1022,BetTable[Result]+AI1022)</f>
        <v>1774.3392499999991</v>
      </c>
      <c r="AJ1023" s="223"/>
    </row>
    <row r="1024" spans="1:36" x14ac:dyDescent="0.2">
      <c r="A1024" s="222" t="s">
        <v>2375</v>
      </c>
      <c r="B1024" s="223" t="s">
        <v>7</v>
      </c>
      <c r="C1024" s="224" t="s">
        <v>1714</v>
      </c>
      <c r="D1024" s="224"/>
      <c r="E1024" s="224"/>
      <c r="F1024" s="225"/>
      <c r="G1024" s="225"/>
      <c r="H1024" s="225"/>
      <c r="I1024" s="223" t="s">
        <v>2597</v>
      </c>
      <c r="J1024" s="226">
        <v>1.96</v>
      </c>
      <c r="K1024" s="226"/>
      <c r="L1024" s="226"/>
      <c r="M1024" s="227">
        <v>28</v>
      </c>
      <c r="N1024" s="227"/>
      <c r="O1024" s="227"/>
      <c r="P1024" s="222" t="s">
        <v>602</v>
      </c>
      <c r="Q1024" s="222" t="s">
        <v>1132</v>
      </c>
      <c r="R1024" s="222" t="s">
        <v>2598</v>
      </c>
      <c r="S1024" s="228">
        <v>1.7658272914071099E-2</v>
      </c>
      <c r="T1024" s="229" t="s">
        <v>382</v>
      </c>
      <c r="U1024" s="229"/>
      <c r="V1024" s="229"/>
      <c r="W1024" s="230">
        <f>IF(BetTable[Sport]="","",BetTable[Stake]+BetTable[S2]+BetTable[S3])</f>
        <v>28</v>
      </c>
      <c r="X1024" s="227">
        <f>IF(BetTable[Odds]="","",(BetTable[WBA1-Commission])-BetTable[TS])</f>
        <v>26.879999999999995</v>
      </c>
      <c r="Y1024" s="231">
        <f>IF(BetTable[Outcome]="","",BetTable[WBA1]+BetTable[WBA2]+BetTable[WBA3]-BetTable[TS])</f>
        <v>-28</v>
      </c>
      <c r="Z1024" s="227">
        <f>(((BetTable[Odds]-1)*BetTable[Stake])*(1-(BetTable[Comm %]))+BetTable[Stake])</f>
        <v>54.879999999999995</v>
      </c>
      <c r="AA1024" s="227">
        <f>(((BetTable[O2]-1)*BetTable[S2])*(1-(BetTable[C% 2]))+BetTable[S2])</f>
        <v>0</v>
      </c>
      <c r="AB1024" s="227">
        <f>(((BetTable[O3]-1)*BetTable[S3])*(1-(BetTable[C% 3]))+BetTable[S3])</f>
        <v>0</v>
      </c>
      <c r="AC1024" s="228">
        <f>IFERROR(IF(BetTable[Sport]="","",BetTable[R1]/BetTable[TS]),"")</f>
        <v>0.95999999999999985</v>
      </c>
      <c r="AD1024" s="228" t="str">
        <f>IF(BetTable[O2]="","",#REF!/BetTable[TS])</f>
        <v/>
      </c>
      <c r="AE1024" s="228" t="str">
        <f>IFERROR(IF(BetTable[Sport]="","",#REF!/BetTable[TS]),"")</f>
        <v/>
      </c>
      <c r="AF1024" s="227">
        <f>IF(BetTable[Outcome]="Win",BetTable[WBA1-Commission],IF(BetTable[Outcome]="Win Half Stake",(BetTable[Stake]/2)+BetTable[WBA1-Commission]/2,IF(BetTable[Outcome]="Lose Half Stake",BetTable[Stake]/2,IF(BetTable[Outcome]="Lose",0,IF(BetTable[Outcome]="Void",BetTable[Stake],)))))</f>
        <v>0</v>
      </c>
      <c r="AG1024" s="227">
        <f>IF(BetTable[Outcome2]="Win",BetTable[WBA2-Commission],IF(BetTable[Outcome2]="Win Half Stake",(BetTable[S2]/2)+BetTable[WBA2-Commission]/2,IF(BetTable[Outcome2]="Lose Half Stake",BetTable[S2]/2,IF(BetTable[Outcome2]="Lose",0,IF(BetTable[Outcome2]="Void",BetTable[S2],)))))</f>
        <v>0</v>
      </c>
      <c r="AH1024" s="227">
        <f>IF(BetTable[Outcome3]="Win",BetTable[WBA3-Commission],IF(BetTable[Outcome3]="Win Half Stake",(BetTable[S3]/2)+BetTable[WBA3-Commission]/2,IF(BetTable[Outcome3]="Lose Half Stake",BetTable[S3]/2,IF(BetTable[Outcome3]="Lose",0,IF(BetTable[Outcome3]="Void",BetTable[S3],)))))</f>
        <v>0</v>
      </c>
      <c r="AI1024" s="231">
        <f>IF(BetTable[Outcome]="",AI1023,BetTable[Result]+AI1023)</f>
        <v>1746.3392499999991</v>
      </c>
      <c r="AJ1024" s="223"/>
    </row>
    <row r="1025" spans="1:36" x14ac:dyDescent="0.2">
      <c r="A1025" s="222" t="s">
        <v>2375</v>
      </c>
      <c r="B1025" s="223" t="s">
        <v>7</v>
      </c>
      <c r="C1025" s="224" t="s">
        <v>216</v>
      </c>
      <c r="D1025" s="224"/>
      <c r="E1025" s="224"/>
      <c r="F1025" s="225"/>
      <c r="G1025" s="225"/>
      <c r="H1025" s="225"/>
      <c r="I1025" s="223" t="s">
        <v>2599</v>
      </c>
      <c r="J1025" s="226">
        <v>2.0499999999999998</v>
      </c>
      <c r="K1025" s="226"/>
      <c r="L1025" s="226"/>
      <c r="M1025" s="227">
        <v>37</v>
      </c>
      <c r="N1025" s="227"/>
      <c r="O1025" s="227"/>
      <c r="P1025" s="222" t="s">
        <v>428</v>
      </c>
      <c r="Q1025" s="222" t="s">
        <v>547</v>
      </c>
      <c r="R1025" s="222" t="s">
        <v>2600</v>
      </c>
      <c r="S1025" s="228">
        <v>2.5000000000000001E-2</v>
      </c>
      <c r="T1025" s="229" t="s">
        <v>372</v>
      </c>
      <c r="U1025" s="229"/>
      <c r="V1025" s="229"/>
      <c r="W1025" s="230">
        <f>IF(BetTable[Sport]="","",BetTable[Stake]+BetTable[S2]+BetTable[S3])</f>
        <v>37</v>
      </c>
      <c r="X1025" s="227">
        <f>IF(BetTable[Odds]="","",(BetTable[WBA1-Commission])-BetTable[TS])</f>
        <v>38.849999999999994</v>
      </c>
      <c r="Y1025" s="231">
        <f>IF(BetTable[Outcome]="","",BetTable[WBA1]+BetTable[WBA2]+BetTable[WBA3]-BetTable[TS])</f>
        <v>38.849999999999994</v>
      </c>
      <c r="Z1025" s="227">
        <f>(((BetTable[Odds]-1)*BetTable[Stake])*(1-(BetTable[Comm %]))+BetTable[Stake])</f>
        <v>75.849999999999994</v>
      </c>
      <c r="AA1025" s="227">
        <f>(((BetTable[O2]-1)*BetTable[S2])*(1-(BetTable[C% 2]))+BetTable[S2])</f>
        <v>0</v>
      </c>
      <c r="AB1025" s="227">
        <f>(((BetTable[O3]-1)*BetTable[S3])*(1-(BetTable[C% 3]))+BetTable[S3])</f>
        <v>0</v>
      </c>
      <c r="AC1025" s="228">
        <f>IFERROR(IF(BetTable[Sport]="","",BetTable[R1]/BetTable[TS]),"")</f>
        <v>1.0499999999999998</v>
      </c>
      <c r="AD1025" s="228" t="str">
        <f>IF(BetTable[O2]="","",#REF!/BetTable[TS])</f>
        <v/>
      </c>
      <c r="AE1025" s="228" t="str">
        <f>IFERROR(IF(BetTable[Sport]="","",#REF!/BetTable[TS]),"")</f>
        <v/>
      </c>
      <c r="AF1025" s="227">
        <f>IF(BetTable[Outcome]="Win",BetTable[WBA1-Commission],IF(BetTable[Outcome]="Win Half Stake",(BetTable[Stake]/2)+BetTable[WBA1-Commission]/2,IF(BetTable[Outcome]="Lose Half Stake",BetTable[Stake]/2,IF(BetTable[Outcome]="Lose",0,IF(BetTable[Outcome]="Void",BetTable[Stake],)))))</f>
        <v>75.849999999999994</v>
      </c>
      <c r="AG1025" s="227">
        <f>IF(BetTable[Outcome2]="Win",BetTable[WBA2-Commission],IF(BetTable[Outcome2]="Win Half Stake",(BetTable[S2]/2)+BetTable[WBA2-Commission]/2,IF(BetTable[Outcome2]="Lose Half Stake",BetTable[S2]/2,IF(BetTable[Outcome2]="Lose",0,IF(BetTable[Outcome2]="Void",BetTable[S2],)))))</f>
        <v>0</v>
      </c>
      <c r="AH1025" s="227">
        <f>IF(BetTable[Outcome3]="Win",BetTable[WBA3-Commission],IF(BetTable[Outcome3]="Win Half Stake",(BetTable[S3]/2)+BetTable[WBA3-Commission]/2,IF(BetTable[Outcome3]="Lose Half Stake",BetTable[S3]/2,IF(BetTable[Outcome3]="Lose",0,IF(BetTable[Outcome3]="Void",BetTable[S3],)))))</f>
        <v>0</v>
      </c>
      <c r="AI1025" s="231">
        <f>IF(BetTable[Outcome]="",AI1024,BetTable[Result]+AI1024)</f>
        <v>1785.189249999999</v>
      </c>
      <c r="AJ1025" s="223"/>
    </row>
    <row r="1026" spans="1:36" x14ac:dyDescent="0.2">
      <c r="A1026" s="222" t="s">
        <v>2601</v>
      </c>
      <c r="B1026" s="223" t="s">
        <v>8</v>
      </c>
      <c r="C1026" s="224" t="s">
        <v>216</v>
      </c>
      <c r="D1026" s="224"/>
      <c r="E1026" s="224"/>
      <c r="F1026" s="225"/>
      <c r="G1026" s="225"/>
      <c r="H1026" s="225"/>
      <c r="I1026" s="223" t="s">
        <v>2602</v>
      </c>
      <c r="J1026" s="226">
        <v>3.3</v>
      </c>
      <c r="K1026" s="226"/>
      <c r="L1026" s="226"/>
      <c r="M1026" s="227">
        <v>22</v>
      </c>
      <c r="N1026" s="227"/>
      <c r="O1026" s="227"/>
      <c r="P1026" s="222" t="s">
        <v>435</v>
      </c>
      <c r="Q1026" s="222" t="s">
        <v>1171</v>
      </c>
      <c r="R1026" s="222" t="s">
        <v>2603</v>
      </c>
      <c r="S1026" s="228">
        <v>3.2430777738278599E-2</v>
      </c>
      <c r="T1026" s="229" t="s">
        <v>382</v>
      </c>
      <c r="U1026" s="229"/>
      <c r="V1026" s="229"/>
      <c r="W1026" s="230">
        <f>IF(BetTable[Sport]="","",BetTable[Stake]+BetTable[S2]+BetTable[S3])</f>
        <v>22</v>
      </c>
      <c r="X1026" s="227">
        <f>IF(BetTable[Odds]="","",(BetTable[WBA1-Commission])-BetTable[TS])</f>
        <v>50.599999999999994</v>
      </c>
      <c r="Y1026" s="231">
        <f>IF(BetTable[Outcome]="","",BetTable[WBA1]+BetTable[WBA2]+BetTable[WBA3]-BetTable[TS])</f>
        <v>-22</v>
      </c>
      <c r="Z1026" s="227">
        <f>(((BetTable[Odds]-1)*BetTable[Stake])*(1-(BetTable[Comm %]))+BetTable[Stake])</f>
        <v>72.599999999999994</v>
      </c>
      <c r="AA1026" s="227">
        <f>(((BetTable[O2]-1)*BetTable[S2])*(1-(BetTable[C% 2]))+BetTable[S2])</f>
        <v>0</v>
      </c>
      <c r="AB1026" s="227">
        <f>(((BetTable[O3]-1)*BetTable[S3])*(1-(BetTable[C% 3]))+BetTable[S3])</f>
        <v>0</v>
      </c>
      <c r="AC1026" s="228">
        <f>IFERROR(IF(BetTable[Sport]="","",BetTable[R1]/BetTable[TS]),"")</f>
        <v>2.2999999999999998</v>
      </c>
      <c r="AD1026" s="228" t="str">
        <f>IF(BetTable[O2]="","",#REF!/BetTable[TS])</f>
        <v/>
      </c>
      <c r="AE1026" s="228" t="str">
        <f>IFERROR(IF(BetTable[Sport]="","",#REF!/BetTable[TS]),"")</f>
        <v/>
      </c>
      <c r="AF1026" s="227">
        <f>IF(BetTable[Outcome]="Win",BetTable[WBA1-Commission],IF(BetTable[Outcome]="Win Half Stake",(BetTable[Stake]/2)+BetTable[WBA1-Commission]/2,IF(BetTable[Outcome]="Lose Half Stake",BetTable[Stake]/2,IF(BetTable[Outcome]="Lose",0,IF(BetTable[Outcome]="Void",BetTable[Stake],)))))</f>
        <v>0</v>
      </c>
      <c r="AG1026" s="227">
        <f>IF(BetTable[Outcome2]="Win",BetTable[WBA2-Commission],IF(BetTable[Outcome2]="Win Half Stake",(BetTable[S2]/2)+BetTable[WBA2-Commission]/2,IF(BetTable[Outcome2]="Lose Half Stake",BetTable[S2]/2,IF(BetTable[Outcome2]="Lose",0,IF(BetTable[Outcome2]="Void",BetTable[S2],)))))</f>
        <v>0</v>
      </c>
      <c r="AH1026" s="227">
        <f>IF(BetTable[Outcome3]="Win",BetTable[WBA3-Commission],IF(BetTable[Outcome3]="Win Half Stake",(BetTable[S3]/2)+BetTable[WBA3-Commission]/2,IF(BetTable[Outcome3]="Lose Half Stake",BetTable[S3]/2,IF(BetTable[Outcome3]="Lose",0,IF(BetTable[Outcome3]="Void",BetTable[S3],)))))</f>
        <v>0</v>
      </c>
      <c r="AI1026" s="231">
        <f>IF(BetTable[Outcome]="",AI1025,BetTable[Result]+AI1025)</f>
        <v>1763.189249999999</v>
      </c>
      <c r="AJ1026" s="223"/>
    </row>
    <row r="1027" spans="1:36" x14ac:dyDescent="0.2">
      <c r="A1027" s="222" t="s">
        <v>2601</v>
      </c>
      <c r="B1027" s="223" t="s">
        <v>200</v>
      </c>
      <c r="C1027" s="161" t="s">
        <v>1714</v>
      </c>
      <c r="D1027" s="224"/>
      <c r="E1027" s="224"/>
      <c r="F1027" s="225"/>
      <c r="G1027" s="225"/>
      <c r="H1027" s="225"/>
      <c r="I1027" s="223" t="s">
        <v>2604</v>
      </c>
      <c r="J1027" s="226">
        <v>3.5</v>
      </c>
      <c r="K1027" s="226"/>
      <c r="L1027" s="226"/>
      <c r="M1027" s="227">
        <v>62</v>
      </c>
      <c r="N1027" s="227"/>
      <c r="O1027" s="227"/>
      <c r="P1027" s="222" t="s">
        <v>494</v>
      </c>
      <c r="Q1027" s="222" t="s">
        <v>547</v>
      </c>
      <c r="R1027" s="222" t="s">
        <v>2605</v>
      </c>
      <c r="S1027" s="228">
        <v>0.10008267323041201</v>
      </c>
      <c r="T1027" s="229" t="s">
        <v>382</v>
      </c>
      <c r="U1027" s="229"/>
      <c r="V1027" s="229"/>
      <c r="W1027" s="230">
        <f>IF(BetTable[Sport]="","",BetTable[Stake]+BetTable[S2]+BetTable[S3])</f>
        <v>62</v>
      </c>
      <c r="X1027" s="227">
        <f>IF(BetTable[Odds]="","",(BetTable[WBA1-Commission])-BetTable[TS])</f>
        <v>155</v>
      </c>
      <c r="Y1027" s="231">
        <f>IF(BetTable[Outcome]="","",BetTable[WBA1]+BetTable[WBA2]+BetTable[WBA3]-BetTable[TS])</f>
        <v>-62</v>
      </c>
      <c r="Z1027" s="227">
        <f>(((BetTable[Odds]-1)*BetTable[Stake])*(1-(BetTable[Comm %]))+BetTable[Stake])</f>
        <v>217</v>
      </c>
      <c r="AA1027" s="227">
        <f>(((BetTable[O2]-1)*BetTable[S2])*(1-(BetTable[C% 2]))+BetTable[S2])</f>
        <v>0</v>
      </c>
      <c r="AB1027" s="227">
        <f>(((BetTable[O3]-1)*BetTable[S3])*(1-(BetTable[C% 3]))+BetTable[S3])</f>
        <v>0</v>
      </c>
      <c r="AC1027" s="228">
        <f>IFERROR(IF(BetTable[Sport]="","",BetTable[R1]/BetTable[TS]),"")</f>
        <v>2.5</v>
      </c>
      <c r="AD1027" s="228" t="str">
        <f>IF(BetTable[O2]="","",#REF!/BetTable[TS])</f>
        <v/>
      </c>
      <c r="AE1027" s="228" t="str">
        <f>IFERROR(IF(BetTable[Sport]="","",#REF!/BetTable[TS]),"")</f>
        <v/>
      </c>
      <c r="AF1027" s="227">
        <f>IF(BetTable[Outcome]="Win",BetTable[WBA1-Commission],IF(BetTable[Outcome]="Win Half Stake",(BetTable[Stake]/2)+BetTable[WBA1-Commission]/2,IF(BetTable[Outcome]="Lose Half Stake",BetTable[Stake]/2,IF(BetTable[Outcome]="Lose",0,IF(BetTable[Outcome]="Void",BetTable[Stake],)))))</f>
        <v>0</v>
      </c>
      <c r="AG1027" s="227">
        <f>IF(BetTable[Outcome2]="Win",BetTable[WBA2-Commission],IF(BetTable[Outcome2]="Win Half Stake",(BetTable[S2]/2)+BetTable[WBA2-Commission]/2,IF(BetTable[Outcome2]="Lose Half Stake",BetTable[S2]/2,IF(BetTable[Outcome2]="Lose",0,IF(BetTable[Outcome2]="Void",BetTable[S2],)))))</f>
        <v>0</v>
      </c>
      <c r="AH1027" s="227">
        <f>IF(BetTable[Outcome3]="Win",BetTable[WBA3-Commission],IF(BetTable[Outcome3]="Win Half Stake",(BetTable[S3]/2)+BetTable[WBA3-Commission]/2,IF(BetTable[Outcome3]="Lose Half Stake",BetTable[S3]/2,IF(BetTable[Outcome3]="Lose",0,IF(BetTable[Outcome3]="Void",BetTable[S3],)))))</f>
        <v>0</v>
      </c>
      <c r="AI1027" s="231">
        <f>IF(BetTable[Outcome]="",AI1026,BetTable[Result]+AI1026)</f>
        <v>1701.189249999999</v>
      </c>
      <c r="AJ1027" s="223"/>
    </row>
    <row r="1028" spans="1:36" x14ac:dyDescent="0.2">
      <c r="A1028" s="222" t="s">
        <v>2601</v>
      </c>
      <c r="B1028" s="223" t="s">
        <v>200</v>
      </c>
      <c r="C1028" s="161" t="s">
        <v>1714</v>
      </c>
      <c r="D1028" s="224"/>
      <c r="E1028" s="224"/>
      <c r="F1028" s="225"/>
      <c r="G1028" s="225"/>
      <c r="H1028" s="225"/>
      <c r="I1028" s="223" t="s">
        <v>2606</v>
      </c>
      <c r="J1028" s="226">
        <v>1.79</v>
      </c>
      <c r="K1028" s="226"/>
      <c r="L1028" s="226"/>
      <c r="M1028" s="227">
        <v>37</v>
      </c>
      <c r="N1028" s="227"/>
      <c r="O1028" s="227"/>
      <c r="P1028" s="222" t="s">
        <v>409</v>
      </c>
      <c r="Q1028" s="222" t="s">
        <v>495</v>
      </c>
      <c r="R1028" s="222" t="s">
        <v>2607</v>
      </c>
      <c r="S1028" s="228">
        <v>1.9074979250569501E-2</v>
      </c>
      <c r="T1028" s="229" t="s">
        <v>372</v>
      </c>
      <c r="U1028" s="229"/>
      <c r="V1028" s="229"/>
      <c r="W1028" s="230">
        <f>IF(BetTable[Sport]="","",BetTable[Stake]+BetTable[S2]+BetTable[S3])</f>
        <v>37</v>
      </c>
      <c r="X1028" s="227">
        <f>IF(BetTable[Odds]="","",(BetTable[WBA1-Commission])-BetTable[TS])</f>
        <v>29.230000000000004</v>
      </c>
      <c r="Y1028" s="231">
        <f>IF(BetTable[Outcome]="","",BetTable[WBA1]+BetTable[WBA2]+BetTable[WBA3]-BetTable[TS])</f>
        <v>29.230000000000004</v>
      </c>
      <c r="Z1028" s="227">
        <f>(((BetTable[Odds]-1)*BetTable[Stake])*(1-(BetTable[Comm %]))+BetTable[Stake])</f>
        <v>66.23</v>
      </c>
      <c r="AA1028" s="227">
        <f>(((BetTable[O2]-1)*BetTable[S2])*(1-(BetTable[C% 2]))+BetTable[S2])</f>
        <v>0</v>
      </c>
      <c r="AB1028" s="227">
        <f>(((BetTable[O3]-1)*BetTable[S3])*(1-(BetTable[C% 3]))+BetTable[S3])</f>
        <v>0</v>
      </c>
      <c r="AC1028" s="228">
        <f>IFERROR(IF(BetTable[Sport]="","",BetTable[R1]/BetTable[TS]),"")</f>
        <v>0.79000000000000015</v>
      </c>
      <c r="AD1028" s="228" t="str">
        <f>IF(BetTable[O2]="","",#REF!/BetTable[TS])</f>
        <v/>
      </c>
      <c r="AE1028" s="228" t="str">
        <f>IFERROR(IF(BetTable[Sport]="","",#REF!/BetTable[TS]),"")</f>
        <v/>
      </c>
      <c r="AF1028" s="227">
        <f>IF(BetTable[Outcome]="Win",BetTable[WBA1-Commission],IF(BetTable[Outcome]="Win Half Stake",(BetTable[Stake]/2)+BetTable[WBA1-Commission]/2,IF(BetTable[Outcome]="Lose Half Stake",BetTable[Stake]/2,IF(BetTable[Outcome]="Lose",0,IF(BetTable[Outcome]="Void",BetTable[Stake],)))))</f>
        <v>66.23</v>
      </c>
      <c r="AG1028" s="227">
        <f>IF(BetTable[Outcome2]="Win",BetTable[WBA2-Commission],IF(BetTable[Outcome2]="Win Half Stake",(BetTable[S2]/2)+BetTable[WBA2-Commission]/2,IF(BetTable[Outcome2]="Lose Half Stake",BetTable[S2]/2,IF(BetTable[Outcome2]="Lose",0,IF(BetTable[Outcome2]="Void",BetTable[S2],)))))</f>
        <v>0</v>
      </c>
      <c r="AH1028" s="227">
        <f>IF(BetTable[Outcome3]="Win",BetTable[WBA3-Commission],IF(BetTable[Outcome3]="Win Half Stake",(BetTable[S3]/2)+BetTable[WBA3-Commission]/2,IF(BetTable[Outcome3]="Lose Half Stake",BetTable[S3]/2,IF(BetTable[Outcome3]="Lose",0,IF(BetTable[Outcome3]="Void",BetTable[S3],)))))</f>
        <v>0</v>
      </c>
      <c r="AI1028" s="231">
        <f>IF(BetTable[Outcome]="",AI1027,BetTable[Result]+AI1027)</f>
        <v>1730.419249999999</v>
      </c>
      <c r="AJ1028" s="223"/>
    </row>
    <row r="1029" spans="1:36" x14ac:dyDescent="0.2">
      <c r="A1029" s="222" t="s">
        <v>2601</v>
      </c>
      <c r="B1029" s="223" t="s">
        <v>200</v>
      </c>
      <c r="C1029" s="161" t="s">
        <v>1714</v>
      </c>
      <c r="D1029" s="224"/>
      <c r="E1029" s="224"/>
      <c r="F1029" s="225"/>
      <c r="G1029" s="225"/>
      <c r="H1029" s="225"/>
      <c r="I1029" s="223" t="s">
        <v>2608</v>
      </c>
      <c r="J1029" s="226">
        <v>1.88</v>
      </c>
      <c r="K1029" s="226"/>
      <c r="L1029" s="226"/>
      <c r="M1029" s="227">
        <v>39</v>
      </c>
      <c r="N1029" s="227"/>
      <c r="O1029" s="227"/>
      <c r="P1029" s="222" t="s">
        <v>435</v>
      </c>
      <c r="Q1029" s="222" t="s">
        <v>547</v>
      </c>
      <c r="R1029" s="222" t="s">
        <v>2609</v>
      </c>
      <c r="S1029" s="228">
        <v>2.2422052471209899E-2</v>
      </c>
      <c r="T1029" s="229" t="s">
        <v>372</v>
      </c>
      <c r="U1029" s="229"/>
      <c r="V1029" s="229"/>
      <c r="W1029" s="230">
        <f>IF(BetTable[Sport]="","",BetTable[Stake]+BetTable[S2]+BetTable[S3])</f>
        <v>39</v>
      </c>
      <c r="X1029" s="227">
        <f>IF(BetTable[Odds]="","",(BetTable[WBA1-Commission])-BetTable[TS])</f>
        <v>34.319999999999993</v>
      </c>
      <c r="Y1029" s="231">
        <f>IF(BetTable[Outcome]="","",BetTable[WBA1]+BetTable[WBA2]+BetTable[WBA3]-BetTable[TS])</f>
        <v>34.319999999999993</v>
      </c>
      <c r="Z1029" s="227">
        <f>(((BetTable[Odds]-1)*BetTable[Stake])*(1-(BetTable[Comm %]))+BetTable[Stake])</f>
        <v>73.319999999999993</v>
      </c>
      <c r="AA1029" s="227">
        <f>(((BetTable[O2]-1)*BetTable[S2])*(1-(BetTable[C% 2]))+BetTable[S2])</f>
        <v>0</v>
      </c>
      <c r="AB1029" s="227">
        <f>(((BetTable[O3]-1)*BetTable[S3])*(1-(BetTable[C% 3]))+BetTable[S3])</f>
        <v>0</v>
      </c>
      <c r="AC1029" s="228">
        <f>IFERROR(IF(BetTable[Sport]="","",BetTable[R1]/BetTable[TS]),"")</f>
        <v>0.87999999999999978</v>
      </c>
      <c r="AD1029" s="228" t="str">
        <f>IF(BetTable[O2]="","",#REF!/BetTable[TS])</f>
        <v/>
      </c>
      <c r="AE1029" s="228" t="str">
        <f>IFERROR(IF(BetTable[Sport]="","",#REF!/BetTable[TS]),"")</f>
        <v/>
      </c>
      <c r="AF1029" s="227">
        <f>IF(BetTable[Outcome]="Win",BetTable[WBA1-Commission],IF(BetTable[Outcome]="Win Half Stake",(BetTable[Stake]/2)+BetTable[WBA1-Commission]/2,IF(BetTable[Outcome]="Lose Half Stake",BetTable[Stake]/2,IF(BetTable[Outcome]="Lose",0,IF(BetTable[Outcome]="Void",BetTable[Stake],)))))</f>
        <v>73.319999999999993</v>
      </c>
      <c r="AG1029" s="227">
        <f>IF(BetTable[Outcome2]="Win",BetTable[WBA2-Commission],IF(BetTable[Outcome2]="Win Half Stake",(BetTable[S2]/2)+BetTable[WBA2-Commission]/2,IF(BetTable[Outcome2]="Lose Half Stake",BetTable[S2]/2,IF(BetTable[Outcome2]="Lose",0,IF(BetTable[Outcome2]="Void",BetTable[S2],)))))</f>
        <v>0</v>
      </c>
      <c r="AH1029" s="227">
        <f>IF(BetTable[Outcome3]="Win",BetTable[WBA3-Commission],IF(BetTable[Outcome3]="Win Half Stake",(BetTable[S3]/2)+BetTable[WBA3-Commission]/2,IF(BetTable[Outcome3]="Lose Half Stake",BetTable[S3]/2,IF(BetTable[Outcome3]="Lose",0,IF(BetTable[Outcome3]="Void",BetTable[S3],)))))</f>
        <v>0</v>
      </c>
      <c r="AI1029" s="231">
        <f>IF(BetTable[Outcome]="",AI1028,BetTable[Result]+AI1028)</f>
        <v>1764.7392499999989</v>
      </c>
      <c r="AJ1029" s="223"/>
    </row>
    <row r="1030" spans="1:36" x14ac:dyDescent="0.2">
      <c r="A1030" s="222" t="s">
        <v>2601</v>
      </c>
      <c r="B1030" s="223" t="s">
        <v>200</v>
      </c>
      <c r="C1030" s="161" t="s">
        <v>1714</v>
      </c>
      <c r="D1030" s="224"/>
      <c r="E1030" s="224"/>
      <c r="F1030" s="225"/>
      <c r="G1030" s="225"/>
      <c r="H1030" s="225"/>
      <c r="I1030" s="223" t="s">
        <v>2610</v>
      </c>
      <c r="J1030" s="226">
        <v>1.86</v>
      </c>
      <c r="K1030" s="226"/>
      <c r="L1030" s="226"/>
      <c r="M1030" s="227">
        <v>46</v>
      </c>
      <c r="N1030" s="227"/>
      <c r="O1030" s="227"/>
      <c r="P1030" s="222" t="s">
        <v>791</v>
      </c>
      <c r="Q1030" s="222" t="s">
        <v>581</v>
      </c>
      <c r="R1030" s="222" t="s">
        <v>2611</v>
      </c>
      <c r="S1030" s="228">
        <v>2.5827865157497701E-2</v>
      </c>
      <c r="T1030" s="229" t="s">
        <v>372</v>
      </c>
      <c r="U1030" s="229"/>
      <c r="V1030" s="229"/>
      <c r="W1030" s="230">
        <f>IF(BetTable[Sport]="","",BetTable[Stake]+BetTable[S2]+BetTable[S3])</f>
        <v>46</v>
      </c>
      <c r="X1030" s="227">
        <f>IF(BetTable[Odds]="","",(BetTable[WBA1-Commission])-BetTable[TS])</f>
        <v>39.56</v>
      </c>
      <c r="Y1030" s="231">
        <f>IF(BetTable[Outcome]="","",BetTable[WBA1]+BetTable[WBA2]+BetTable[WBA3]-BetTable[TS])</f>
        <v>39.56</v>
      </c>
      <c r="Z1030" s="227">
        <f>(((BetTable[Odds]-1)*BetTable[Stake])*(1-(BetTable[Comm %]))+BetTable[Stake])</f>
        <v>85.56</v>
      </c>
      <c r="AA1030" s="227">
        <f>(((BetTable[O2]-1)*BetTable[S2])*(1-(BetTable[C% 2]))+BetTable[S2])</f>
        <v>0</v>
      </c>
      <c r="AB1030" s="227">
        <f>(((BetTable[O3]-1)*BetTable[S3])*(1-(BetTable[C% 3]))+BetTable[S3])</f>
        <v>0</v>
      </c>
      <c r="AC1030" s="228">
        <f>IFERROR(IF(BetTable[Sport]="","",BetTable[R1]/BetTable[TS]),"")</f>
        <v>0.8600000000000001</v>
      </c>
      <c r="AD1030" s="228" t="str">
        <f>IF(BetTable[O2]="","",#REF!/BetTable[TS])</f>
        <v/>
      </c>
      <c r="AE1030" s="228" t="str">
        <f>IFERROR(IF(BetTable[Sport]="","",#REF!/BetTable[TS]),"")</f>
        <v/>
      </c>
      <c r="AF1030" s="227">
        <f>IF(BetTable[Outcome]="Win",BetTable[WBA1-Commission],IF(BetTable[Outcome]="Win Half Stake",(BetTable[Stake]/2)+BetTable[WBA1-Commission]/2,IF(BetTable[Outcome]="Lose Half Stake",BetTable[Stake]/2,IF(BetTable[Outcome]="Lose",0,IF(BetTable[Outcome]="Void",BetTable[Stake],)))))</f>
        <v>85.56</v>
      </c>
      <c r="AG1030" s="227">
        <f>IF(BetTable[Outcome2]="Win",BetTable[WBA2-Commission],IF(BetTable[Outcome2]="Win Half Stake",(BetTable[S2]/2)+BetTable[WBA2-Commission]/2,IF(BetTable[Outcome2]="Lose Half Stake",BetTable[S2]/2,IF(BetTable[Outcome2]="Lose",0,IF(BetTable[Outcome2]="Void",BetTable[S2],)))))</f>
        <v>0</v>
      </c>
      <c r="AH1030" s="227">
        <f>IF(BetTable[Outcome3]="Win",BetTable[WBA3-Commission],IF(BetTable[Outcome3]="Win Half Stake",(BetTable[S3]/2)+BetTable[WBA3-Commission]/2,IF(BetTable[Outcome3]="Lose Half Stake",BetTable[S3]/2,IF(BetTable[Outcome3]="Lose",0,IF(BetTable[Outcome3]="Void",BetTable[S3],)))))</f>
        <v>0</v>
      </c>
      <c r="AI1030" s="231">
        <f>IF(BetTable[Outcome]="",AI1029,BetTable[Result]+AI1029)</f>
        <v>1804.2992499999989</v>
      </c>
      <c r="AJ1030" s="223"/>
    </row>
    <row r="1031" spans="1:36" x14ac:dyDescent="0.2">
      <c r="A1031" s="159" t="s">
        <v>2601</v>
      </c>
      <c r="B1031" s="160" t="s">
        <v>200</v>
      </c>
      <c r="C1031" s="161" t="s">
        <v>1714</v>
      </c>
      <c r="D1031" s="161"/>
      <c r="E1031" s="161"/>
      <c r="F1031" s="162"/>
      <c r="G1031" s="162"/>
      <c r="H1031" s="162"/>
      <c r="I1031" s="160" t="s">
        <v>2612</v>
      </c>
      <c r="J1031" s="163">
        <v>1.88</v>
      </c>
      <c r="K1031" s="163"/>
      <c r="L1031" s="163"/>
      <c r="M1031" s="164">
        <v>32</v>
      </c>
      <c r="N1031" s="164"/>
      <c r="O1031" s="164"/>
      <c r="P1031" s="159" t="s">
        <v>646</v>
      </c>
      <c r="Q1031" s="159" t="s">
        <v>540</v>
      </c>
      <c r="R1031" s="159" t="s">
        <v>2613</v>
      </c>
      <c r="S1031" s="165">
        <v>1.80298461248877E-2</v>
      </c>
      <c r="T1031" s="166" t="s">
        <v>372</v>
      </c>
      <c r="U1031" s="166"/>
      <c r="V1031" s="166"/>
      <c r="W1031" s="167">
        <f>IF(BetTable[Sport]="","",BetTable[Stake]+BetTable[S2]+BetTable[S3])</f>
        <v>32</v>
      </c>
      <c r="X1031" s="164">
        <f>IF(BetTable[Odds]="","",(BetTable[WBA1-Commission])-BetTable[TS])</f>
        <v>28.159999999999997</v>
      </c>
      <c r="Y1031" s="168">
        <f>IF(BetTable[Outcome]="","",BetTable[WBA1]+BetTable[WBA2]+BetTable[WBA3]-BetTable[TS])</f>
        <v>28.159999999999997</v>
      </c>
      <c r="Z1031" s="164">
        <f>(((BetTable[Odds]-1)*BetTable[Stake])*(1-(BetTable[Comm %]))+BetTable[Stake])</f>
        <v>60.16</v>
      </c>
      <c r="AA1031" s="164">
        <f>(((BetTable[O2]-1)*BetTable[S2])*(1-(BetTable[C% 2]))+BetTable[S2])</f>
        <v>0</v>
      </c>
      <c r="AB1031" s="164">
        <f>(((BetTable[O3]-1)*BetTable[S3])*(1-(BetTable[C% 3]))+BetTable[S3])</f>
        <v>0</v>
      </c>
      <c r="AC1031" s="165">
        <f>IFERROR(IF(BetTable[Sport]="","",BetTable[R1]/BetTable[TS]),"")</f>
        <v>0.87999999999999989</v>
      </c>
      <c r="AD1031" s="165" t="str">
        <f>IF(BetTable[O2]="","",#REF!/BetTable[TS])</f>
        <v/>
      </c>
      <c r="AE1031" s="165" t="str">
        <f>IFERROR(IF(BetTable[Sport]="","",#REF!/BetTable[TS]),"")</f>
        <v/>
      </c>
      <c r="AF1031" s="164">
        <f>IF(BetTable[Outcome]="Win",BetTable[WBA1-Commission],IF(BetTable[Outcome]="Win Half Stake",(BetTable[Stake]/2)+BetTable[WBA1-Commission]/2,IF(BetTable[Outcome]="Lose Half Stake",BetTable[Stake]/2,IF(BetTable[Outcome]="Lose",0,IF(BetTable[Outcome]="Void",BetTable[Stake],)))))</f>
        <v>60.16</v>
      </c>
      <c r="AG1031" s="164">
        <f>IF(BetTable[Outcome2]="Win",BetTable[WBA2-Commission],IF(BetTable[Outcome2]="Win Half Stake",(BetTable[S2]/2)+BetTable[WBA2-Commission]/2,IF(BetTable[Outcome2]="Lose Half Stake",BetTable[S2]/2,IF(BetTable[Outcome2]="Lose",0,IF(BetTable[Outcome2]="Void",BetTable[S2],)))))</f>
        <v>0</v>
      </c>
      <c r="AH1031" s="164">
        <f>IF(BetTable[Outcome3]="Win",BetTable[WBA3-Commission],IF(BetTable[Outcome3]="Win Half Stake",(BetTable[S3]/2)+BetTable[WBA3-Commission]/2,IF(BetTable[Outcome3]="Lose Half Stake",BetTable[S3]/2,IF(BetTable[Outcome3]="Lose",0,IF(BetTable[Outcome3]="Void",BetTable[S3],)))))</f>
        <v>0</v>
      </c>
      <c r="AI1031" s="168">
        <f>IF(BetTable[Outcome]="",AI1030,BetTable[Result]+AI1030)</f>
        <v>1832.459249999999</v>
      </c>
      <c r="AJ1031" s="160"/>
    </row>
    <row r="1032" spans="1:36" x14ac:dyDescent="0.2">
      <c r="A1032" s="159" t="s">
        <v>2601</v>
      </c>
      <c r="B1032" s="160" t="s">
        <v>200</v>
      </c>
      <c r="C1032" s="161" t="s">
        <v>1714</v>
      </c>
      <c r="D1032" s="161"/>
      <c r="E1032" s="161"/>
      <c r="F1032" s="162"/>
      <c r="G1032" s="162"/>
      <c r="H1032" s="162"/>
      <c r="I1032" s="160" t="s">
        <v>2614</v>
      </c>
      <c r="J1032" s="163">
        <v>2</v>
      </c>
      <c r="K1032" s="163"/>
      <c r="L1032" s="163"/>
      <c r="M1032" s="164">
        <v>32</v>
      </c>
      <c r="N1032" s="164"/>
      <c r="O1032" s="164"/>
      <c r="P1032" s="159" t="s">
        <v>2283</v>
      </c>
      <c r="Q1032" s="159" t="s">
        <v>506</v>
      </c>
      <c r="R1032" s="159" t="s">
        <v>2615</v>
      </c>
      <c r="S1032" s="165">
        <v>2.0910952006336001E-2</v>
      </c>
      <c r="T1032" s="166" t="s">
        <v>372</v>
      </c>
      <c r="U1032" s="166"/>
      <c r="V1032" s="166"/>
      <c r="W1032" s="167">
        <f>IF(BetTable[Sport]="","",BetTable[Stake]+BetTable[S2]+BetTable[S3])</f>
        <v>32</v>
      </c>
      <c r="X1032" s="164">
        <f>IF(BetTable[Odds]="","",(BetTable[WBA1-Commission])-BetTable[TS])</f>
        <v>32</v>
      </c>
      <c r="Y1032" s="168">
        <f>IF(BetTable[Outcome]="","",BetTable[WBA1]+BetTable[WBA2]+BetTable[WBA3]-BetTable[TS])</f>
        <v>32</v>
      </c>
      <c r="Z1032" s="164">
        <f>(((BetTable[Odds]-1)*BetTable[Stake])*(1-(BetTable[Comm %]))+BetTable[Stake])</f>
        <v>64</v>
      </c>
      <c r="AA1032" s="164">
        <f>(((BetTable[O2]-1)*BetTable[S2])*(1-(BetTable[C% 2]))+BetTable[S2])</f>
        <v>0</v>
      </c>
      <c r="AB1032" s="164">
        <f>(((BetTable[O3]-1)*BetTable[S3])*(1-(BetTable[C% 3]))+BetTable[S3])</f>
        <v>0</v>
      </c>
      <c r="AC1032" s="165">
        <f>IFERROR(IF(BetTable[Sport]="","",BetTable[R1]/BetTable[TS]),"")</f>
        <v>1</v>
      </c>
      <c r="AD1032" s="165" t="str">
        <f>IF(BetTable[O2]="","",#REF!/BetTable[TS])</f>
        <v/>
      </c>
      <c r="AE1032" s="165" t="str">
        <f>IFERROR(IF(BetTable[Sport]="","",#REF!/BetTable[TS]),"")</f>
        <v/>
      </c>
      <c r="AF1032" s="164">
        <f>IF(BetTable[Outcome]="Win",BetTable[WBA1-Commission],IF(BetTable[Outcome]="Win Half Stake",(BetTable[Stake]/2)+BetTable[WBA1-Commission]/2,IF(BetTable[Outcome]="Lose Half Stake",BetTable[Stake]/2,IF(BetTable[Outcome]="Lose",0,IF(BetTable[Outcome]="Void",BetTable[Stake],)))))</f>
        <v>64</v>
      </c>
      <c r="AG1032" s="164">
        <f>IF(BetTable[Outcome2]="Win",BetTable[WBA2-Commission],IF(BetTable[Outcome2]="Win Half Stake",(BetTable[S2]/2)+BetTable[WBA2-Commission]/2,IF(BetTable[Outcome2]="Lose Half Stake",BetTable[S2]/2,IF(BetTable[Outcome2]="Lose",0,IF(BetTable[Outcome2]="Void",BetTable[S2],)))))</f>
        <v>0</v>
      </c>
      <c r="AH1032" s="164">
        <f>IF(BetTable[Outcome3]="Win",BetTable[WBA3-Commission],IF(BetTable[Outcome3]="Win Half Stake",(BetTable[S3]/2)+BetTable[WBA3-Commission]/2,IF(BetTable[Outcome3]="Lose Half Stake",BetTable[S3]/2,IF(BetTable[Outcome3]="Lose",0,IF(BetTable[Outcome3]="Void",BetTable[S3],)))))</f>
        <v>0</v>
      </c>
      <c r="AI1032" s="168">
        <f>IF(BetTable[Outcome]="",AI1031,BetTable[Result]+AI1031)</f>
        <v>1864.459249999999</v>
      </c>
      <c r="AJ1032" s="160"/>
    </row>
    <row r="1033" spans="1:36" x14ac:dyDescent="0.2">
      <c r="A1033" s="159" t="s">
        <v>2601</v>
      </c>
      <c r="B1033" s="160" t="s">
        <v>8</v>
      </c>
      <c r="C1033" s="161" t="s">
        <v>91</v>
      </c>
      <c r="D1033" s="161"/>
      <c r="E1033" s="161"/>
      <c r="F1033" s="162"/>
      <c r="G1033" s="162"/>
      <c r="H1033" s="162"/>
      <c r="I1033" s="160" t="s">
        <v>2616</v>
      </c>
      <c r="J1033" s="163">
        <v>1.9</v>
      </c>
      <c r="K1033" s="163"/>
      <c r="L1033" s="163"/>
      <c r="M1033" s="164">
        <v>31</v>
      </c>
      <c r="N1033" s="164"/>
      <c r="O1033" s="164"/>
      <c r="P1033" s="159" t="s">
        <v>428</v>
      </c>
      <c r="Q1033" s="159" t="s">
        <v>458</v>
      </c>
      <c r="R1033" s="159" t="s">
        <v>2617</v>
      </c>
      <c r="S1033" s="165">
        <v>1.8083631490896899E-2</v>
      </c>
      <c r="T1033" s="166" t="s">
        <v>372</v>
      </c>
      <c r="U1033" s="166"/>
      <c r="V1033" s="166"/>
      <c r="W1033" s="167">
        <f>IF(BetTable[Sport]="","",BetTable[Stake]+BetTable[S2]+BetTable[S3])</f>
        <v>31</v>
      </c>
      <c r="X1033" s="164">
        <f>IF(BetTable[Odds]="","",(BetTable[WBA1-Commission])-BetTable[TS])</f>
        <v>27.9</v>
      </c>
      <c r="Y1033" s="168">
        <f>IF(BetTable[Outcome]="","",BetTable[WBA1]+BetTable[WBA2]+BetTable[WBA3]-BetTable[TS])</f>
        <v>27.9</v>
      </c>
      <c r="Z1033" s="164">
        <f>(((BetTable[Odds]-1)*BetTable[Stake])*(1-(BetTable[Comm %]))+BetTable[Stake])</f>
        <v>58.9</v>
      </c>
      <c r="AA1033" s="164">
        <f>(((BetTable[O2]-1)*BetTable[S2])*(1-(BetTable[C% 2]))+BetTable[S2])</f>
        <v>0</v>
      </c>
      <c r="AB1033" s="164">
        <f>(((BetTable[O3]-1)*BetTable[S3])*(1-(BetTable[C% 3]))+BetTable[S3])</f>
        <v>0</v>
      </c>
      <c r="AC1033" s="165">
        <f>IFERROR(IF(BetTable[Sport]="","",BetTable[R1]/BetTable[TS]),"")</f>
        <v>0.89999999999999991</v>
      </c>
      <c r="AD1033" s="165" t="str">
        <f>IF(BetTable[O2]="","",#REF!/BetTable[TS])</f>
        <v/>
      </c>
      <c r="AE1033" s="165" t="str">
        <f>IFERROR(IF(BetTable[Sport]="","",#REF!/BetTable[TS]),"")</f>
        <v/>
      </c>
      <c r="AF1033" s="164">
        <f>IF(BetTable[Outcome]="Win",BetTable[WBA1-Commission],IF(BetTable[Outcome]="Win Half Stake",(BetTable[Stake]/2)+BetTable[WBA1-Commission]/2,IF(BetTable[Outcome]="Lose Half Stake",BetTable[Stake]/2,IF(BetTable[Outcome]="Lose",0,IF(BetTable[Outcome]="Void",BetTable[Stake],)))))</f>
        <v>58.9</v>
      </c>
      <c r="AG1033" s="164">
        <f>IF(BetTable[Outcome2]="Win",BetTable[WBA2-Commission],IF(BetTable[Outcome2]="Win Half Stake",(BetTable[S2]/2)+BetTable[WBA2-Commission]/2,IF(BetTable[Outcome2]="Lose Half Stake",BetTable[S2]/2,IF(BetTable[Outcome2]="Lose",0,IF(BetTable[Outcome2]="Void",BetTable[S2],)))))</f>
        <v>0</v>
      </c>
      <c r="AH1033" s="164">
        <f>IF(BetTable[Outcome3]="Win",BetTable[WBA3-Commission],IF(BetTable[Outcome3]="Win Half Stake",(BetTable[S3]/2)+BetTable[WBA3-Commission]/2,IF(BetTable[Outcome3]="Lose Half Stake",BetTable[S3]/2,IF(BetTable[Outcome3]="Lose",0,IF(BetTable[Outcome3]="Void",BetTable[S3],)))))</f>
        <v>0</v>
      </c>
      <c r="AI1033" s="168">
        <f>IF(BetTable[Outcome]="",AI1032,BetTable[Result]+AI1032)</f>
        <v>1892.3592499999991</v>
      </c>
      <c r="AJ1033" s="160"/>
    </row>
    <row r="1034" spans="1:36" x14ac:dyDescent="0.2">
      <c r="A1034" s="159" t="s">
        <v>2601</v>
      </c>
      <c r="B1034" s="160" t="s">
        <v>200</v>
      </c>
      <c r="C1034" s="161" t="s">
        <v>1714</v>
      </c>
      <c r="D1034" s="161"/>
      <c r="E1034" s="161"/>
      <c r="F1034" s="162"/>
      <c r="G1034" s="162"/>
      <c r="H1034" s="162"/>
      <c r="I1034" s="160" t="s">
        <v>2618</v>
      </c>
      <c r="J1034" s="163">
        <v>1.78</v>
      </c>
      <c r="K1034" s="163"/>
      <c r="L1034" s="163"/>
      <c r="M1034" s="164">
        <v>97</v>
      </c>
      <c r="N1034" s="164"/>
      <c r="O1034" s="164"/>
      <c r="P1034" s="159" t="s">
        <v>688</v>
      </c>
      <c r="Q1034" s="159" t="s">
        <v>503</v>
      </c>
      <c r="R1034" s="159" t="s">
        <v>2619</v>
      </c>
      <c r="S1034" s="165">
        <v>5.4263629480060499E-2</v>
      </c>
      <c r="T1034" s="166" t="s">
        <v>372</v>
      </c>
      <c r="U1034" s="166"/>
      <c r="V1034" s="166"/>
      <c r="W1034" s="167">
        <f>IF(BetTable[Sport]="","",BetTable[Stake]+BetTable[S2]+BetTable[S3])</f>
        <v>97</v>
      </c>
      <c r="X1034" s="164">
        <f>IF(BetTable[Odds]="","",(BetTable[WBA1-Commission])-BetTable[TS])</f>
        <v>75.66</v>
      </c>
      <c r="Y1034" s="168">
        <f>IF(BetTable[Outcome]="","",BetTable[WBA1]+BetTable[WBA2]+BetTable[WBA3]-BetTable[TS])</f>
        <v>75.66</v>
      </c>
      <c r="Z1034" s="164">
        <f>(((BetTable[Odds]-1)*BetTable[Stake])*(1-(BetTable[Comm %]))+BetTable[Stake])</f>
        <v>172.66</v>
      </c>
      <c r="AA1034" s="164">
        <f>(((BetTable[O2]-1)*BetTable[S2])*(1-(BetTable[C% 2]))+BetTable[S2])</f>
        <v>0</v>
      </c>
      <c r="AB1034" s="164">
        <f>(((BetTable[O3]-1)*BetTable[S3])*(1-(BetTable[C% 3]))+BetTable[S3])</f>
        <v>0</v>
      </c>
      <c r="AC1034" s="165">
        <f>IFERROR(IF(BetTable[Sport]="","",BetTable[R1]/BetTable[TS]),"")</f>
        <v>0.77999999999999992</v>
      </c>
      <c r="AD1034" s="165" t="str">
        <f>IF(BetTable[O2]="","",#REF!/BetTable[TS])</f>
        <v/>
      </c>
      <c r="AE1034" s="165" t="str">
        <f>IFERROR(IF(BetTable[Sport]="","",#REF!/BetTable[TS]),"")</f>
        <v/>
      </c>
      <c r="AF1034" s="164">
        <f>IF(BetTable[Outcome]="Win",BetTable[WBA1-Commission],IF(BetTable[Outcome]="Win Half Stake",(BetTable[Stake]/2)+BetTable[WBA1-Commission]/2,IF(BetTable[Outcome]="Lose Half Stake",BetTable[Stake]/2,IF(BetTable[Outcome]="Lose",0,IF(BetTable[Outcome]="Void",BetTable[Stake],)))))</f>
        <v>172.66</v>
      </c>
      <c r="AG1034" s="164">
        <f>IF(BetTable[Outcome2]="Win",BetTable[WBA2-Commission],IF(BetTable[Outcome2]="Win Half Stake",(BetTable[S2]/2)+BetTable[WBA2-Commission]/2,IF(BetTable[Outcome2]="Lose Half Stake",BetTable[S2]/2,IF(BetTable[Outcome2]="Lose",0,IF(BetTable[Outcome2]="Void",BetTable[S2],)))))</f>
        <v>0</v>
      </c>
      <c r="AH1034" s="164">
        <f>IF(BetTable[Outcome3]="Win",BetTable[WBA3-Commission],IF(BetTable[Outcome3]="Win Half Stake",(BetTable[S3]/2)+BetTable[WBA3-Commission]/2,IF(BetTable[Outcome3]="Lose Half Stake",BetTable[S3]/2,IF(BetTable[Outcome3]="Lose",0,IF(BetTable[Outcome3]="Void",BetTable[S3],)))))</f>
        <v>0</v>
      </c>
      <c r="AI1034" s="168">
        <f>IF(BetTable[Outcome]="",AI1033,BetTable[Result]+AI1033)</f>
        <v>1968.0192499999991</v>
      </c>
      <c r="AJ1034" s="160"/>
    </row>
    <row r="1035" spans="1:36" x14ac:dyDescent="0.2">
      <c r="A1035" s="159" t="s">
        <v>2601</v>
      </c>
      <c r="B1035" s="160" t="s">
        <v>200</v>
      </c>
      <c r="C1035" s="161" t="s">
        <v>1714</v>
      </c>
      <c r="D1035" s="161"/>
      <c r="E1035" s="161"/>
      <c r="F1035" s="162"/>
      <c r="G1035" s="162"/>
      <c r="H1035" s="162"/>
      <c r="I1035" s="160" t="s">
        <v>2604</v>
      </c>
      <c r="J1035" s="163">
        <v>2</v>
      </c>
      <c r="K1035" s="163"/>
      <c r="L1035" s="163"/>
      <c r="M1035" s="164">
        <v>31</v>
      </c>
      <c r="N1035" s="164"/>
      <c r="O1035" s="164"/>
      <c r="P1035" s="159" t="s">
        <v>688</v>
      </c>
      <c r="Q1035" s="159" t="s">
        <v>547</v>
      </c>
      <c r="R1035" s="159" t="s">
        <v>2620</v>
      </c>
      <c r="S1035" s="165">
        <v>1.9752283566937302E-2</v>
      </c>
      <c r="T1035" s="166" t="s">
        <v>372</v>
      </c>
      <c r="U1035" s="166"/>
      <c r="V1035" s="166"/>
      <c r="W1035" s="167">
        <f>IF(BetTable[Sport]="","",BetTable[Stake]+BetTable[S2]+BetTable[S3])</f>
        <v>31</v>
      </c>
      <c r="X1035" s="164">
        <f>IF(BetTable[Odds]="","",(BetTable[WBA1-Commission])-BetTable[TS])</f>
        <v>31</v>
      </c>
      <c r="Y1035" s="168">
        <f>IF(BetTable[Outcome]="","",BetTable[WBA1]+BetTable[WBA2]+BetTable[WBA3]-BetTable[TS])</f>
        <v>31</v>
      </c>
      <c r="Z1035" s="164">
        <f>(((BetTable[Odds]-1)*BetTable[Stake])*(1-(BetTable[Comm %]))+BetTable[Stake])</f>
        <v>62</v>
      </c>
      <c r="AA1035" s="164">
        <f>(((BetTable[O2]-1)*BetTable[S2])*(1-(BetTable[C% 2]))+BetTable[S2])</f>
        <v>0</v>
      </c>
      <c r="AB1035" s="164">
        <f>(((BetTable[O3]-1)*BetTable[S3])*(1-(BetTable[C% 3]))+BetTable[S3])</f>
        <v>0</v>
      </c>
      <c r="AC1035" s="165">
        <f>IFERROR(IF(BetTable[Sport]="","",BetTable[R1]/BetTable[TS]),"")</f>
        <v>1</v>
      </c>
      <c r="AD1035" s="165" t="str">
        <f>IF(BetTable[O2]="","",#REF!/BetTable[TS])</f>
        <v/>
      </c>
      <c r="AE1035" s="165" t="str">
        <f>IFERROR(IF(BetTable[Sport]="","",#REF!/BetTable[TS]),"")</f>
        <v/>
      </c>
      <c r="AF1035" s="164">
        <f>IF(BetTable[Outcome]="Win",BetTable[WBA1-Commission],IF(BetTable[Outcome]="Win Half Stake",(BetTable[Stake]/2)+BetTable[WBA1-Commission]/2,IF(BetTable[Outcome]="Lose Half Stake",BetTable[Stake]/2,IF(BetTable[Outcome]="Lose",0,IF(BetTable[Outcome]="Void",BetTable[Stake],)))))</f>
        <v>62</v>
      </c>
      <c r="AG1035" s="164">
        <f>IF(BetTable[Outcome2]="Win",BetTable[WBA2-Commission],IF(BetTable[Outcome2]="Win Half Stake",(BetTable[S2]/2)+BetTable[WBA2-Commission]/2,IF(BetTable[Outcome2]="Lose Half Stake",BetTable[S2]/2,IF(BetTable[Outcome2]="Lose",0,IF(BetTable[Outcome2]="Void",BetTable[S2],)))))</f>
        <v>0</v>
      </c>
      <c r="AH1035" s="164">
        <f>IF(BetTable[Outcome3]="Win",BetTable[WBA3-Commission],IF(BetTable[Outcome3]="Win Half Stake",(BetTable[S3]/2)+BetTable[WBA3-Commission]/2,IF(BetTable[Outcome3]="Lose Half Stake",BetTable[S3]/2,IF(BetTable[Outcome3]="Lose",0,IF(BetTable[Outcome3]="Void",BetTable[S3],)))))</f>
        <v>0</v>
      </c>
      <c r="AI1035" s="168">
        <f>IF(BetTable[Outcome]="",AI1034,BetTable[Result]+AI1034)</f>
        <v>1999.0192499999991</v>
      </c>
      <c r="AJ1035" s="160"/>
    </row>
    <row r="1036" spans="1:36" x14ac:dyDescent="0.2">
      <c r="A1036" s="159" t="s">
        <v>2601</v>
      </c>
      <c r="B1036" s="160" t="s">
        <v>200</v>
      </c>
      <c r="C1036" s="161" t="s">
        <v>1714</v>
      </c>
      <c r="D1036" s="161"/>
      <c r="E1036" s="161"/>
      <c r="F1036" s="162"/>
      <c r="G1036" s="162"/>
      <c r="H1036" s="162"/>
      <c r="I1036" s="160" t="s">
        <v>2621</v>
      </c>
      <c r="J1036" s="163">
        <v>2.1110000000000002</v>
      </c>
      <c r="K1036" s="163"/>
      <c r="L1036" s="163"/>
      <c r="M1036" s="164">
        <v>25</v>
      </c>
      <c r="N1036" s="164"/>
      <c r="O1036" s="164"/>
      <c r="P1036" s="159" t="s">
        <v>1565</v>
      </c>
      <c r="Q1036" s="159" t="s">
        <v>677</v>
      </c>
      <c r="R1036" s="159" t="s">
        <v>2622</v>
      </c>
      <c r="S1036" s="165">
        <v>1.8225201605792499E-2</v>
      </c>
      <c r="T1036" s="166" t="s">
        <v>372</v>
      </c>
      <c r="U1036" s="166"/>
      <c r="V1036" s="166"/>
      <c r="W1036" s="167">
        <f>IF(BetTable[Sport]="","",BetTable[Stake]+BetTable[S2]+BetTable[S3])</f>
        <v>25</v>
      </c>
      <c r="X1036" s="164">
        <f>IF(BetTable[Odds]="","",(BetTable[WBA1-Commission])-BetTable[TS])</f>
        <v>27.775000000000006</v>
      </c>
      <c r="Y1036" s="168">
        <f>IF(BetTable[Outcome]="","",BetTable[WBA1]+BetTable[WBA2]+BetTable[WBA3]-BetTable[TS])</f>
        <v>27.775000000000006</v>
      </c>
      <c r="Z1036" s="164">
        <f>(((BetTable[Odds]-1)*BetTable[Stake])*(1-(BetTable[Comm %]))+BetTable[Stake])</f>
        <v>52.775000000000006</v>
      </c>
      <c r="AA1036" s="164">
        <f>(((BetTable[O2]-1)*BetTable[S2])*(1-(BetTable[C% 2]))+BetTable[S2])</f>
        <v>0</v>
      </c>
      <c r="AB1036" s="164">
        <f>(((BetTable[O3]-1)*BetTable[S3])*(1-(BetTable[C% 3]))+BetTable[S3])</f>
        <v>0</v>
      </c>
      <c r="AC1036" s="165">
        <f>IFERROR(IF(BetTable[Sport]="","",BetTable[R1]/BetTable[TS]),"")</f>
        <v>1.1110000000000002</v>
      </c>
      <c r="AD1036" s="165" t="str">
        <f>IF(BetTable[O2]="","",#REF!/BetTable[TS])</f>
        <v/>
      </c>
      <c r="AE1036" s="165" t="str">
        <f>IFERROR(IF(BetTable[Sport]="","",#REF!/BetTable[TS]),"")</f>
        <v/>
      </c>
      <c r="AF1036" s="164">
        <f>IF(BetTable[Outcome]="Win",BetTable[WBA1-Commission],IF(BetTable[Outcome]="Win Half Stake",(BetTable[Stake]/2)+BetTable[WBA1-Commission]/2,IF(BetTable[Outcome]="Lose Half Stake",BetTable[Stake]/2,IF(BetTable[Outcome]="Lose",0,IF(BetTable[Outcome]="Void",BetTable[Stake],)))))</f>
        <v>52.775000000000006</v>
      </c>
      <c r="AG1036" s="164">
        <f>IF(BetTable[Outcome2]="Win",BetTable[WBA2-Commission],IF(BetTable[Outcome2]="Win Half Stake",(BetTable[S2]/2)+BetTable[WBA2-Commission]/2,IF(BetTable[Outcome2]="Lose Half Stake",BetTable[S2]/2,IF(BetTable[Outcome2]="Lose",0,IF(BetTable[Outcome2]="Void",BetTable[S2],)))))</f>
        <v>0</v>
      </c>
      <c r="AH1036" s="164">
        <f>IF(BetTable[Outcome3]="Win",BetTable[WBA3-Commission],IF(BetTable[Outcome3]="Win Half Stake",(BetTable[S3]/2)+BetTable[WBA3-Commission]/2,IF(BetTable[Outcome3]="Lose Half Stake",BetTable[S3]/2,IF(BetTable[Outcome3]="Lose",0,IF(BetTable[Outcome3]="Void",BetTable[S3],)))))</f>
        <v>0</v>
      </c>
      <c r="AI1036" s="168">
        <f>IF(BetTable[Outcome]="",AI1035,BetTable[Result]+AI1035)</f>
        <v>2026.7942499999992</v>
      </c>
      <c r="AJ1036" s="160"/>
    </row>
    <row r="1037" spans="1:36" x14ac:dyDescent="0.2">
      <c r="A1037" s="159" t="s">
        <v>2601</v>
      </c>
      <c r="B1037" s="160" t="s">
        <v>175</v>
      </c>
      <c r="C1037" s="161" t="s">
        <v>91</v>
      </c>
      <c r="D1037" s="161"/>
      <c r="E1037" s="161"/>
      <c r="F1037" s="162"/>
      <c r="G1037" s="162"/>
      <c r="H1037" s="162"/>
      <c r="I1037" s="160" t="s">
        <v>2623</v>
      </c>
      <c r="J1037" s="163">
        <v>2.08</v>
      </c>
      <c r="K1037" s="163"/>
      <c r="L1037" s="163"/>
      <c r="M1037" s="164">
        <v>30</v>
      </c>
      <c r="N1037" s="164"/>
      <c r="O1037" s="164"/>
      <c r="P1037" s="159" t="s">
        <v>2624</v>
      </c>
      <c r="Q1037" s="159" t="s">
        <v>585</v>
      </c>
      <c r="R1037" s="159" t="s">
        <v>2625</v>
      </c>
      <c r="S1037" s="165">
        <v>2.0762529660517001E-2</v>
      </c>
      <c r="T1037" s="166" t="s">
        <v>372</v>
      </c>
      <c r="U1037" s="166"/>
      <c r="V1037" s="166"/>
      <c r="W1037" s="167">
        <f>IF(BetTable[Sport]="","",BetTable[Stake]+BetTable[S2]+BetTable[S3])</f>
        <v>30</v>
      </c>
      <c r="X1037" s="164">
        <f>IF(BetTable[Odds]="","",(BetTable[WBA1-Commission])-BetTable[TS])</f>
        <v>32.400000000000006</v>
      </c>
      <c r="Y1037" s="168">
        <f>IF(BetTable[Outcome]="","",BetTable[WBA1]+BetTable[WBA2]+BetTable[WBA3]-BetTable[TS])</f>
        <v>32.400000000000006</v>
      </c>
      <c r="Z1037" s="164">
        <f>(((BetTable[Odds]-1)*BetTable[Stake])*(1-(BetTable[Comm %]))+BetTable[Stake])</f>
        <v>62.400000000000006</v>
      </c>
      <c r="AA1037" s="164">
        <f>(((BetTable[O2]-1)*BetTable[S2])*(1-(BetTable[C% 2]))+BetTable[S2])</f>
        <v>0</v>
      </c>
      <c r="AB1037" s="164">
        <f>(((BetTable[O3]-1)*BetTable[S3])*(1-(BetTable[C% 3]))+BetTable[S3])</f>
        <v>0</v>
      </c>
      <c r="AC1037" s="165">
        <f>IFERROR(IF(BetTable[Sport]="","",BetTable[R1]/BetTable[TS]),"")</f>
        <v>1.0800000000000003</v>
      </c>
      <c r="AD1037" s="165" t="str">
        <f>IF(BetTable[O2]="","",#REF!/BetTable[TS])</f>
        <v/>
      </c>
      <c r="AE1037" s="165" t="str">
        <f>IFERROR(IF(BetTable[Sport]="","",#REF!/BetTable[TS]),"")</f>
        <v/>
      </c>
      <c r="AF1037" s="164">
        <f>IF(BetTable[Outcome]="Win",BetTable[WBA1-Commission],IF(BetTable[Outcome]="Win Half Stake",(BetTable[Stake]/2)+BetTable[WBA1-Commission]/2,IF(BetTable[Outcome]="Lose Half Stake",BetTable[Stake]/2,IF(BetTable[Outcome]="Lose",0,IF(BetTable[Outcome]="Void",BetTable[Stake],)))))</f>
        <v>62.400000000000006</v>
      </c>
      <c r="AG1037" s="164">
        <f>IF(BetTable[Outcome2]="Win",BetTable[WBA2-Commission],IF(BetTable[Outcome2]="Win Half Stake",(BetTable[S2]/2)+BetTable[WBA2-Commission]/2,IF(BetTable[Outcome2]="Lose Half Stake",BetTable[S2]/2,IF(BetTable[Outcome2]="Lose",0,IF(BetTable[Outcome2]="Void",BetTable[S2],)))))</f>
        <v>0</v>
      </c>
      <c r="AH1037" s="164">
        <f>IF(BetTable[Outcome3]="Win",BetTable[WBA3-Commission],IF(BetTable[Outcome3]="Win Half Stake",(BetTable[S3]/2)+BetTable[WBA3-Commission]/2,IF(BetTable[Outcome3]="Lose Half Stake",BetTable[S3]/2,IF(BetTable[Outcome3]="Lose",0,IF(BetTable[Outcome3]="Void",BetTable[S3],)))))</f>
        <v>0</v>
      </c>
      <c r="AI1037" s="168">
        <f>IF(BetTable[Outcome]="",AI1036,BetTable[Result]+AI1036)</f>
        <v>2059.1942499999991</v>
      </c>
      <c r="AJ1037" s="160"/>
    </row>
    <row r="1038" spans="1:36" x14ac:dyDescent="0.2">
      <c r="A1038" s="159" t="s">
        <v>2601</v>
      </c>
      <c r="B1038" s="160" t="s">
        <v>8</v>
      </c>
      <c r="C1038" s="161" t="s">
        <v>91</v>
      </c>
      <c r="D1038" s="161"/>
      <c r="E1038" s="161"/>
      <c r="F1038" s="162"/>
      <c r="G1038" s="162"/>
      <c r="H1038" s="162"/>
      <c r="I1038" s="160" t="s">
        <v>2626</v>
      </c>
      <c r="J1038" s="163">
        <v>2.2799999999999998</v>
      </c>
      <c r="K1038" s="163"/>
      <c r="L1038" s="163"/>
      <c r="M1038" s="164">
        <v>25</v>
      </c>
      <c r="N1038" s="164"/>
      <c r="O1038" s="164"/>
      <c r="P1038" s="159" t="s">
        <v>428</v>
      </c>
      <c r="Q1038" s="159" t="s">
        <v>495</v>
      </c>
      <c r="R1038" s="159" t="s">
        <v>2627</v>
      </c>
      <c r="S1038" s="165">
        <v>2.0785137648135998E-2</v>
      </c>
      <c r="T1038" s="166" t="s">
        <v>382</v>
      </c>
      <c r="U1038" s="166"/>
      <c r="V1038" s="166"/>
      <c r="W1038" s="167">
        <f>IF(BetTable[Sport]="","",BetTable[Stake]+BetTable[S2]+BetTable[S3])</f>
        <v>25</v>
      </c>
      <c r="X1038" s="164">
        <f>IF(BetTable[Odds]="","",(BetTable[WBA1-Commission])-BetTable[TS])</f>
        <v>32</v>
      </c>
      <c r="Y1038" s="168">
        <f>IF(BetTable[Outcome]="","",BetTable[WBA1]+BetTable[WBA2]+BetTable[WBA3]-BetTable[TS])</f>
        <v>-25</v>
      </c>
      <c r="Z1038" s="164">
        <f>(((BetTable[Odds]-1)*BetTable[Stake])*(1-(BetTable[Comm %]))+BetTable[Stake])</f>
        <v>57</v>
      </c>
      <c r="AA1038" s="164">
        <f>(((BetTable[O2]-1)*BetTable[S2])*(1-(BetTable[C% 2]))+BetTable[S2])</f>
        <v>0</v>
      </c>
      <c r="AB1038" s="164">
        <f>(((BetTable[O3]-1)*BetTable[S3])*(1-(BetTable[C% 3]))+BetTable[S3])</f>
        <v>0</v>
      </c>
      <c r="AC1038" s="165">
        <f>IFERROR(IF(BetTable[Sport]="","",BetTable[R1]/BetTable[TS]),"")</f>
        <v>1.28</v>
      </c>
      <c r="AD1038" s="165" t="str">
        <f>IF(BetTable[O2]="","",#REF!/BetTable[TS])</f>
        <v/>
      </c>
      <c r="AE1038" s="165" t="str">
        <f>IFERROR(IF(BetTable[Sport]="","",#REF!/BetTable[TS]),"")</f>
        <v/>
      </c>
      <c r="AF1038" s="164">
        <f>IF(BetTable[Outcome]="Win",BetTable[WBA1-Commission],IF(BetTable[Outcome]="Win Half Stake",(BetTable[Stake]/2)+BetTable[WBA1-Commission]/2,IF(BetTable[Outcome]="Lose Half Stake",BetTable[Stake]/2,IF(BetTable[Outcome]="Lose",0,IF(BetTable[Outcome]="Void",BetTable[Stake],)))))</f>
        <v>0</v>
      </c>
      <c r="AG1038" s="164">
        <f>IF(BetTable[Outcome2]="Win",BetTable[WBA2-Commission],IF(BetTable[Outcome2]="Win Half Stake",(BetTable[S2]/2)+BetTable[WBA2-Commission]/2,IF(BetTable[Outcome2]="Lose Half Stake",BetTable[S2]/2,IF(BetTable[Outcome2]="Lose",0,IF(BetTable[Outcome2]="Void",BetTable[S2],)))))</f>
        <v>0</v>
      </c>
      <c r="AH1038" s="164">
        <f>IF(BetTable[Outcome3]="Win",BetTable[WBA3-Commission],IF(BetTable[Outcome3]="Win Half Stake",(BetTable[S3]/2)+BetTable[WBA3-Commission]/2,IF(BetTable[Outcome3]="Lose Half Stake",BetTable[S3]/2,IF(BetTable[Outcome3]="Lose",0,IF(BetTable[Outcome3]="Void",BetTable[S3],)))))</f>
        <v>0</v>
      </c>
      <c r="AI1038" s="168">
        <f>IF(BetTable[Outcome]="",AI1037,BetTable[Result]+AI1037)</f>
        <v>2034.1942499999991</v>
      </c>
      <c r="AJ1038" s="160"/>
    </row>
    <row r="1039" spans="1:36" x14ac:dyDescent="0.2">
      <c r="A1039" s="159" t="s">
        <v>2601</v>
      </c>
      <c r="B1039" s="160" t="s">
        <v>8</v>
      </c>
      <c r="C1039" s="161" t="s">
        <v>216</v>
      </c>
      <c r="D1039" s="161"/>
      <c r="E1039" s="161"/>
      <c r="F1039" s="162"/>
      <c r="G1039" s="162"/>
      <c r="H1039" s="162"/>
      <c r="I1039" s="160" t="s">
        <v>2628</v>
      </c>
      <c r="J1039" s="163">
        <v>2.0499999999999998</v>
      </c>
      <c r="K1039" s="163"/>
      <c r="L1039" s="163"/>
      <c r="M1039" s="164">
        <v>71</v>
      </c>
      <c r="N1039" s="164"/>
      <c r="O1039" s="164"/>
      <c r="P1039" s="159" t="s">
        <v>428</v>
      </c>
      <c r="Q1039" s="159" t="s">
        <v>491</v>
      </c>
      <c r="R1039" s="159" t="s">
        <v>2629</v>
      </c>
      <c r="S1039" s="165">
        <v>4.8254155344517297E-2</v>
      </c>
      <c r="T1039" s="166" t="s">
        <v>382</v>
      </c>
      <c r="U1039" s="166"/>
      <c r="V1039" s="166"/>
      <c r="W1039" s="167">
        <f>IF(BetTable[Sport]="","",BetTable[Stake]+BetTable[S2]+BetTable[S3])</f>
        <v>71</v>
      </c>
      <c r="X1039" s="164">
        <f>IF(BetTable[Odds]="","",(BetTable[WBA1-Commission])-BetTable[TS])</f>
        <v>74.549999999999983</v>
      </c>
      <c r="Y1039" s="168">
        <f>IF(BetTable[Outcome]="","",BetTable[WBA1]+BetTable[WBA2]+BetTable[WBA3]-BetTable[TS])</f>
        <v>-71</v>
      </c>
      <c r="Z1039" s="164">
        <f>(((BetTable[Odds]-1)*BetTable[Stake])*(1-(BetTable[Comm %]))+BetTable[Stake])</f>
        <v>145.54999999999998</v>
      </c>
      <c r="AA1039" s="164">
        <f>(((BetTable[O2]-1)*BetTable[S2])*(1-(BetTable[C% 2]))+BetTable[S2])</f>
        <v>0</v>
      </c>
      <c r="AB1039" s="164">
        <f>(((BetTable[O3]-1)*BetTable[S3])*(1-(BetTable[C% 3]))+BetTable[S3])</f>
        <v>0</v>
      </c>
      <c r="AC1039" s="165">
        <f>IFERROR(IF(BetTable[Sport]="","",BetTable[R1]/BetTable[TS]),"")</f>
        <v>1.0499999999999998</v>
      </c>
      <c r="AD1039" s="165" t="str">
        <f>IF(BetTable[O2]="","",#REF!/BetTable[TS])</f>
        <v/>
      </c>
      <c r="AE1039" s="165" t="str">
        <f>IFERROR(IF(BetTable[Sport]="","",#REF!/BetTable[TS]),"")</f>
        <v/>
      </c>
      <c r="AF1039" s="164">
        <f>IF(BetTable[Outcome]="Win",BetTable[WBA1-Commission],IF(BetTable[Outcome]="Win Half Stake",(BetTable[Stake]/2)+BetTable[WBA1-Commission]/2,IF(BetTable[Outcome]="Lose Half Stake",BetTable[Stake]/2,IF(BetTable[Outcome]="Lose",0,IF(BetTable[Outcome]="Void",BetTable[Stake],)))))</f>
        <v>0</v>
      </c>
      <c r="AG1039" s="164">
        <f>IF(BetTable[Outcome2]="Win",BetTable[WBA2-Commission],IF(BetTable[Outcome2]="Win Half Stake",(BetTable[S2]/2)+BetTable[WBA2-Commission]/2,IF(BetTable[Outcome2]="Lose Half Stake",BetTable[S2]/2,IF(BetTable[Outcome2]="Lose",0,IF(BetTable[Outcome2]="Void",BetTable[S2],)))))</f>
        <v>0</v>
      </c>
      <c r="AH1039" s="164">
        <f>IF(BetTable[Outcome3]="Win",BetTable[WBA3-Commission],IF(BetTable[Outcome3]="Win Half Stake",(BetTable[S3]/2)+BetTable[WBA3-Commission]/2,IF(BetTable[Outcome3]="Lose Half Stake",BetTable[S3]/2,IF(BetTable[Outcome3]="Lose",0,IF(BetTable[Outcome3]="Void",BetTable[S3],)))))</f>
        <v>0</v>
      </c>
      <c r="AI1039" s="168">
        <f>IF(BetTable[Outcome]="",AI1038,BetTable[Result]+AI1038)</f>
        <v>1963.1942499999991</v>
      </c>
      <c r="AJ1039" s="160"/>
    </row>
    <row r="1040" spans="1:36" x14ac:dyDescent="0.2">
      <c r="A1040" s="159" t="s">
        <v>2601</v>
      </c>
      <c r="B1040" s="160" t="s">
        <v>200</v>
      </c>
      <c r="C1040" s="161" t="s">
        <v>1714</v>
      </c>
      <c r="D1040" s="161"/>
      <c r="E1040" s="161"/>
      <c r="F1040" s="162"/>
      <c r="G1040" s="162"/>
      <c r="H1040" s="162"/>
      <c r="I1040" s="160" t="s">
        <v>2630</v>
      </c>
      <c r="J1040" s="163">
        <v>1.8</v>
      </c>
      <c r="K1040" s="163"/>
      <c r="L1040" s="163"/>
      <c r="M1040" s="164">
        <v>89</v>
      </c>
      <c r="N1040" s="164"/>
      <c r="O1040" s="164"/>
      <c r="P1040" s="159" t="s">
        <v>508</v>
      </c>
      <c r="Q1040" s="159" t="s">
        <v>581</v>
      </c>
      <c r="R1040" s="159" t="s">
        <v>2631</v>
      </c>
      <c r="S1040" s="165">
        <v>4.6245517025046298E-2</v>
      </c>
      <c r="T1040" s="166" t="s">
        <v>382</v>
      </c>
      <c r="U1040" s="166"/>
      <c r="V1040" s="166"/>
      <c r="W1040" s="167">
        <f>IF(BetTable[Sport]="","",BetTable[Stake]+BetTable[S2]+BetTable[S3])</f>
        <v>89</v>
      </c>
      <c r="X1040" s="164">
        <f>IF(BetTable[Odds]="","",(BetTable[WBA1-Commission])-BetTable[TS])</f>
        <v>71.199999999999989</v>
      </c>
      <c r="Y1040" s="168">
        <f>IF(BetTable[Outcome]="","",BetTable[WBA1]+BetTable[WBA2]+BetTable[WBA3]-BetTable[TS])</f>
        <v>-89</v>
      </c>
      <c r="Z1040" s="164">
        <f>(((BetTable[Odds]-1)*BetTable[Stake])*(1-(BetTable[Comm %]))+BetTable[Stake])</f>
        <v>160.19999999999999</v>
      </c>
      <c r="AA1040" s="164">
        <f>(((BetTable[O2]-1)*BetTable[S2])*(1-(BetTable[C% 2]))+BetTable[S2])</f>
        <v>0</v>
      </c>
      <c r="AB1040" s="164">
        <f>(((BetTable[O3]-1)*BetTable[S3])*(1-(BetTable[C% 3]))+BetTable[S3])</f>
        <v>0</v>
      </c>
      <c r="AC1040" s="165">
        <f>IFERROR(IF(BetTable[Sport]="","",BetTable[R1]/BetTable[TS]),"")</f>
        <v>0.79999999999999982</v>
      </c>
      <c r="AD1040" s="165" t="str">
        <f>IF(BetTable[O2]="","",#REF!/BetTable[TS])</f>
        <v/>
      </c>
      <c r="AE1040" s="165" t="str">
        <f>IFERROR(IF(BetTable[Sport]="","",#REF!/BetTable[TS]),"")</f>
        <v/>
      </c>
      <c r="AF1040" s="164">
        <f>IF(BetTable[Outcome]="Win",BetTable[WBA1-Commission],IF(BetTable[Outcome]="Win Half Stake",(BetTable[Stake]/2)+BetTable[WBA1-Commission]/2,IF(BetTable[Outcome]="Lose Half Stake",BetTable[Stake]/2,IF(BetTable[Outcome]="Lose",0,IF(BetTable[Outcome]="Void",BetTable[Stake],)))))</f>
        <v>0</v>
      </c>
      <c r="AG1040" s="164">
        <f>IF(BetTable[Outcome2]="Win",BetTable[WBA2-Commission],IF(BetTable[Outcome2]="Win Half Stake",(BetTable[S2]/2)+BetTable[WBA2-Commission]/2,IF(BetTable[Outcome2]="Lose Half Stake",BetTable[S2]/2,IF(BetTable[Outcome2]="Lose",0,IF(BetTable[Outcome2]="Void",BetTable[S2],)))))</f>
        <v>0</v>
      </c>
      <c r="AH1040" s="164">
        <f>IF(BetTable[Outcome3]="Win",BetTable[WBA3-Commission],IF(BetTable[Outcome3]="Win Half Stake",(BetTable[S3]/2)+BetTable[WBA3-Commission]/2,IF(BetTable[Outcome3]="Lose Half Stake",BetTable[S3]/2,IF(BetTable[Outcome3]="Lose",0,IF(BetTable[Outcome3]="Void",BetTable[S3],)))))</f>
        <v>0</v>
      </c>
      <c r="AI1040" s="168">
        <f>IF(BetTable[Outcome]="",AI1039,BetTable[Result]+AI1039)</f>
        <v>1874.1942499999991</v>
      </c>
      <c r="AJ1040" s="160"/>
    </row>
    <row r="1041" spans="1:36" x14ac:dyDescent="0.2">
      <c r="A1041" s="159" t="s">
        <v>2601</v>
      </c>
      <c r="B1041" s="160" t="s">
        <v>200</v>
      </c>
      <c r="C1041" s="161" t="s">
        <v>1714</v>
      </c>
      <c r="D1041" s="161"/>
      <c r="E1041" s="161"/>
      <c r="F1041" s="162"/>
      <c r="G1041" s="162"/>
      <c r="H1041" s="162"/>
      <c r="I1041" s="160" t="s">
        <v>2632</v>
      </c>
      <c r="J1041" s="163">
        <v>2.13</v>
      </c>
      <c r="K1041" s="163"/>
      <c r="L1041" s="163"/>
      <c r="M1041" s="164">
        <v>34</v>
      </c>
      <c r="N1041" s="164"/>
      <c r="O1041" s="164"/>
      <c r="P1041" s="159" t="s">
        <v>351</v>
      </c>
      <c r="Q1041" s="159" t="s">
        <v>1132</v>
      </c>
      <c r="R1041" s="159" t="s">
        <v>2633</v>
      </c>
      <c r="S1041" s="165">
        <v>2.44603491689349E-2</v>
      </c>
      <c r="T1041" s="166" t="s">
        <v>382</v>
      </c>
      <c r="U1041" s="166"/>
      <c r="V1041" s="166"/>
      <c r="W1041" s="167">
        <f>IF(BetTable[Sport]="","",BetTable[Stake]+BetTable[S2]+BetTable[S3])</f>
        <v>34</v>
      </c>
      <c r="X1041" s="164">
        <f>IF(BetTable[Odds]="","",(BetTable[WBA1-Commission])-BetTable[TS])</f>
        <v>38.419999999999987</v>
      </c>
      <c r="Y1041" s="168">
        <f>IF(BetTable[Outcome]="","",BetTable[WBA1]+BetTable[WBA2]+BetTable[WBA3]-BetTable[TS])</f>
        <v>-34</v>
      </c>
      <c r="Z1041" s="164">
        <f>(((BetTable[Odds]-1)*BetTable[Stake])*(1-(BetTable[Comm %]))+BetTable[Stake])</f>
        <v>72.419999999999987</v>
      </c>
      <c r="AA1041" s="164">
        <f>(((BetTable[O2]-1)*BetTable[S2])*(1-(BetTable[C% 2]))+BetTable[S2])</f>
        <v>0</v>
      </c>
      <c r="AB1041" s="164">
        <f>(((BetTable[O3]-1)*BetTable[S3])*(1-(BetTable[C% 3]))+BetTable[S3])</f>
        <v>0</v>
      </c>
      <c r="AC1041" s="165">
        <f>IFERROR(IF(BetTable[Sport]="","",BetTable[R1]/BetTable[TS]),"")</f>
        <v>1.1299999999999997</v>
      </c>
      <c r="AD1041" s="165" t="str">
        <f>IF(BetTable[O2]="","",#REF!/BetTable[TS])</f>
        <v/>
      </c>
      <c r="AE1041" s="165" t="str">
        <f>IFERROR(IF(BetTable[Sport]="","",#REF!/BetTable[TS]),"")</f>
        <v/>
      </c>
      <c r="AF1041" s="164">
        <f>IF(BetTable[Outcome]="Win",BetTable[WBA1-Commission],IF(BetTable[Outcome]="Win Half Stake",(BetTable[Stake]/2)+BetTable[WBA1-Commission]/2,IF(BetTable[Outcome]="Lose Half Stake",BetTable[Stake]/2,IF(BetTable[Outcome]="Lose",0,IF(BetTable[Outcome]="Void",BetTable[Stake],)))))</f>
        <v>0</v>
      </c>
      <c r="AG1041" s="164">
        <f>IF(BetTable[Outcome2]="Win",BetTable[WBA2-Commission],IF(BetTable[Outcome2]="Win Half Stake",(BetTable[S2]/2)+BetTable[WBA2-Commission]/2,IF(BetTable[Outcome2]="Lose Half Stake",BetTable[S2]/2,IF(BetTable[Outcome2]="Lose",0,IF(BetTable[Outcome2]="Void",BetTable[S2],)))))</f>
        <v>0</v>
      </c>
      <c r="AH1041" s="164">
        <f>IF(BetTable[Outcome3]="Win",BetTable[WBA3-Commission],IF(BetTable[Outcome3]="Win Half Stake",(BetTable[S3]/2)+BetTable[WBA3-Commission]/2,IF(BetTable[Outcome3]="Lose Half Stake",BetTable[S3]/2,IF(BetTable[Outcome3]="Lose",0,IF(BetTable[Outcome3]="Void",BetTable[S3],)))))</f>
        <v>0</v>
      </c>
      <c r="AI1041" s="168">
        <f>IF(BetTable[Outcome]="",AI1040,BetTable[Result]+AI1040)</f>
        <v>1840.1942499999991</v>
      </c>
      <c r="AJ1041" s="160"/>
    </row>
    <row r="1042" spans="1:36" x14ac:dyDescent="0.2">
      <c r="A1042" s="159" t="s">
        <v>2601</v>
      </c>
      <c r="B1042" s="160" t="s">
        <v>200</v>
      </c>
      <c r="C1042" s="161" t="s">
        <v>1714</v>
      </c>
      <c r="D1042" s="161"/>
      <c r="E1042" s="161"/>
      <c r="F1042" s="162"/>
      <c r="G1042" s="162"/>
      <c r="H1042" s="162"/>
      <c r="I1042" s="160" t="s">
        <v>2634</v>
      </c>
      <c r="J1042" s="163">
        <v>1.6</v>
      </c>
      <c r="K1042" s="163"/>
      <c r="L1042" s="163"/>
      <c r="M1042" s="164">
        <v>62</v>
      </c>
      <c r="N1042" s="164"/>
      <c r="O1042" s="164"/>
      <c r="P1042" s="159" t="s">
        <v>360</v>
      </c>
      <c r="Q1042" s="159" t="s">
        <v>474</v>
      </c>
      <c r="R1042" s="159" t="s">
        <v>2635</v>
      </c>
      <c r="S1042" s="165">
        <v>2.3851494839169599E-2</v>
      </c>
      <c r="T1042" s="166" t="s">
        <v>372</v>
      </c>
      <c r="U1042" s="166"/>
      <c r="V1042" s="166"/>
      <c r="W1042" s="167">
        <f>IF(BetTable[Sport]="","",BetTable[Stake]+BetTable[S2]+BetTable[S3])</f>
        <v>62</v>
      </c>
      <c r="X1042" s="164">
        <f>IF(BetTable[Odds]="","",(BetTable[WBA1-Commission])-BetTable[TS])</f>
        <v>37.200000000000003</v>
      </c>
      <c r="Y1042" s="168">
        <f>IF(BetTable[Outcome]="","",BetTable[WBA1]+BetTable[WBA2]+BetTable[WBA3]-BetTable[TS])</f>
        <v>37.200000000000003</v>
      </c>
      <c r="Z1042" s="164">
        <f>(((BetTable[Odds]-1)*BetTable[Stake])*(1-(BetTable[Comm %]))+BetTable[Stake])</f>
        <v>99.2</v>
      </c>
      <c r="AA1042" s="164">
        <f>(((BetTable[O2]-1)*BetTable[S2])*(1-(BetTable[C% 2]))+BetTable[S2])</f>
        <v>0</v>
      </c>
      <c r="AB1042" s="164">
        <f>(((BetTable[O3]-1)*BetTable[S3])*(1-(BetTable[C% 3]))+BetTable[S3])</f>
        <v>0</v>
      </c>
      <c r="AC1042" s="165">
        <f>IFERROR(IF(BetTable[Sport]="","",BetTable[R1]/BetTable[TS]),"")</f>
        <v>0.60000000000000009</v>
      </c>
      <c r="AD1042" s="165" t="str">
        <f>IF(BetTable[O2]="","",#REF!/BetTable[TS])</f>
        <v/>
      </c>
      <c r="AE1042" s="165" t="str">
        <f>IFERROR(IF(BetTable[Sport]="","",#REF!/BetTable[TS]),"")</f>
        <v/>
      </c>
      <c r="AF1042" s="164">
        <f>IF(BetTable[Outcome]="Win",BetTable[WBA1-Commission],IF(BetTable[Outcome]="Win Half Stake",(BetTable[Stake]/2)+BetTable[WBA1-Commission]/2,IF(BetTable[Outcome]="Lose Half Stake",BetTable[Stake]/2,IF(BetTable[Outcome]="Lose",0,IF(BetTable[Outcome]="Void",BetTable[Stake],)))))</f>
        <v>99.2</v>
      </c>
      <c r="AG1042" s="164">
        <f>IF(BetTable[Outcome2]="Win",BetTable[WBA2-Commission],IF(BetTable[Outcome2]="Win Half Stake",(BetTable[S2]/2)+BetTable[WBA2-Commission]/2,IF(BetTable[Outcome2]="Lose Half Stake",BetTable[S2]/2,IF(BetTable[Outcome2]="Lose",0,IF(BetTable[Outcome2]="Void",BetTable[S2],)))))</f>
        <v>0</v>
      </c>
      <c r="AH1042" s="164">
        <f>IF(BetTable[Outcome3]="Win",BetTable[WBA3-Commission],IF(BetTable[Outcome3]="Win Half Stake",(BetTable[S3]/2)+BetTable[WBA3-Commission]/2,IF(BetTable[Outcome3]="Lose Half Stake",BetTable[S3]/2,IF(BetTable[Outcome3]="Lose",0,IF(BetTable[Outcome3]="Void",BetTable[S3],)))))</f>
        <v>0</v>
      </c>
      <c r="AI1042" s="168">
        <f>IF(BetTable[Outcome]="",AI1041,BetTable[Result]+AI1041)</f>
        <v>1877.3942499999991</v>
      </c>
      <c r="AJ1042" s="160"/>
    </row>
    <row r="1043" spans="1:36" x14ac:dyDescent="0.2">
      <c r="A1043" s="159" t="s">
        <v>2601</v>
      </c>
      <c r="B1043" s="160" t="s">
        <v>200</v>
      </c>
      <c r="C1043" s="161" t="s">
        <v>1714</v>
      </c>
      <c r="D1043" s="161"/>
      <c r="E1043" s="161"/>
      <c r="F1043" s="162"/>
      <c r="G1043" s="162"/>
      <c r="H1043" s="162"/>
      <c r="I1043" s="160" t="s">
        <v>2636</v>
      </c>
      <c r="J1043" s="163">
        <v>1.99</v>
      </c>
      <c r="K1043" s="163"/>
      <c r="L1043" s="163"/>
      <c r="M1043" s="164">
        <v>25</v>
      </c>
      <c r="N1043" s="164"/>
      <c r="O1043" s="164"/>
      <c r="P1043" s="159" t="s">
        <v>469</v>
      </c>
      <c r="Q1043" s="159" t="s">
        <v>506</v>
      </c>
      <c r="R1043" s="159" t="s">
        <v>2637</v>
      </c>
      <c r="S1043" s="165">
        <v>1.62158487421451E-2</v>
      </c>
      <c r="T1043" s="166" t="s">
        <v>382</v>
      </c>
      <c r="U1043" s="166"/>
      <c r="V1043" s="166"/>
      <c r="W1043" s="167">
        <f>IF(BetTable[Sport]="","",BetTable[Stake]+BetTable[S2]+BetTable[S3])</f>
        <v>25</v>
      </c>
      <c r="X1043" s="164">
        <f>IF(BetTable[Odds]="","",(BetTable[WBA1-Commission])-BetTable[TS])</f>
        <v>24.75</v>
      </c>
      <c r="Y1043" s="168">
        <f>IF(BetTable[Outcome]="","",BetTable[WBA1]+BetTable[WBA2]+BetTable[WBA3]-BetTable[TS])</f>
        <v>-25</v>
      </c>
      <c r="Z1043" s="164">
        <f>(((BetTable[Odds]-1)*BetTable[Stake])*(1-(BetTable[Comm %]))+BetTable[Stake])</f>
        <v>49.75</v>
      </c>
      <c r="AA1043" s="164">
        <f>(((BetTable[O2]-1)*BetTable[S2])*(1-(BetTable[C% 2]))+BetTable[S2])</f>
        <v>0</v>
      </c>
      <c r="AB1043" s="164">
        <f>(((BetTable[O3]-1)*BetTable[S3])*(1-(BetTable[C% 3]))+BetTable[S3])</f>
        <v>0</v>
      </c>
      <c r="AC1043" s="165">
        <f>IFERROR(IF(BetTable[Sport]="","",BetTable[R1]/BetTable[TS]),"")</f>
        <v>0.99</v>
      </c>
      <c r="AD1043" s="165" t="str">
        <f>IF(BetTable[O2]="","",#REF!/BetTable[TS])</f>
        <v/>
      </c>
      <c r="AE1043" s="165" t="str">
        <f>IFERROR(IF(BetTable[Sport]="","",#REF!/BetTable[TS]),"")</f>
        <v/>
      </c>
      <c r="AF1043" s="164">
        <f>IF(BetTable[Outcome]="Win",BetTable[WBA1-Commission],IF(BetTable[Outcome]="Win Half Stake",(BetTable[Stake]/2)+BetTable[WBA1-Commission]/2,IF(BetTable[Outcome]="Lose Half Stake",BetTable[Stake]/2,IF(BetTable[Outcome]="Lose",0,IF(BetTable[Outcome]="Void",BetTable[Stake],)))))</f>
        <v>0</v>
      </c>
      <c r="AG1043" s="164">
        <f>IF(BetTable[Outcome2]="Win",BetTable[WBA2-Commission],IF(BetTable[Outcome2]="Win Half Stake",(BetTable[S2]/2)+BetTable[WBA2-Commission]/2,IF(BetTable[Outcome2]="Lose Half Stake",BetTable[S2]/2,IF(BetTable[Outcome2]="Lose",0,IF(BetTable[Outcome2]="Void",BetTable[S2],)))))</f>
        <v>0</v>
      </c>
      <c r="AH1043" s="164">
        <f>IF(BetTable[Outcome3]="Win",BetTable[WBA3-Commission],IF(BetTable[Outcome3]="Win Half Stake",(BetTable[S3]/2)+BetTable[WBA3-Commission]/2,IF(BetTable[Outcome3]="Lose Half Stake",BetTable[S3]/2,IF(BetTable[Outcome3]="Lose",0,IF(BetTable[Outcome3]="Void",BetTable[S3],)))))</f>
        <v>0</v>
      </c>
      <c r="AI1043" s="168">
        <f>IF(BetTable[Outcome]="",AI1042,BetTable[Result]+AI1042)</f>
        <v>1852.3942499999991</v>
      </c>
      <c r="AJ1043" s="160"/>
    </row>
    <row r="1044" spans="1:36" x14ac:dyDescent="0.2">
      <c r="A1044" s="159" t="s">
        <v>2601</v>
      </c>
      <c r="B1044" s="160" t="s">
        <v>200</v>
      </c>
      <c r="C1044" s="161" t="s">
        <v>216</v>
      </c>
      <c r="D1044" s="161"/>
      <c r="E1044" s="161"/>
      <c r="F1044" s="162"/>
      <c r="G1044" s="162"/>
      <c r="H1044" s="162"/>
      <c r="I1044" s="160" t="s">
        <v>2638</v>
      </c>
      <c r="J1044" s="163">
        <v>2.44</v>
      </c>
      <c r="K1044" s="163"/>
      <c r="L1044" s="163"/>
      <c r="M1044" s="164">
        <v>29</v>
      </c>
      <c r="N1044" s="164"/>
      <c r="O1044" s="164"/>
      <c r="P1044" s="159" t="s">
        <v>435</v>
      </c>
      <c r="Q1044" s="159" t="s">
        <v>503</v>
      </c>
      <c r="R1044" s="159" t="s">
        <v>2639</v>
      </c>
      <c r="S1044" s="165">
        <v>2.6809146809146801E-2</v>
      </c>
      <c r="T1044" s="166" t="s">
        <v>382</v>
      </c>
      <c r="U1044" s="166"/>
      <c r="V1044" s="166"/>
      <c r="W1044" s="167">
        <f>IF(BetTable[Sport]="","",BetTable[Stake]+BetTable[S2]+BetTable[S3])</f>
        <v>29</v>
      </c>
      <c r="X1044" s="164">
        <f>IF(BetTable[Odds]="","",(BetTable[WBA1-Commission])-BetTable[TS])</f>
        <v>41.759999999999991</v>
      </c>
      <c r="Y1044" s="168">
        <f>IF(BetTable[Outcome]="","",BetTable[WBA1]+BetTable[WBA2]+BetTable[WBA3]-BetTable[TS])</f>
        <v>-29</v>
      </c>
      <c r="Z1044" s="164">
        <f>(((BetTable[Odds]-1)*BetTable[Stake])*(1-(BetTable[Comm %]))+BetTable[Stake])</f>
        <v>70.759999999999991</v>
      </c>
      <c r="AA1044" s="164">
        <f>(((BetTable[O2]-1)*BetTable[S2])*(1-(BetTable[C% 2]))+BetTable[S2])</f>
        <v>0</v>
      </c>
      <c r="AB1044" s="164">
        <f>(((BetTable[O3]-1)*BetTable[S3])*(1-(BetTable[C% 3]))+BetTable[S3])</f>
        <v>0</v>
      </c>
      <c r="AC1044" s="165">
        <f>IFERROR(IF(BetTable[Sport]="","",BetTable[R1]/BetTable[TS]),"")</f>
        <v>1.4399999999999997</v>
      </c>
      <c r="AD1044" s="165" t="str">
        <f>IF(BetTable[O2]="","",#REF!/BetTable[TS])</f>
        <v/>
      </c>
      <c r="AE1044" s="165" t="str">
        <f>IFERROR(IF(BetTable[Sport]="","",#REF!/BetTable[TS]),"")</f>
        <v/>
      </c>
      <c r="AF1044" s="164">
        <f>IF(BetTable[Outcome]="Win",BetTable[WBA1-Commission],IF(BetTable[Outcome]="Win Half Stake",(BetTable[Stake]/2)+BetTable[WBA1-Commission]/2,IF(BetTable[Outcome]="Lose Half Stake",BetTable[Stake]/2,IF(BetTable[Outcome]="Lose",0,IF(BetTable[Outcome]="Void",BetTable[Stake],)))))</f>
        <v>0</v>
      </c>
      <c r="AG1044" s="164">
        <f>IF(BetTable[Outcome2]="Win",BetTable[WBA2-Commission],IF(BetTable[Outcome2]="Win Half Stake",(BetTable[S2]/2)+BetTable[WBA2-Commission]/2,IF(BetTable[Outcome2]="Lose Half Stake",BetTable[S2]/2,IF(BetTable[Outcome2]="Lose",0,IF(BetTable[Outcome2]="Void",BetTable[S2],)))))</f>
        <v>0</v>
      </c>
      <c r="AH1044" s="164">
        <f>IF(BetTable[Outcome3]="Win",BetTable[WBA3-Commission],IF(BetTable[Outcome3]="Win Half Stake",(BetTable[S3]/2)+BetTable[WBA3-Commission]/2,IF(BetTable[Outcome3]="Lose Half Stake",BetTable[S3]/2,IF(BetTable[Outcome3]="Lose",0,IF(BetTable[Outcome3]="Void",BetTable[S3],)))))</f>
        <v>0</v>
      </c>
      <c r="AI1044" s="168">
        <f>IF(BetTable[Outcome]="",AI1043,BetTable[Result]+AI1043)</f>
        <v>1823.3942499999991</v>
      </c>
      <c r="AJ1044" s="160"/>
    </row>
    <row r="1045" spans="1:36" x14ac:dyDescent="0.2">
      <c r="A1045" s="159" t="s">
        <v>2601</v>
      </c>
      <c r="B1045" s="160" t="s">
        <v>200</v>
      </c>
      <c r="C1045" s="161" t="s">
        <v>1714</v>
      </c>
      <c r="D1045" s="161"/>
      <c r="E1045" s="161"/>
      <c r="F1045" s="162"/>
      <c r="G1045" s="162"/>
      <c r="H1045" s="162"/>
      <c r="I1045" s="160" t="s">
        <v>2640</v>
      </c>
      <c r="J1045" s="163">
        <v>1.92</v>
      </c>
      <c r="K1045" s="163"/>
      <c r="L1045" s="163"/>
      <c r="M1045" s="164">
        <v>60</v>
      </c>
      <c r="N1045" s="164"/>
      <c r="O1045" s="164"/>
      <c r="P1045" s="159" t="s">
        <v>336</v>
      </c>
      <c r="Q1045" s="159" t="s">
        <v>461</v>
      </c>
      <c r="R1045" s="159" t="s">
        <v>2641</v>
      </c>
      <c r="S1045" s="165">
        <v>3.5617342830348897E-2</v>
      </c>
      <c r="T1045" s="166" t="s">
        <v>372</v>
      </c>
      <c r="U1045" s="166"/>
      <c r="V1045" s="166"/>
      <c r="W1045" s="167">
        <f>IF(BetTable[Sport]="","",BetTable[Stake]+BetTable[S2]+BetTable[S3])</f>
        <v>60</v>
      </c>
      <c r="X1045" s="164">
        <f>IF(BetTable[Odds]="","",(BetTable[WBA1-Commission])-BetTable[TS])</f>
        <v>55.199999999999989</v>
      </c>
      <c r="Y1045" s="168">
        <f>IF(BetTable[Outcome]="","",BetTable[WBA1]+BetTable[WBA2]+BetTable[WBA3]-BetTable[TS])</f>
        <v>55.199999999999989</v>
      </c>
      <c r="Z1045" s="164">
        <f>(((BetTable[Odds]-1)*BetTable[Stake])*(1-(BetTable[Comm %]))+BetTable[Stake])</f>
        <v>115.19999999999999</v>
      </c>
      <c r="AA1045" s="164">
        <f>(((BetTable[O2]-1)*BetTable[S2])*(1-(BetTable[C% 2]))+BetTable[S2])</f>
        <v>0</v>
      </c>
      <c r="AB1045" s="164">
        <f>(((BetTable[O3]-1)*BetTable[S3])*(1-(BetTable[C% 3]))+BetTable[S3])</f>
        <v>0</v>
      </c>
      <c r="AC1045" s="165">
        <f>IFERROR(IF(BetTable[Sport]="","",BetTable[R1]/BetTable[TS]),"")</f>
        <v>0.91999999999999982</v>
      </c>
      <c r="AD1045" s="165" t="str">
        <f>IF(BetTable[O2]="","",#REF!/BetTable[TS])</f>
        <v/>
      </c>
      <c r="AE1045" s="165" t="str">
        <f>IFERROR(IF(BetTable[Sport]="","",#REF!/BetTable[TS]),"")</f>
        <v/>
      </c>
      <c r="AF1045" s="164">
        <f>IF(BetTable[Outcome]="Win",BetTable[WBA1-Commission],IF(BetTable[Outcome]="Win Half Stake",(BetTable[Stake]/2)+BetTable[WBA1-Commission]/2,IF(BetTable[Outcome]="Lose Half Stake",BetTable[Stake]/2,IF(BetTable[Outcome]="Lose",0,IF(BetTable[Outcome]="Void",BetTable[Stake],)))))</f>
        <v>115.19999999999999</v>
      </c>
      <c r="AG1045" s="164">
        <f>IF(BetTable[Outcome2]="Win",BetTable[WBA2-Commission],IF(BetTable[Outcome2]="Win Half Stake",(BetTable[S2]/2)+BetTable[WBA2-Commission]/2,IF(BetTable[Outcome2]="Lose Half Stake",BetTable[S2]/2,IF(BetTable[Outcome2]="Lose",0,IF(BetTable[Outcome2]="Void",BetTable[S2],)))))</f>
        <v>0</v>
      </c>
      <c r="AH1045" s="164">
        <f>IF(BetTable[Outcome3]="Win",BetTable[WBA3-Commission],IF(BetTable[Outcome3]="Win Half Stake",(BetTable[S3]/2)+BetTable[WBA3-Commission]/2,IF(BetTable[Outcome3]="Lose Half Stake",BetTable[S3]/2,IF(BetTable[Outcome3]="Lose",0,IF(BetTable[Outcome3]="Void",BetTable[S3],)))))</f>
        <v>0</v>
      </c>
      <c r="AI1045" s="168">
        <f>IF(BetTable[Outcome]="",AI1044,BetTable[Result]+AI1044)</f>
        <v>1878.5942499999992</v>
      </c>
      <c r="AJ1045" s="160"/>
    </row>
    <row r="1046" spans="1:36" x14ac:dyDescent="0.2">
      <c r="A1046" s="159" t="s">
        <v>2601</v>
      </c>
      <c r="B1046" s="160" t="s">
        <v>200</v>
      </c>
      <c r="C1046" s="161" t="s">
        <v>1714</v>
      </c>
      <c r="D1046" s="161"/>
      <c r="E1046" s="161"/>
      <c r="F1046" s="162"/>
      <c r="G1046" s="162"/>
      <c r="H1046" s="162"/>
      <c r="I1046" s="160" t="s">
        <v>2642</v>
      </c>
      <c r="J1046" s="163">
        <v>3.05</v>
      </c>
      <c r="K1046" s="163"/>
      <c r="L1046" s="163"/>
      <c r="M1046" s="164">
        <v>27</v>
      </c>
      <c r="N1046" s="164"/>
      <c r="O1046" s="164"/>
      <c r="P1046" s="159" t="s">
        <v>494</v>
      </c>
      <c r="Q1046" s="159" t="s">
        <v>503</v>
      </c>
      <c r="R1046" s="159" t="s">
        <v>2643</v>
      </c>
      <c r="S1046" s="165">
        <v>3.6283191623187799E-2</v>
      </c>
      <c r="T1046" s="166" t="s">
        <v>382</v>
      </c>
      <c r="U1046" s="166"/>
      <c r="V1046" s="166"/>
      <c r="W1046" s="167">
        <f>IF(BetTable[Sport]="","",BetTable[Stake]+BetTable[S2]+BetTable[S3])</f>
        <v>27</v>
      </c>
      <c r="X1046" s="164">
        <f>IF(BetTable[Odds]="","",(BetTable[WBA1-Commission])-BetTable[TS])</f>
        <v>55.349999999999994</v>
      </c>
      <c r="Y1046" s="168">
        <f>IF(BetTable[Outcome]="","",BetTable[WBA1]+BetTable[WBA2]+BetTable[WBA3]-BetTable[TS])</f>
        <v>-27</v>
      </c>
      <c r="Z1046" s="164">
        <f>(((BetTable[Odds]-1)*BetTable[Stake])*(1-(BetTable[Comm %]))+BetTable[Stake])</f>
        <v>82.35</v>
      </c>
      <c r="AA1046" s="164">
        <f>(((BetTable[O2]-1)*BetTable[S2])*(1-(BetTable[C% 2]))+BetTable[S2])</f>
        <v>0</v>
      </c>
      <c r="AB1046" s="164">
        <f>(((BetTable[O3]-1)*BetTable[S3])*(1-(BetTable[C% 3]))+BetTable[S3])</f>
        <v>0</v>
      </c>
      <c r="AC1046" s="165">
        <f>IFERROR(IF(BetTable[Sport]="","",BetTable[R1]/BetTable[TS]),"")</f>
        <v>2.0499999999999998</v>
      </c>
      <c r="AD1046" s="165" t="str">
        <f>IF(BetTable[O2]="","",#REF!/BetTable[TS])</f>
        <v/>
      </c>
      <c r="AE1046" s="165" t="str">
        <f>IFERROR(IF(BetTable[Sport]="","",#REF!/BetTable[TS]),"")</f>
        <v/>
      </c>
      <c r="AF1046" s="164">
        <f>IF(BetTable[Outcome]="Win",BetTable[WBA1-Commission],IF(BetTable[Outcome]="Win Half Stake",(BetTable[Stake]/2)+BetTable[WBA1-Commission]/2,IF(BetTable[Outcome]="Lose Half Stake",BetTable[Stake]/2,IF(BetTable[Outcome]="Lose",0,IF(BetTable[Outcome]="Void",BetTable[Stake],)))))</f>
        <v>0</v>
      </c>
      <c r="AG1046" s="164">
        <f>IF(BetTable[Outcome2]="Win",BetTable[WBA2-Commission],IF(BetTable[Outcome2]="Win Half Stake",(BetTable[S2]/2)+BetTable[WBA2-Commission]/2,IF(BetTable[Outcome2]="Lose Half Stake",BetTable[S2]/2,IF(BetTable[Outcome2]="Lose",0,IF(BetTable[Outcome2]="Void",BetTable[S2],)))))</f>
        <v>0</v>
      </c>
      <c r="AH1046" s="164">
        <f>IF(BetTable[Outcome3]="Win",BetTable[WBA3-Commission],IF(BetTable[Outcome3]="Win Half Stake",(BetTable[S3]/2)+BetTable[WBA3-Commission]/2,IF(BetTable[Outcome3]="Lose Half Stake",BetTable[S3]/2,IF(BetTable[Outcome3]="Lose",0,IF(BetTable[Outcome3]="Void",BetTable[S3],)))))</f>
        <v>0</v>
      </c>
      <c r="AI1046" s="168">
        <f>IF(BetTable[Outcome]="",AI1045,BetTable[Result]+AI1045)</f>
        <v>1851.5942499999992</v>
      </c>
      <c r="AJ1046" s="160"/>
    </row>
    <row r="1047" spans="1:36" x14ac:dyDescent="0.2">
      <c r="A1047" s="159" t="s">
        <v>2601</v>
      </c>
      <c r="B1047" s="160" t="s">
        <v>200</v>
      </c>
      <c r="C1047" s="161" t="s">
        <v>1714</v>
      </c>
      <c r="D1047" s="161"/>
      <c r="E1047" s="161"/>
      <c r="F1047" s="162"/>
      <c r="G1047" s="162"/>
      <c r="H1047" s="162"/>
      <c r="I1047" s="160" t="s">
        <v>2644</v>
      </c>
      <c r="J1047" s="163">
        <v>1.98</v>
      </c>
      <c r="K1047" s="163"/>
      <c r="L1047" s="163"/>
      <c r="M1047" s="164">
        <v>27</v>
      </c>
      <c r="N1047" s="164"/>
      <c r="O1047" s="164"/>
      <c r="P1047" s="159" t="s">
        <v>635</v>
      </c>
      <c r="Q1047" s="159" t="s">
        <v>482</v>
      </c>
      <c r="R1047" s="159" t="s">
        <v>2645</v>
      </c>
      <c r="S1047" s="165">
        <v>1.6960884790959599E-2</v>
      </c>
      <c r="T1047" s="166" t="s">
        <v>372</v>
      </c>
      <c r="U1047" s="166"/>
      <c r="V1047" s="166"/>
      <c r="W1047" s="167">
        <f>IF(BetTable[Sport]="","",BetTable[Stake]+BetTable[S2]+BetTable[S3])</f>
        <v>27</v>
      </c>
      <c r="X1047" s="164">
        <f>IF(BetTable[Odds]="","",(BetTable[WBA1-Commission])-BetTable[TS])</f>
        <v>26.46</v>
      </c>
      <c r="Y1047" s="168">
        <f>IF(BetTable[Outcome]="","",BetTable[WBA1]+BetTable[WBA2]+BetTable[WBA3]-BetTable[TS])</f>
        <v>26.46</v>
      </c>
      <c r="Z1047" s="164">
        <f>(((BetTable[Odds]-1)*BetTable[Stake])*(1-(BetTable[Comm %]))+BetTable[Stake])</f>
        <v>53.46</v>
      </c>
      <c r="AA1047" s="164">
        <f>(((BetTable[O2]-1)*BetTable[S2])*(1-(BetTable[C% 2]))+BetTable[S2])</f>
        <v>0</v>
      </c>
      <c r="AB1047" s="164">
        <f>(((BetTable[O3]-1)*BetTable[S3])*(1-(BetTable[C% 3]))+BetTable[S3])</f>
        <v>0</v>
      </c>
      <c r="AC1047" s="165">
        <f>IFERROR(IF(BetTable[Sport]="","",BetTable[R1]/BetTable[TS]),"")</f>
        <v>0.98</v>
      </c>
      <c r="AD1047" s="165" t="str">
        <f>IF(BetTable[O2]="","",#REF!/BetTable[TS])</f>
        <v/>
      </c>
      <c r="AE1047" s="165" t="str">
        <f>IFERROR(IF(BetTable[Sport]="","",#REF!/BetTable[TS]),"")</f>
        <v/>
      </c>
      <c r="AF1047" s="164">
        <f>IF(BetTable[Outcome]="Win",BetTable[WBA1-Commission],IF(BetTable[Outcome]="Win Half Stake",(BetTable[Stake]/2)+BetTable[WBA1-Commission]/2,IF(BetTable[Outcome]="Lose Half Stake",BetTable[Stake]/2,IF(BetTable[Outcome]="Lose",0,IF(BetTable[Outcome]="Void",BetTable[Stake],)))))</f>
        <v>53.46</v>
      </c>
      <c r="AG1047" s="164">
        <f>IF(BetTable[Outcome2]="Win",BetTable[WBA2-Commission],IF(BetTable[Outcome2]="Win Half Stake",(BetTable[S2]/2)+BetTable[WBA2-Commission]/2,IF(BetTable[Outcome2]="Lose Half Stake",BetTable[S2]/2,IF(BetTable[Outcome2]="Lose",0,IF(BetTable[Outcome2]="Void",BetTable[S2],)))))</f>
        <v>0</v>
      </c>
      <c r="AH1047" s="164">
        <f>IF(BetTable[Outcome3]="Win",BetTable[WBA3-Commission],IF(BetTable[Outcome3]="Win Half Stake",(BetTable[S3]/2)+BetTable[WBA3-Commission]/2,IF(BetTable[Outcome3]="Lose Half Stake",BetTable[S3]/2,IF(BetTable[Outcome3]="Lose",0,IF(BetTable[Outcome3]="Void",BetTable[S3],)))))</f>
        <v>0</v>
      </c>
      <c r="AI1047" s="168">
        <f>IF(BetTable[Outcome]="",AI1046,BetTable[Result]+AI1046)</f>
        <v>1878.0542499999992</v>
      </c>
      <c r="AJ1047" s="160"/>
    </row>
    <row r="1048" spans="1:36" x14ac:dyDescent="0.2">
      <c r="A1048" s="159" t="s">
        <v>2601</v>
      </c>
      <c r="B1048" s="160" t="s">
        <v>7</v>
      </c>
      <c r="C1048" s="161" t="s">
        <v>91</v>
      </c>
      <c r="D1048" s="161"/>
      <c r="E1048" s="161"/>
      <c r="F1048" s="162"/>
      <c r="G1048" s="162"/>
      <c r="H1048" s="162"/>
      <c r="I1048" s="160" t="s">
        <v>2646</v>
      </c>
      <c r="J1048" s="163">
        <v>1.87</v>
      </c>
      <c r="K1048" s="163"/>
      <c r="L1048" s="163"/>
      <c r="M1048" s="164">
        <v>33</v>
      </c>
      <c r="N1048" s="164"/>
      <c r="O1048" s="164"/>
      <c r="P1048" s="159" t="s">
        <v>1268</v>
      </c>
      <c r="Q1048" s="159" t="s">
        <v>474</v>
      </c>
      <c r="R1048" s="159" t="s">
        <v>2647</v>
      </c>
      <c r="S1048" s="165">
        <v>1.8576221692203E-2</v>
      </c>
      <c r="T1048" s="166" t="s">
        <v>372</v>
      </c>
      <c r="U1048" s="166"/>
      <c r="V1048" s="166"/>
      <c r="W1048" s="167">
        <f>IF(BetTable[Sport]="","",BetTable[Stake]+BetTable[S2]+BetTable[S3])</f>
        <v>33</v>
      </c>
      <c r="X1048" s="164">
        <f>IF(BetTable[Odds]="","",(BetTable[WBA1-Commission])-BetTable[TS])</f>
        <v>28.710000000000008</v>
      </c>
      <c r="Y1048" s="168">
        <f>IF(BetTable[Outcome]="","",BetTable[WBA1]+BetTable[WBA2]+BetTable[WBA3]-BetTable[TS])</f>
        <v>28.710000000000008</v>
      </c>
      <c r="Z1048" s="164">
        <f>(((BetTable[Odds]-1)*BetTable[Stake])*(1-(BetTable[Comm %]))+BetTable[Stake])</f>
        <v>61.710000000000008</v>
      </c>
      <c r="AA1048" s="164">
        <f>(((BetTable[O2]-1)*BetTable[S2])*(1-(BetTable[C% 2]))+BetTable[S2])</f>
        <v>0</v>
      </c>
      <c r="AB1048" s="164">
        <f>(((BetTable[O3]-1)*BetTable[S3])*(1-(BetTable[C% 3]))+BetTable[S3])</f>
        <v>0</v>
      </c>
      <c r="AC1048" s="165">
        <f>IFERROR(IF(BetTable[Sport]="","",BetTable[R1]/BetTable[TS]),"")</f>
        <v>0.87000000000000022</v>
      </c>
      <c r="AD1048" s="165" t="str">
        <f>IF(BetTable[O2]="","",#REF!/BetTable[TS])</f>
        <v/>
      </c>
      <c r="AE1048" s="165" t="str">
        <f>IFERROR(IF(BetTable[Sport]="","",#REF!/BetTable[TS]),"")</f>
        <v/>
      </c>
      <c r="AF1048" s="164">
        <f>IF(BetTable[Outcome]="Win",BetTable[WBA1-Commission],IF(BetTable[Outcome]="Win Half Stake",(BetTable[Stake]/2)+BetTable[WBA1-Commission]/2,IF(BetTable[Outcome]="Lose Half Stake",BetTable[Stake]/2,IF(BetTable[Outcome]="Lose",0,IF(BetTable[Outcome]="Void",BetTable[Stake],)))))</f>
        <v>61.710000000000008</v>
      </c>
      <c r="AG1048" s="164">
        <f>IF(BetTable[Outcome2]="Win",BetTable[WBA2-Commission],IF(BetTable[Outcome2]="Win Half Stake",(BetTable[S2]/2)+BetTable[WBA2-Commission]/2,IF(BetTable[Outcome2]="Lose Half Stake",BetTable[S2]/2,IF(BetTable[Outcome2]="Lose",0,IF(BetTable[Outcome2]="Void",BetTable[S2],)))))</f>
        <v>0</v>
      </c>
      <c r="AH1048" s="164">
        <f>IF(BetTable[Outcome3]="Win",BetTable[WBA3-Commission],IF(BetTable[Outcome3]="Win Half Stake",(BetTable[S3]/2)+BetTable[WBA3-Commission]/2,IF(BetTable[Outcome3]="Lose Half Stake",BetTable[S3]/2,IF(BetTable[Outcome3]="Lose",0,IF(BetTable[Outcome3]="Void",BetTable[S3],)))))</f>
        <v>0</v>
      </c>
      <c r="AI1048" s="168">
        <f>IF(BetTable[Outcome]="",AI1047,BetTable[Result]+AI1047)</f>
        <v>1906.7642499999993</v>
      </c>
      <c r="AJ1048" s="160"/>
    </row>
    <row r="1049" spans="1:36" x14ac:dyDescent="0.2">
      <c r="A1049" s="159" t="s">
        <v>2601</v>
      </c>
      <c r="B1049" s="160" t="s">
        <v>200</v>
      </c>
      <c r="C1049" s="161" t="s">
        <v>1714</v>
      </c>
      <c r="D1049" s="161"/>
      <c r="E1049" s="161"/>
      <c r="F1049" s="162"/>
      <c r="G1049" s="162"/>
      <c r="H1049" s="162"/>
      <c r="I1049" s="160" t="s">
        <v>2648</v>
      </c>
      <c r="J1049" s="163">
        <v>1.81</v>
      </c>
      <c r="K1049" s="163"/>
      <c r="L1049" s="163"/>
      <c r="M1049" s="164">
        <v>39</v>
      </c>
      <c r="N1049" s="164"/>
      <c r="O1049" s="164"/>
      <c r="P1049" s="159" t="s">
        <v>782</v>
      </c>
      <c r="Q1049" s="159" t="s">
        <v>552</v>
      </c>
      <c r="R1049" s="159" t="s">
        <v>2649</v>
      </c>
      <c r="S1049" s="165">
        <v>2.0521544382194699E-2</v>
      </c>
      <c r="T1049" s="166" t="s">
        <v>382</v>
      </c>
      <c r="U1049" s="166"/>
      <c r="V1049" s="166"/>
      <c r="W1049" s="167">
        <f>IF(BetTable[Sport]="","",BetTable[Stake]+BetTable[S2]+BetTable[S3])</f>
        <v>39</v>
      </c>
      <c r="X1049" s="164">
        <f>IF(BetTable[Odds]="","",(BetTable[WBA1-Commission])-BetTable[TS])</f>
        <v>31.590000000000003</v>
      </c>
      <c r="Y1049" s="168">
        <f>IF(BetTable[Outcome]="","",BetTable[WBA1]+BetTable[WBA2]+BetTable[WBA3]-BetTable[TS])</f>
        <v>-39</v>
      </c>
      <c r="Z1049" s="164">
        <f>(((BetTable[Odds]-1)*BetTable[Stake])*(1-(BetTable[Comm %]))+BetTable[Stake])</f>
        <v>70.59</v>
      </c>
      <c r="AA1049" s="164">
        <f>(((BetTable[O2]-1)*BetTable[S2])*(1-(BetTable[C% 2]))+BetTable[S2])</f>
        <v>0</v>
      </c>
      <c r="AB1049" s="164">
        <f>(((BetTable[O3]-1)*BetTable[S3])*(1-(BetTable[C% 3]))+BetTable[S3])</f>
        <v>0</v>
      </c>
      <c r="AC1049" s="165">
        <f>IFERROR(IF(BetTable[Sport]="","",BetTable[R1]/BetTable[TS]),"")</f>
        <v>0.81</v>
      </c>
      <c r="AD1049" s="165" t="str">
        <f>IF(BetTable[O2]="","",#REF!/BetTable[TS])</f>
        <v/>
      </c>
      <c r="AE1049" s="165" t="str">
        <f>IFERROR(IF(BetTable[Sport]="","",#REF!/BetTable[TS]),"")</f>
        <v/>
      </c>
      <c r="AF1049" s="164">
        <f>IF(BetTable[Outcome]="Win",BetTable[WBA1-Commission],IF(BetTable[Outcome]="Win Half Stake",(BetTable[Stake]/2)+BetTable[WBA1-Commission]/2,IF(BetTable[Outcome]="Lose Half Stake",BetTable[Stake]/2,IF(BetTable[Outcome]="Lose",0,IF(BetTable[Outcome]="Void",BetTable[Stake],)))))</f>
        <v>0</v>
      </c>
      <c r="AG1049" s="164">
        <f>IF(BetTable[Outcome2]="Win",BetTable[WBA2-Commission],IF(BetTable[Outcome2]="Win Half Stake",(BetTable[S2]/2)+BetTable[WBA2-Commission]/2,IF(BetTable[Outcome2]="Lose Half Stake",BetTable[S2]/2,IF(BetTable[Outcome2]="Lose",0,IF(BetTable[Outcome2]="Void",BetTable[S2],)))))</f>
        <v>0</v>
      </c>
      <c r="AH1049" s="164">
        <f>IF(BetTable[Outcome3]="Win",BetTable[WBA3-Commission],IF(BetTable[Outcome3]="Win Half Stake",(BetTable[S3]/2)+BetTable[WBA3-Commission]/2,IF(BetTable[Outcome3]="Lose Half Stake",BetTable[S3]/2,IF(BetTable[Outcome3]="Lose",0,IF(BetTable[Outcome3]="Void",BetTable[S3],)))))</f>
        <v>0</v>
      </c>
      <c r="AI1049" s="168">
        <f>IF(BetTable[Outcome]="",AI1048,BetTable[Result]+AI1048)</f>
        <v>1867.7642499999993</v>
      </c>
      <c r="AJ1049" s="160"/>
    </row>
    <row r="1050" spans="1:36" x14ac:dyDescent="0.2">
      <c r="A1050" s="159" t="s">
        <v>2601</v>
      </c>
      <c r="B1050" s="160" t="s">
        <v>200</v>
      </c>
      <c r="C1050" s="161" t="s">
        <v>1714</v>
      </c>
      <c r="D1050" s="161"/>
      <c r="E1050" s="161"/>
      <c r="F1050" s="162"/>
      <c r="G1050" s="162"/>
      <c r="H1050" s="162"/>
      <c r="I1050" s="160" t="s">
        <v>2650</v>
      </c>
      <c r="J1050" s="163">
        <v>1.93</v>
      </c>
      <c r="K1050" s="163"/>
      <c r="L1050" s="163"/>
      <c r="M1050" s="164">
        <v>42</v>
      </c>
      <c r="N1050" s="164"/>
      <c r="O1050" s="164"/>
      <c r="P1050" s="159" t="s">
        <v>498</v>
      </c>
      <c r="Q1050" s="159" t="s">
        <v>677</v>
      </c>
      <c r="R1050" s="159" t="s">
        <v>2651</v>
      </c>
      <c r="S1050" s="165">
        <v>2.5534763485827099E-2</v>
      </c>
      <c r="T1050" s="166" t="s">
        <v>382</v>
      </c>
      <c r="U1050" s="166"/>
      <c r="V1050" s="166"/>
      <c r="W1050" s="167">
        <f>IF(BetTable[Sport]="","",BetTable[Stake]+BetTable[S2]+BetTable[S3])</f>
        <v>42</v>
      </c>
      <c r="X1050" s="164">
        <f>IF(BetTable[Odds]="","",(BetTable[WBA1-Commission])-BetTable[TS])</f>
        <v>39.06</v>
      </c>
      <c r="Y1050" s="168">
        <f>IF(BetTable[Outcome]="","",BetTable[WBA1]+BetTable[WBA2]+BetTable[WBA3]-BetTable[TS])</f>
        <v>-42</v>
      </c>
      <c r="Z1050" s="164">
        <f>(((BetTable[Odds]-1)*BetTable[Stake])*(1-(BetTable[Comm %]))+BetTable[Stake])</f>
        <v>81.06</v>
      </c>
      <c r="AA1050" s="164">
        <f>(((BetTable[O2]-1)*BetTable[S2])*(1-(BetTable[C% 2]))+BetTable[S2])</f>
        <v>0</v>
      </c>
      <c r="AB1050" s="164">
        <f>(((BetTable[O3]-1)*BetTable[S3])*(1-(BetTable[C% 3]))+BetTable[S3])</f>
        <v>0</v>
      </c>
      <c r="AC1050" s="165">
        <f>IFERROR(IF(BetTable[Sport]="","",BetTable[R1]/BetTable[TS]),"")</f>
        <v>0.93</v>
      </c>
      <c r="AD1050" s="165" t="str">
        <f>IF(BetTable[O2]="","",#REF!/BetTable[TS])</f>
        <v/>
      </c>
      <c r="AE1050" s="165" t="str">
        <f>IFERROR(IF(BetTable[Sport]="","",#REF!/BetTable[TS]),"")</f>
        <v/>
      </c>
      <c r="AF1050" s="164">
        <f>IF(BetTable[Outcome]="Win",BetTable[WBA1-Commission],IF(BetTable[Outcome]="Win Half Stake",(BetTable[Stake]/2)+BetTable[WBA1-Commission]/2,IF(BetTable[Outcome]="Lose Half Stake",BetTable[Stake]/2,IF(BetTable[Outcome]="Lose",0,IF(BetTable[Outcome]="Void",BetTable[Stake],)))))</f>
        <v>0</v>
      </c>
      <c r="AG1050" s="164">
        <f>IF(BetTable[Outcome2]="Win",BetTable[WBA2-Commission],IF(BetTable[Outcome2]="Win Half Stake",(BetTable[S2]/2)+BetTable[WBA2-Commission]/2,IF(BetTable[Outcome2]="Lose Half Stake",BetTable[S2]/2,IF(BetTable[Outcome2]="Lose",0,IF(BetTable[Outcome2]="Void",BetTable[S2],)))))</f>
        <v>0</v>
      </c>
      <c r="AH1050" s="164">
        <f>IF(BetTable[Outcome3]="Win",BetTable[WBA3-Commission],IF(BetTable[Outcome3]="Win Half Stake",(BetTable[S3]/2)+BetTable[WBA3-Commission]/2,IF(BetTable[Outcome3]="Lose Half Stake",BetTable[S3]/2,IF(BetTable[Outcome3]="Lose",0,IF(BetTable[Outcome3]="Void",BetTable[S3],)))))</f>
        <v>0</v>
      </c>
      <c r="AI1050" s="168">
        <f>IF(BetTable[Outcome]="",AI1049,BetTable[Result]+AI1049)</f>
        <v>1825.7642499999993</v>
      </c>
      <c r="AJ1050" s="160"/>
    </row>
    <row r="1051" spans="1:36" x14ac:dyDescent="0.2">
      <c r="A1051" s="159" t="s">
        <v>2601</v>
      </c>
      <c r="B1051" s="160" t="s">
        <v>8</v>
      </c>
      <c r="C1051" s="161" t="s">
        <v>91</v>
      </c>
      <c r="D1051" s="161"/>
      <c r="E1051" s="161"/>
      <c r="F1051" s="162"/>
      <c r="G1051" s="162"/>
      <c r="H1051" s="162"/>
      <c r="I1051" s="160" t="s">
        <v>2652</v>
      </c>
      <c r="J1051" s="163">
        <v>2.23</v>
      </c>
      <c r="K1051" s="163"/>
      <c r="L1051" s="163"/>
      <c r="M1051" s="164">
        <v>50</v>
      </c>
      <c r="N1051" s="164"/>
      <c r="O1051" s="164"/>
      <c r="P1051" s="159" t="s">
        <v>428</v>
      </c>
      <c r="Q1051" s="159" t="s">
        <v>495</v>
      </c>
      <c r="R1051" s="159" t="s">
        <v>2653</v>
      </c>
      <c r="S1051" s="165">
        <v>3.9931184248571797E-2</v>
      </c>
      <c r="T1051" s="166" t="s">
        <v>372</v>
      </c>
      <c r="U1051" s="166"/>
      <c r="V1051" s="166"/>
      <c r="W1051" s="167">
        <f>IF(BetTable[Sport]="","",BetTable[Stake]+BetTable[S2]+BetTable[S3])</f>
        <v>50</v>
      </c>
      <c r="X1051" s="164">
        <f>IF(BetTable[Odds]="","",(BetTable[WBA1-Commission])-BetTable[TS])</f>
        <v>61.5</v>
      </c>
      <c r="Y1051" s="168">
        <f>IF(BetTable[Outcome]="","",BetTable[WBA1]+BetTable[WBA2]+BetTable[WBA3]-BetTable[TS])</f>
        <v>61.5</v>
      </c>
      <c r="Z1051" s="164">
        <f>(((BetTable[Odds]-1)*BetTable[Stake])*(1-(BetTable[Comm %]))+BetTable[Stake])</f>
        <v>111.5</v>
      </c>
      <c r="AA1051" s="164">
        <f>(((BetTable[O2]-1)*BetTable[S2])*(1-(BetTable[C% 2]))+BetTable[S2])</f>
        <v>0</v>
      </c>
      <c r="AB1051" s="164">
        <f>(((BetTable[O3]-1)*BetTable[S3])*(1-(BetTable[C% 3]))+BetTable[S3])</f>
        <v>0</v>
      </c>
      <c r="AC1051" s="165">
        <f>IFERROR(IF(BetTable[Sport]="","",BetTable[R1]/BetTable[TS]),"")</f>
        <v>1.23</v>
      </c>
      <c r="AD1051" s="165" t="str">
        <f>IF(BetTable[O2]="","",#REF!/BetTable[TS])</f>
        <v/>
      </c>
      <c r="AE1051" s="165" t="str">
        <f>IFERROR(IF(BetTable[Sport]="","",#REF!/BetTable[TS]),"")</f>
        <v/>
      </c>
      <c r="AF1051" s="164">
        <f>IF(BetTable[Outcome]="Win",BetTable[WBA1-Commission],IF(BetTable[Outcome]="Win Half Stake",(BetTable[Stake]/2)+BetTable[WBA1-Commission]/2,IF(BetTable[Outcome]="Lose Half Stake",BetTable[Stake]/2,IF(BetTable[Outcome]="Lose",0,IF(BetTable[Outcome]="Void",BetTable[Stake],)))))</f>
        <v>111.5</v>
      </c>
      <c r="AG1051" s="164">
        <f>IF(BetTable[Outcome2]="Win",BetTable[WBA2-Commission],IF(BetTable[Outcome2]="Win Half Stake",(BetTable[S2]/2)+BetTable[WBA2-Commission]/2,IF(BetTable[Outcome2]="Lose Half Stake",BetTable[S2]/2,IF(BetTable[Outcome2]="Lose",0,IF(BetTable[Outcome2]="Void",BetTable[S2],)))))</f>
        <v>0</v>
      </c>
      <c r="AH1051" s="164">
        <f>IF(BetTable[Outcome3]="Win",BetTable[WBA3-Commission],IF(BetTable[Outcome3]="Win Half Stake",(BetTable[S3]/2)+BetTable[WBA3-Commission]/2,IF(BetTable[Outcome3]="Lose Half Stake",BetTable[S3]/2,IF(BetTable[Outcome3]="Lose",0,IF(BetTable[Outcome3]="Void",BetTable[S3],)))))</f>
        <v>0</v>
      </c>
      <c r="AI1051" s="168">
        <f>IF(BetTable[Outcome]="",AI1050,BetTable[Result]+AI1050)</f>
        <v>1887.2642499999993</v>
      </c>
      <c r="AJ1051" s="160"/>
    </row>
    <row r="1052" spans="1:36" x14ac:dyDescent="0.2">
      <c r="A1052" s="159" t="s">
        <v>2601</v>
      </c>
      <c r="B1052" s="160" t="s">
        <v>200</v>
      </c>
      <c r="C1052" s="161" t="s">
        <v>1714</v>
      </c>
      <c r="D1052" s="161"/>
      <c r="E1052" s="161"/>
      <c r="F1052" s="162"/>
      <c r="G1052" s="162"/>
      <c r="H1052" s="162"/>
      <c r="I1052" s="160" t="s">
        <v>2654</v>
      </c>
      <c r="J1052" s="163">
        <v>1.86</v>
      </c>
      <c r="K1052" s="163"/>
      <c r="L1052" s="163"/>
      <c r="M1052" s="164">
        <v>38</v>
      </c>
      <c r="N1052" s="164"/>
      <c r="O1052" s="164"/>
      <c r="P1052" s="159" t="s">
        <v>435</v>
      </c>
      <c r="Q1052" s="159" t="s">
        <v>503</v>
      </c>
      <c r="R1052" s="159" t="s">
        <v>2655</v>
      </c>
      <c r="S1052" s="165">
        <v>2.1185114966488901E-2</v>
      </c>
      <c r="T1052" s="166" t="s">
        <v>372</v>
      </c>
      <c r="U1052" s="166"/>
      <c r="V1052" s="166"/>
      <c r="W1052" s="167">
        <f>IF(BetTable[Sport]="","",BetTable[Stake]+BetTable[S2]+BetTable[S3])</f>
        <v>38</v>
      </c>
      <c r="X1052" s="164">
        <f>IF(BetTable[Odds]="","",(BetTable[WBA1-Commission])-BetTable[TS])</f>
        <v>32.680000000000007</v>
      </c>
      <c r="Y1052" s="168">
        <f>IF(BetTable[Outcome]="","",BetTable[WBA1]+BetTable[WBA2]+BetTable[WBA3]-BetTable[TS])</f>
        <v>32.680000000000007</v>
      </c>
      <c r="Z1052" s="164">
        <f>(((BetTable[Odds]-1)*BetTable[Stake])*(1-(BetTable[Comm %]))+BetTable[Stake])</f>
        <v>70.680000000000007</v>
      </c>
      <c r="AA1052" s="164">
        <f>(((BetTable[O2]-1)*BetTable[S2])*(1-(BetTable[C% 2]))+BetTable[S2])</f>
        <v>0</v>
      </c>
      <c r="AB1052" s="164">
        <f>(((BetTable[O3]-1)*BetTable[S3])*(1-(BetTable[C% 3]))+BetTable[S3])</f>
        <v>0</v>
      </c>
      <c r="AC1052" s="165">
        <f>IFERROR(IF(BetTable[Sport]="","",BetTable[R1]/BetTable[TS]),"")</f>
        <v>0.86000000000000021</v>
      </c>
      <c r="AD1052" s="165" t="str">
        <f>IF(BetTable[O2]="","",#REF!/BetTable[TS])</f>
        <v/>
      </c>
      <c r="AE1052" s="165" t="str">
        <f>IFERROR(IF(BetTable[Sport]="","",#REF!/BetTable[TS]),"")</f>
        <v/>
      </c>
      <c r="AF1052" s="164">
        <f>IF(BetTable[Outcome]="Win",BetTable[WBA1-Commission],IF(BetTable[Outcome]="Win Half Stake",(BetTable[Stake]/2)+BetTable[WBA1-Commission]/2,IF(BetTable[Outcome]="Lose Half Stake",BetTable[Stake]/2,IF(BetTable[Outcome]="Lose",0,IF(BetTable[Outcome]="Void",BetTable[Stake],)))))</f>
        <v>70.680000000000007</v>
      </c>
      <c r="AG1052" s="164">
        <f>IF(BetTable[Outcome2]="Win",BetTable[WBA2-Commission],IF(BetTable[Outcome2]="Win Half Stake",(BetTable[S2]/2)+BetTable[WBA2-Commission]/2,IF(BetTable[Outcome2]="Lose Half Stake",BetTable[S2]/2,IF(BetTable[Outcome2]="Lose",0,IF(BetTable[Outcome2]="Void",BetTable[S2],)))))</f>
        <v>0</v>
      </c>
      <c r="AH1052" s="164">
        <f>IF(BetTable[Outcome3]="Win",BetTable[WBA3-Commission],IF(BetTable[Outcome3]="Win Half Stake",(BetTable[S3]/2)+BetTable[WBA3-Commission]/2,IF(BetTable[Outcome3]="Lose Half Stake",BetTable[S3]/2,IF(BetTable[Outcome3]="Lose",0,IF(BetTable[Outcome3]="Void",BetTable[S3],)))))</f>
        <v>0</v>
      </c>
      <c r="AI1052" s="168">
        <f>IF(BetTable[Outcome]="",AI1051,BetTable[Result]+AI1051)</f>
        <v>1919.9442499999993</v>
      </c>
      <c r="AJ1052" s="160"/>
    </row>
    <row r="1053" spans="1:36" x14ac:dyDescent="0.2">
      <c r="A1053" s="159" t="s">
        <v>2601</v>
      </c>
      <c r="B1053" s="160" t="s">
        <v>200</v>
      </c>
      <c r="C1053" s="161" t="s">
        <v>1714</v>
      </c>
      <c r="D1053" s="161"/>
      <c r="E1053" s="161"/>
      <c r="F1053" s="162"/>
      <c r="G1053" s="162"/>
      <c r="H1053" s="162"/>
      <c r="I1053" s="160" t="s">
        <v>2656</v>
      </c>
      <c r="J1053" s="163">
        <v>1.64</v>
      </c>
      <c r="K1053" s="163"/>
      <c r="L1053" s="163"/>
      <c r="M1053" s="164">
        <v>50</v>
      </c>
      <c r="N1053" s="164"/>
      <c r="O1053" s="164"/>
      <c r="P1053" s="159" t="s">
        <v>852</v>
      </c>
      <c r="Q1053" s="159" t="s">
        <v>488</v>
      </c>
      <c r="R1053" s="159" t="s">
        <v>2657</v>
      </c>
      <c r="S1053" s="165">
        <v>2.0696100578050401E-2</v>
      </c>
      <c r="T1053" s="166" t="s">
        <v>372</v>
      </c>
      <c r="U1053" s="166"/>
      <c r="V1053" s="166"/>
      <c r="W1053" s="167">
        <f>IF(BetTable[Sport]="","",BetTable[Stake]+BetTable[S2]+BetTable[S3])</f>
        <v>50</v>
      </c>
      <c r="X1053" s="164">
        <f>IF(BetTable[Odds]="","",(BetTable[WBA1-Commission])-BetTable[TS])</f>
        <v>32</v>
      </c>
      <c r="Y1053" s="168">
        <f>IF(BetTable[Outcome]="","",BetTable[WBA1]+BetTable[WBA2]+BetTable[WBA3]-BetTable[TS])</f>
        <v>32</v>
      </c>
      <c r="Z1053" s="164">
        <f>(((BetTable[Odds]-1)*BetTable[Stake])*(1-(BetTable[Comm %]))+BetTable[Stake])</f>
        <v>82</v>
      </c>
      <c r="AA1053" s="164">
        <f>(((BetTable[O2]-1)*BetTable[S2])*(1-(BetTable[C% 2]))+BetTable[S2])</f>
        <v>0</v>
      </c>
      <c r="AB1053" s="164">
        <f>(((BetTable[O3]-1)*BetTable[S3])*(1-(BetTable[C% 3]))+BetTable[S3])</f>
        <v>0</v>
      </c>
      <c r="AC1053" s="165">
        <f>IFERROR(IF(BetTable[Sport]="","",BetTable[R1]/BetTable[TS]),"")</f>
        <v>0.64</v>
      </c>
      <c r="AD1053" s="165" t="str">
        <f>IF(BetTable[O2]="","",#REF!/BetTable[TS])</f>
        <v/>
      </c>
      <c r="AE1053" s="165" t="str">
        <f>IFERROR(IF(BetTable[Sport]="","",#REF!/BetTable[TS]),"")</f>
        <v/>
      </c>
      <c r="AF1053" s="164">
        <f>IF(BetTable[Outcome]="Win",BetTable[WBA1-Commission],IF(BetTable[Outcome]="Win Half Stake",(BetTable[Stake]/2)+BetTable[WBA1-Commission]/2,IF(BetTable[Outcome]="Lose Half Stake",BetTable[Stake]/2,IF(BetTable[Outcome]="Lose",0,IF(BetTable[Outcome]="Void",BetTable[Stake],)))))</f>
        <v>82</v>
      </c>
      <c r="AG1053" s="164">
        <f>IF(BetTable[Outcome2]="Win",BetTable[WBA2-Commission],IF(BetTable[Outcome2]="Win Half Stake",(BetTable[S2]/2)+BetTable[WBA2-Commission]/2,IF(BetTable[Outcome2]="Lose Half Stake",BetTable[S2]/2,IF(BetTable[Outcome2]="Lose",0,IF(BetTable[Outcome2]="Void",BetTable[S2],)))))</f>
        <v>0</v>
      </c>
      <c r="AH1053" s="164">
        <f>IF(BetTable[Outcome3]="Win",BetTable[WBA3-Commission],IF(BetTable[Outcome3]="Win Half Stake",(BetTable[S3]/2)+BetTable[WBA3-Commission]/2,IF(BetTable[Outcome3]="Lose Half Stake",BetTable[S3]/2,IF(BetTable[Outcome3]="Lose",0,IF(BetTable[Outcome3]="Void",BetTable[S3],)))))</f>
        <v>0</v>
      </c>
      <c r="AI1053" s="168">
        <f>IF(BetTable[Outcome]="",AI1052,BetTable[Result]+AI1052)</f>
        <v>1951.9442499999993</v>
      </c>
      <c r="AJ1053" s="160"/>
    </row>
    <row r="1054" spans="1:36" x14ac:dyDescent="0.2">
      <c r="A1054" s="159" t="s">
        <v>2601</v>
      </c>
      <c r="B1054" s="160" t="s">
        <v>7</v>
      </c>
      <c r="C1054" s="161" t="s">
        <v>216</v>
      </c>
      <c r="D1054" s="161"/>
      <c r="E1054" s="161"/>
      <c r="F1054" s="162"/>
      <c r="G1054" s="162"/>
      <c r="H1054" s="162"/>
      <c r="I1054" s="160" t="s">
        <v>2658</v>
      </c>
      <c r="J1054" s="163">
        <v>1.9710000000000001</v>
      </c>
      <c r="K1054" s="163"/>
      <c r="L1054" s="163"/>
      <c r="M1054" s="164">
        <v>36</v>
      </c>
      <c r="N1054" s="164"/>
      <c r="O1054" s="164"/>
      <c r="P1054" s="159" t="s">
        <v>2659</v>
      </c>
      <c r="Q1054" s="159" t="s">
        <v>773</v>
      </c>
      <c r="R1054" s="159" t="s">
        <v>2660</v>
      </c>
      <c r="S1054" s="165">
        <v>2.2854785174257701E-2</v>
      </c>
      <c r="T1054" s="166" t="s">
        <v>382</v>
      </c>
      <c r="U1054" s="166"/>
      <c r="V1054" s="166"/>
      <c r="W1054" s="167">
        <f>IF(BetTable[Sport]="","",BetTable[Stake]+BetTable[S2]+BetTable[S3])</f>
        <v>36</v>
      </c>
      <c r="X1054" s="164">
        <f>IF(BetTable[Odds]="","",(BetTable[WBA1-Commission])-BetTable[TS])</f>
        <v>34.956000000000003</v>
      </c>
      <c r="Y1054" s="168">
        <f>IF(BetTable[Outcome]="","",BetTable[WBA1]+BetTable[WBA2]+BetTable[WBA3]-BetTable[TS])</f>
        <v>-36</v>
      </c>
      <c r="Z1054" s="164">
        <f>(((BetTable[Odds]-1)*BetTable[Stake])*(1-(BetTable[Comm %]))+BetTable[Stake])</f>
        <v>70.956000000000003</v>
      </c>
      <c r="AA1054" s="164">
        <f>(((BetTable[O2]-1)*BetTable[S2])*(1-(BetTable[C% 2]))+BetTable[S2])</f>
        <v>0</v>
      </c>
      <c r="AB1054" s="164">
        <f>(((BetTable[O3]-1)*BetTable[S3])*(1-(BetTable[C% 3]))+BetTable[S3])</f>
        <v>0</v>
      </c>
      <c r="AC1054" s="165">
        <f>IFERROR(IF(BetTable[Sport]="","",BetTable[R1]/BetTable[TS]),"")</f>
        <v>0.97100000000000009</v>
      </c>
      <c r="AD1054" s="165" t="str">
        <f>IF(BetTable[O2]="","",#REF!/BetTable[TS])</f>
        <v/>
      </c>
      <c r="AE1054" s="165" t="str">
        <f>IFERROR(IF(BetTable[Sport]="","",#REF!/BetTable[TS]),"")</f>
        <v/>
      </c>
      <c r="AF1054" s="164">
        <f>IF(BetTable[Outcome]="Win",BetTable[WBA1-Commission],IF(BetTable[Outcome]="Win Half Stake",(BetTable[Stake]/2)+BetTable[WBA1-Commission]/2,IF(BetTable[Outcome]="Lose Half Stake",BetTable[Stake]/2,IF(BetTable[Outcome]="Lose",0,IF(BetTable[Outcome]="Void",BetTable[Stake],)))))</f>
        <v>0</v>
      </c>
      <c r="AG1054" s="164">
        <f>IF(BetTable[Outcome2]="Win",BetTable[WBA2-Commission],IF(BetTable[Outcome2]="Win Half Stake",(BetTable[S2]/2)+BetTable[WBA2-Commission]/2,IF(BetTable[Outcome2]="Lose Half Stake",BetTable[S2]/2,IF(BetTable[Outcome2]="Lose",0,IF(BetTable[Outcome2]="Void",BetTable[S2],)))))</f>
        <v>0</v>
      </c>
      <c r="AH1054" s="164">
        <f>IF(BetTable[Outcome3]="Win",BetTable[WBA3-Commission],IF(BetTable[Outcome3]="Win Half Stake",(BetTable[S3]/2)+BetTable[WBA3-Commission]/2,IF(BetTable[Outcome3]="Lose Half Stake",BetTable[S3]/2,IF(BetTable[Outcome3]="Lose",0,IF(BetTable[Outcome3]="Void",BetTable[S3],)))))</f>
        <v>0</v>
      </c>
      <c r="AI1054" s="168">
        <f>IF(BetTable[Outcome]="",AI1053,BetTable[Result]+AI1053)</f>
        <v>1915.9442499999993</v>
      </c>
      <c r="AJ1054" s="160"/>
    </row>
    <row r="1055" spans="1:36" x14ac:dyDescent="0.2">
      <c r="A1055" s="159" t="s">
        <v>2601</v>
      </c>
      <c r="B1055" s="160" t="s">
        <v>200</v>
      </c>
      <c r="C1055" s="161" t="s">
        <v>1714</v>
      </c>
      <c r="D1055" s="161"/>
      <c r="E1055" s="161"/>
      <c r="F1055" s="162"/>
      <c r="G1055" s="162"/>
      <c r="H1055" s="162"/>
      <c r="I1055" s="160" t="s">
        <v>2661</v>
      </c>
      <c r="J1055" s="163">
        <v>3.3</v>
      </c>
      <c r="K1055" s="163"/>
      <c r="L1055" s="163"/>
      <c r="M1055" s="164">
        <v>21</v>
      </c>
      <c r="N1055" s="164"/>
      <c r="O1055" s="164"/>
      <c r="P1055" s="159" t="s">
        <v>494</v>
      </c>
      <c r="Q1055" s="159" t="s">
        <v>503</v>
      </c>
      <c r="R1055" s="159" t="s">
        <v>2662</v>
      </c>
      <c r="S1055" s="165">
        <v>3.1280486836042301E-2</v>
      </c>
      <c r="T1055" s="166" t="s">
        <v>372</v>
      </c>
      <c r="U1055" s="166"/>
      <c r="V1055" s="166"/>
      <c r="W1055" s="167">
        <f>IF(BetTable[Sport]="","",BetTable[Stake]+BetTable[S2]+BetTable[S3])</f>
        <v>21</v>
      </c>
      <c r="X1055" s="164">
        <f>IF(BetTable[Odds]="","",(BetTable[WBA1-Commission])-BetTable[TS])</f>
        <v>48.3</v>
      </c>
      <c r="Y1055" s="168">
        <f>IF(BetTable[Outcome]="","",BetTable[WBA1]+BetTable[WBA2]+BetTable[WBA3]-BetTable[TS])</f>
        <v>48.3</v>
      </c>
      <c r="Z1055" s="164">
        <f>(((BetTable[Odds]-1)*BetTable[Stake])*(1-(BetTable[Comm %]))+BetTable[Stake])</f>
        <v>69.3</v>
      </c>
      <c r="AA1055" s="164">
        <f>(((BetTable[O2]-1)*BetTable[S2])*(1-(BetTable[C% 2]))+BetTable[S2])</f>
        <v>0</v>
      </c>
      <c r="AB1055" s="164">
        <f>(((BetTable[O3]-1)*BetTable[S3])*(1-(BetTable[C% 3]))+BetTable[S3])</f>
        <v>0</v>
      </c>
      <c r="AC1055" s="165">
        <f>IFERROR(IF(BetTable[Sport]="","",BetTable[R1]/BetTable[TS]),"")</f>
        <v>2.2999999999999998</v>
      </c>
      <c r="AD1055" s="165" t="str">
        <f>IF(BetTable[O2]="","",#REF!/BetTable[TS])</f>
        <v/>
      </c>
      <c r="AE1055" s="165" t="str">
        <f>IFERROR(IF(BetTable[Sport]="","",#REF!/BetTable[TS]),"")</f>
        <v/>
      </c>
      <c r="AF1055" s="164">
        <f>IF(BetTable[Outcome]="Win",BetTable[WBA1-Commission],IF(BetTable[Outcome]="Win Half Stake",(BetTable[Stake]/2)+BetTable[WBA1-Commission]/2,IF(BetTable[Outcome]="Lose Half Stake",BetTable[Stake]/2,IF(BetTable[Outcome]="Lose",0,IF(BetTable[Outcome]="Void",BetTable[Stake],)))))</f>
        <v>69.3</v>
      </c>
      <c r="AG1055" s="164">
        <f>IF(BetTable[Outcome2]="Win",BetTable[WBA2-Commission],IF(BetTable[Outcome2]="Win Half Stake",(BetTable[S2]/2)+BetTable[WBA2-Commission]/2,IF(BetTable[Outcome2]="Lose Half Stake",BetTable[S2]/2,IF(BetTable[Outcome2]="Lose",0,IF(BetTable[Outcome2]="Void",BetTable[S2],)))))</f>
        <v>0</v>
      </c>
      <c r="AH1055" s="164">
        <f>IF(BetTable[Outcome3]="Win",BetTable[WBA3-Commission],IF(BetTable[Outcome3]="Win Half Stake",(BetTable[S3]/2)+BetTable[WBA3-Commission]/2,IF(BetTable[Outcome3]="Lose Half Stake",BetTable[S3]/2,IF(BetTable[Outcome3]="Lose",0,IF(BetTable[Outcome3]="Void",BetTable[S3],)))))</f>
        <v>0</v>
      </c>
      <c r="AI1055" s="168">
        <f>IF(BetTable[Outcome]="",AI1054,BetTable[Result]+AI1054)</f>
        <v>1964.2442499999993</v>
      </c>
      <c r="AJ1055" s="160"/>
    </row>
    <row r="1056" spans="1:36" x14ac:dyDescent="0.2">
      <c r="A1056" s="159" t="s">
        <v>2601</v>
      </c>
      <c r="B1056" s="160" t="s">
        <v>200</v>
      </c>
      <c r="C1056" s="161" t="s">
        <v>1714</v>
      </c>
      <c r="D1056" s="161"/>
      <c r="E1056" s="161"/>
      <c r="F1056" s="162"/>
      <c r="G1056" s="162"/>
      <c r="H1056" s="162"/>
      <c r="I1056" s="160" t="s">
        <v>2608</v>
      </c>
      <c r="J1056" s="163">
        <v>2.0640000000000001</v>
      </c>
      <c r="K1056" s="163"/>
      <c r="L1056" s="163"/>
      <c r="M1056" s="164">
        <v>26</v>
      </c>
      <c r="N1056" s="164"/>
      <c r="O1056" s="164"/>
      <c r="P1056" s="159" t="s">
        <v>864</v>
      </c>
      <c r="Q1056" s="159" t="s">
        <v>547</v>
      </c>
      <c r="R1056" s="159" t="s">
        <v>2663</v>
      </c>
      <c r="S1056" s="165">
        <v>1.8221842561449E-2</v>
      </c>
      <c r="T1056" s="166" t="s">
        <v>372</v>
      </c>
      <c r="U1056" s="166"/>
      <c r="V1056" s="166"/>
      <c r="W1056" s="167">
        <f>IF(BetTable[Sport]="","",BetTable[Stake]+BetTable[S2]+BetTable[S3])</f>
        <v>26</v>
      </c>
      <c r="X1056" s="164">
        <f>IF(BetTable[Odds]="","",(BetTable[WBA1-Commission])-BetTable[TS])</f>
        <v>27.664000000000001</v>
      </c>
      <c r="Y1056" s="168">
        <f>IF(BetTable[Outcome]="","",BetTable[WBA1]+BetTable[WBA2]+BetTable[WBA3]-BetTable[TS])</f>
        <v>27.664000000000001</v>
      </c>
      <c r="Z1056" s="164">
        <f>(((BetTable[Odds]-1)*BetTable[Stake])*(1-(BetTable[Comm %]))+BetTable[Stake])</f>
        <v>53.664000000000001</v>
      </c>
      <c r="AA1056" s="164">
        <f>(((BetTable[O2]-1)*BetTable[S2])*(1-(BetTable[C% 2]))+BetTable[S2])</f>
        <v>0</v>
      </c>
      <c r="AB1056" s="164">
        <f>(((BetTable[O3]-1)*BetTable[S3])*(1-(BetTable[C% 3]))+BetTable[S3])</f>
        <v>0</v>
      </c>
      <c r="AC1056" s="165">
        <f>IFERROR(IF(BetTable[Sport]="","",BetTable[R1]/BetTable[TS]),"")</f>
        <v>1.0640000000000001</v>
      </c>
      <c r="AD1056" s="165" t="str">
        <f>IF(BetTable[O2]="","",#REF!/BetTable[TS])</f>
        <v/>
      </c>
      <c r="AE1056" s="165" t="str">
        <f>IFERROR(IF(BetTable[Sport]="","",#REF!/BetTable[TS]),"")</f>
        <v/>
      </c>
      <c r="AF1056" s="164">
        <f>IF(BetTable[Outcome]="Win",BetTable[WBA1-Commission],IF(BetTable[Outcome]="Win Half Stake",(BetTable[Stake]/2)+BetTable[WBA1-Commission]/2,IF(BetTable[Outcome]="Lose Half Stake",BetTable[Stake]/2,IF(BetTable[Outcome]="Lose",0,IF(BetTable[Outcome]="Void",BetTable[Stake],)))))</f>
        <v>53.664000000000001</v>
      </c>
      <c r="AG1056" s="164">
        <f>IF(BetTable[Outcome2]="Win",BetTable[WBA2-Commission],IF(BetTable[Outcome2]="Win Half Stake",(BetTable[S2]/2)+BetTable[WBA2-Commission]/2,IF(BetTable[Outcome2]="Lose Half Stake",BetTable[S2]/2,IF(BetTable[Outcome2]="Lose",0,IF(BetTable[Outcome2]="Void",BetTable[S2],)))))</f>
        <v>0</v>
      </c>
      <c r="AH1056" s="164">
        <f>IF(BetTable[Outcome3]="Win",BetTable[WBA3-Commission],IF(BetTable[Outcome3]="Win Half Stake",(BetTable[S3]/2)+BetTable[WBA3-Commission]/2,IF(BetTable[Outcome3]="Lose Half Stake",BetTable[S3]/2,IF(BetTable[Outcome3]="Lose",0,IF(BetTable[Outcome3]="Void",BetTable[S3],)))))</f>
        <v>0</v>
      </c>
      <c r="AI1056" s="168">
        <f>IF(BetTable[Outcome]="",AI1055,BetTable[Result]+AI1055)</f>
        <v>1991.9082499999993</v>
      </c>
      <c r="AJ1056" s="160"/>
    </row>
    <row r="1057" spans="1:36" x14ac:dyDescent="0.2">
      <c r="A1057" s="159" t="s">
        <v>2601</v>
      </c>
      <c r="B1057" s="160" t="s">
        <v>200</v>
      </c>
      <c r="C1057" s="161" t="s">
        <v>1714</v>
      </c>
      <c r="D1057" s="161"/>
      <c r="E1057" s="161"/>
      <c r="F1057" s="162"/>
      <c r="G1057" s="162"/>
      <c r="H1057" s="162"/>
      <c r="I1057" s="160" t="s">
        <v>2606</v>
      </c>
      <c r="J1057" s="163">
        <v>2.08</v>
      </c>
      <c r="K1057" s="163"/>
      <c r="L1057" s="163"/>
      <c r="M1057" s="164">
        <v>37</v>
      </c>
      <c r="N1057" s="164"/>
      <c r="O1057" s="164"/>
      <c r="P1057" s="159" t="s">
        <v>508</v>
      </c>
      <c r="Q1057" s="159" t="s">
        <v>495</v>
      </c>
      <c r="R1057" s="159" t="s">
        <v>2664</v>
      </c>
      <c r="S1057" s="165">
        <v>2.6115035139444701E-2</v>
      </c>
      <c r="T1057" s="166" t="s">
        <v>510</v>
      </c>
      <c r="U1057" s="166"/>
      <c r="V1057" s="166"/>
      <c r="W1057" s="167">
        <f>IF(BetTable[Sport]="","",BetTable[Stake]+BetTable[S2]+BetTable[S3])</f>
        <v>37</v>
      </c>
      <c r="X1057" s="164">
        <f>IF(BetTable[Odds]="","",(BetTable[WBA1-Commission])-BetTable[TS])</f>
        <v>39.960000000000008</v>
      </c>
      <c r="Y1057" s="168">
        <f>IF(BetTable[Outcome]="","",BetTable[WBA1]+BetTable[WBA2]+BetTable[WBA3]-BetTable[TS])</f>
        <v>19.980000000000004</v>
      </c>
      <c r="Z1057" s="164">
        <f>(((BetTable[Odds]-1)*BetTable[Stake])*(1-(BetTable[Comm %]))+BetTable[Stake])</f>
        <v>76.960000000000008</v>
      </c>
      <c r="AA1057" s="164">
        <f>(((BetTable[O2]-1)*BetTable[S2])*(1-(BetTable[C% 2]))+BetTable[S2])</f>
        <v>0</v>
      </c>
      <c r="AB1057" s="164">
        <f>(((BetTable[O3]-1)*BetTable[S3])*(1-(BetTable[C% 3]))+BetTable[S3])</f>
        <v>0</v>
      </c>
      <c r="AC1057" s="165">
        <f>IFERROR(IF(BetTable[Sport]="","",BetTable[R1]/BetTable[TS]),"")</f>
        <v>1.0800000000000003</v>
      </c>
      <c r="AD1057" s="165" t="str">
        <f>IF(BetTable[O2]="","",#REF!/BetTable[TS])</f>
        <v/>
      </c>
      <c r="AE1057" s="165" t="str">
        <f>IFERROR(IF(BetTable[Sport]="","",#REF!/BetTable[TS]),"")</f>
        <v/>
      </c>
      <c r="AF1057" s="164">
        <f>IF(BetTable[Outcome]="Win",BetTable[WBA1-Commission],IF(BetTable[Outcome]="Win Half Stake",(BetTable[Stake]/2)+BetTable[WBA1-Commission]/2,IF(BetTable[Outcome]="Lose Half Stake",BetTable[Stake]/2,IF(BetTable[Outcome]="Lose",0,IF(BetTable[Outcome]="Void",BetTable[Stake],)))))</f>
        <v>56.980000000000004</v>
      </c>
      <c r="AG1057" s="164">
        <f>IF(BetTable[Outcome2]="Win",BetTable[WBA2-Commission],IF(BetTable[Outcome2]="Win Half Stake",(BetTable[S2]/2)+BetTable[WBA2-Commission]/2,IF(BetTable[Outcome2]="Lose Half Stake",BetTable[S2]/2,IF(BetTable[Outcome2]="Lose",0,IF(BetTable[Outcome2]="Void",BetTable[S2],)))))</f>
        <v>0</v>
      </c>
      <c r="AH1057" s="164">
        <f>IF(BetTable[Outcome3]="Win",BetTable[WBA3-Commission],IF(BetTable[Outcome3]="Win Half Stake",(BetTable[S3]/2)+BetTable[WBA3-Commission]/2,IF(BetTable[Outcome3]="Lose Half Stake",BetTable[S3]/2,IF(BetTable[Outcome3]="Lose",0,IF(BetTable[Outcome3]="Void",BetTable[S3],)))))</f>
        <v>0</v>
      </c>
      <c r="AI1057" s="168">
        <f>IF(BetTable[Outcome]="",AI1056,BetTable[Result]+AI1056)</f>
        <v>2011.8882499999993</v>
      </c>
      <c r="AJ1057" s="160"/>
    </row>
    <row r="1058" spans="1:36" x14ac:dyDescent="0.2">
      <c r="A1058" s="159" t="s">
        <v>2601</v>
      </c>
      <c r="B1058" s="160" t="s">
        <v>8</v>
      </c>
      <c r="C1058" s="161" t="s">
        <v>216</v>
      </c>
      <c r="D1058" s="161"/>
      <c r="E1058" s="161"/>
      <c r="F1058" s="162"/>
      <c r="G1058" s="162"/>
      <c r="H1058" s="162"/>
      <c r="I1058" s="160" t="s">
        <v>2665</v>
      </c>
      <c r="J1058" s="163">
        <v>1.5409999999999999</v>
      </c>
      <c r="K1058" s="163"/>
      <c r="L1058" s="163"/>
      <c r="M1058" s="164">
        <v>47</v>
      </c>
      <c r="N1058" s="164"/>
      <c r="O1058" s="164"/>
      <c r="P1058" s="159" t="s">
        <v>428</v>
      </c>
      <c r="Q1058" s="159" t="s">
        <v>656</v>
      </c>
      <c r="R1058" s="159" t="s">
        <v>2666</v>
      </c>
      <c r="S1058" s="165">
        <v>1.6796477084048501E-2</v>
      </c>
      <c r="T1058" s="166" t="s">
        <v>372</v>
      </c>
      <c r="U1058" s="166"/>
      <c r="V1058" s="166"/>
      <c r="W1058" s="167">
        <f>IF(BetTable[Sport]="","",BetTable[Stake]+BetTable[S2]+BetTable[S3])</f>
        <v>47</v>
      </c>
      <c r="X1058" s="164">
        <f>IF(BetTable[Odds]="","",(BetTable[WBA1-Commission])-BetTable[TS])</f>
        <v>25.426999999999992</v>
      </c>
      <c r="Y1058" s="168">
        <f>IF(BetTable[Outcome]="","",BetTable[WBA1]+BetTable[WBA2]+BetTable[WBA3]-BetTable[TS])</f>
        <v>25.426999999999992</v>
      </c>
      <c r="Z1058" s="164">
        <f>(((BetTable[Odds]-1)*BetTable[Stake])*(1-(BetTable[Comm %]))+BetTable[Stake])</f>
        <v>72.426999999999992</v>
      </c>
      <c r="AA1058" s="164">
        <f>(((BetTable[O2]-1)*BetTable[S2])*(1-(BetTable[C% 2]))+BetTable[S2])</f>
        <v>0</v>
      </c>
      <c r="AB1058" s="164">
        <f>(((BetTable[O3]-1)*BetTable[S3])*(1-(BetTable[C% 3]))+BetTable[S3])</f>
        <v>0</v>
      </c>
      <c r="AC1058" s="165">
        <f>IFERROR(IF(BetTable[Sport]="","",BetTable[R1]/BetTable[TS]),"")</f>
        <v>0.54099999999999981</v>
      </c>
      <c r="AD1058" s="165" t="str">
        <f>IF(BetTable[O2]="","",#REF!/BetTable[TS])</f>
        <v/>
      </c>
      <c r="AE1058" s="165" t="str">
        <f>IFERROR(IF(BetTable[Sport]="","",#REF!/BetTable[TS]),"")</f>
        <v/>
      </c>
      <c r="AF1058" s="164">
        <f>IF(BetTable[Outcome]="Win",BetTable[WBA1-Commission],IF(BetTable[Outcome]="Win Half Stake",(BetTable[Stake]/2)+BetTable[WBA1-Commission]/2,IF(BetTable[Outcome]="Lose Half Stake",BetTable[Stake]/2,IF(BetTable[Outcome]="Lose",0,IF(BetTable[Outcome]="Void",BetTable[Stake],)))))</f>
        <v>72.426999999999992</v>
      </c>
      <c r="AG1058" s="164">
        <f>IF(BetTable[Outcome2]="Win",BetTable[WBA2-Commission],IF(BetTable[Outcome2]="Win Half Stake",(BetTable[S2]/2)+BetTable[WBA2-Commission]/2,IF(BetTable[Outcome2]="Lose Half Stake",BetTable[S2]/2,IF(BetTable[Outcome2]="Lose",0,IF(BetTable[Outcome2]="Void",BetTable[S2],)))))</f>
        <v>0</v>
      </c>
      <c r="AH1058" s="164">
        <f>IF(BetTable[Outcome3]="Win",BetTable[WBA3-Commission],IF(BetTable[Outcome3]="Win Half Stake",(BetTable[S3]/2)+BetTable[WBA3-Commission]/2,IF(BetTable[Outcome3]="Lose Half Stake",BetTable[S3]/2,IF(BetTable[Outcome3]="Lose",0,IF(BetTable[Outcome3]="Void",BetTable[S3],)))))</f>
        <v>0</v>
      </c>
      <c r="AI1058" s="168">
        <f>IF(BetTable[Outcome]="",AI1057,BetTable[Result]+AI1057)</f>
        <v>2037.3152499999992</v>
      </c>
      <c r="AJ1058" s="160"/>
    </row>
    <row r="1059" spans="1:36" x14ac:dyDescent="0.2">
      <c r="A1059" s="159" t="s">
        <v>2601</v>
      </c>
      <c r="B1059" s="160" t="s">
        <v>200</v>
      </c>
      <c r="C1059" s="161" t="s">
        <v>1714</v>
      </c>
      <c r="D1059" s="161"/>
      <c r="E1059" s="161"/>
      <c r="F1059" s="162"/>
      <c r="G1059" s="162"/>
      <c r="H1059" s="162"/>
      <c r="I1059" s="160" t="s">
        <v>2650</v>
      </c>
      <c r="J1059" s="163">
        <v>2.1110000000000002</v>
      </c>
      <c r="K1059" s="163"/>
      <c r="L1059" s="163"/>
      <c r="M1059" s="164">
        <v>26</v>
      </c>
      <c r="N1059" s="164"/>
      <c r="O1059" s="164"/>
      <c r="P1059" s="159" t="s">
        <v>351</v>
      </c>
      <c r="Q1059" s="159" t="s">
        <v>677</v>
      </c>
      <c r="R1059" s="159" t="s">
        <v>2667</v>
      </c>
      <c r="S1059" s="165">
        <v>1.8570075733112201E-2</v>
      </c>
      <c r="T1059" s="166" t="s">
        <v>372</v>
      </c>
      <c r="U1059" s="166"/>
      <c r="V1059" s="166"/>
      <c r="W1059" s="167">
        <f>IF(BetTable[Sport]="","",BetTable[Stake]+BetTable[S2]+BetTable[S3])</f>
        <v>26</v>
      </c>
      <c r="X1059" s="164">
        <f>IF(BetTable[Odds]="","",(BetTable[WBA1-Commission])-BetTable[TS])</f>
        <v>28.88600000000001</v>
      </c>
      <c r="Y1059" s="168">
        <f>IF(BetTable[Outcome]="","",BetTable[WBA1]+BetTable[WBA2]+BetTable[WBA3]-BetTable[TS])</f>
        <v>28.88600000000001</v>
      </c>
      <c r="Z1059" s="164">
        <f>(((BetTable[Odds]-1)*BetTable[Stake])*(1-(BetTable[Comm %]))+BetTable[Stake])</f>
        <v>54.88600000000001</v>
      </c>
      <c r="AA1059" s="164">
        <f>(((BetTable[O2]-1)*BetTable[S2])*(1-(BetTable[C% 2]))+BetTable[S2])</f>
        <v>0</v>
      </c>
      <c r="AB1059" s="164">
        <f>(((BetTable[O3]-1)*BetTable[S3])*(1-(BetTable[C% 3]))+BetTable[S3])</f>
        <v>0</v>
      </c>
      <c r="AC1059" s="165">
        <f>IFERROR(IF(BetTable[Sport]="","",BetTable[R1]/BetTable[TS]),"")</f>
        <v>1.1110000000000004</v>
      </c>
      <c r="AD1059" s="165" t="str">
        <f>IF(BetTable[O2]="","",#REF!/BetTable[TS])</f>
        <v/>
      </c>
      <c r="AE1059" s="165" t="str">
        <f>IFERROR(IF(BetTable[Sport]="","",#REF!/BetTable[TS]),"")</f>
        <v/>
      </c>
      <c r="AF1059" s="164">
        <f>IF(BetTable[Outcome]="Win",BetTable[WBA1-Commission],IF(BetTable[Outcome]="Win Half Stake",(BetTable[Stake]/2)+BetTable[WBA1-Commission]/2,IF(BetTable[Outcome]="Lose Half Stake",BetTable[Stake]/2,IF(BetTable[Outcome]="Lose",0,IF(BetTable[Outcome]="Void",BetTable[Stake],)))))</f>
        <v>54.88600000000001</v>
      </c>
      <c r="AG1059" s="164">
        <f>IF(BetTable[Outcome2]="Win",BetTable[WBA2-Commission],IF(BetTable[Outcome2]="Win Half Stake",(BetTable[S2]/2)+BetTable[WBA2-Commission]/2,IF(BetTable[Outcome2]="Lose Half Stake",BetTable[S2]/2,IF(BetTable[Outcome2]="Lose",0,IF(BetTable[Outcome2]="Void",BetTable[S2],)))))</f>
        <v>0</v>
      </c>
      <c r="AH1059" s="164">
        <f>IF(BetTable[Outcome3]="Win",BetTable[WBA3-Commission],IF(BetTable[Outcome3]="Win Half Stake",(BetTable[S3]/2)+BetTable[WBA3-Commission]/2,IF(BetTable[Outcome3]="Lose Half Stake",BetTable[S3]/2,IF(BetTable[Outcome3]="Lose",0,IF(BetTable[Outcome3]="Void",BetTable[S3],)))))</f>
        <v>0</v>
      </c>
      <c r="AI1059" s="168">
        <f>IF(BetTable[Outcome]="",AI1058,BetTable[Result]+AI1058)</f>
        <v>2066.2012499999992</v>
      </c>
      <c r="AJ1059" s="160"/>
    </row>
    <row r="1060" spans="1:36" x14ac:dyDescent="0.2">
      <c r="A1060" s="159" t="s">
        <v>2601</v>
      </c>
      <c r="B1060" s="160" t="s">
        <v>200</v>
      </c>
      <c r="C1060" s="161" t="s">
        <v>1714</v>
      </c>
      <c r="D1060" s="161"/>
      <c r="E1060" s="161"/>
      <c r="F1060" s="162"/>
      <c r="G1060" s="162"/>
      <c r="H1060" s="162"/>
      <c r="I1060" s="160" t="s">
        <v>2668</v>
      </c>
      <c r="J1060" s="163">
        <v>1.89</v>
      </c>
      <c r="K1060" s="163"/>
      <c r="L1060" s="163"/>
      <c r="M1060" s="164">
        <v>45</v>
      </c>
      <c r="N1060" s="164"/>
      <c r="O1060" s="164"/>
      <c r="P1060" s="159" t="s">
        <v>368</v>
      </c>
      <c r="Q1060" s="159" t="s">
        <v>495</v>
      </c>
      <c r="R1060" s="159" t="s">
        <v>2669</v>
      </c>
      <c r="S1060" s="165">
        <v>2.6149376835836999E-2</v>
      </c>
      <c r="T1060" s="166" t="s">
        <v>383</v>
      </c>
      <c r="U1060" s="166"/>
      <c r="V1060" s="166"/>
      <c r="W1060" s="167">
        <f>IF(BetTable[Sport]="","",BetTable[Stake]+BetTable[S2]+BetTable[S3])</f>
        <v>45</v>
      </c>
      <c r="X1060" s="164">
        <f>IF(BetTable[Odds]="","",(BetTable[WBA1-Commission])-BetTable[TS])</f>
        <v>40.049999999999997</v>
      </c>
      <c r="Y1060" s="168">
        <f>IF(BetTable[Outcome]="","",BetTable[WBA1]+BetTable[WBA2]+BetTable[WBA3]-BetTable[TS])</f>
        <v>0</v>
      </c>
      <c r="Z1060" s="164">
        <f>(((BetTable[Odds]-1)*BetTable[Stake])*(1-(BetTable[Comm %]))+BetTable[Stake])</f>
        <v>85.05</v>
      </c>
      <c r="AA1060" s="164">
        <f>(((BetTable[O2]-1)*BetTable[S2])*(1-(BetTable[C% 2]))+BetTable[S2])</f>
        <v>0</v>
      </c>
      <c r="AB1060" s="164">
        <f>(((BetTable[O3]-1)*BetTable[S3])*(1-(BetTable[C% 3]))+BetTable[S3])</f>
        <v>0</v>
      </c>
      <c r="AC1060" s="165">
        <f>IFERROR(IF(BetTable[Sport]="","",BetTable[R1]/BetTable[TS]),"")</f>
        <v>0.8899999999999999</v>
      </c>
      <c r="AD1060" s="165" t="str">
        <f>IF(BetTable[O2]="","",#REF!/BetTable[TS])</f>
        <v/>
      </c>
      <c r="AE1060" s="165" t="str">
        <f>IFERROR(IF(BetTable[Sport]="","",#REF!/BetTable[TS]),"")</f>
        <v/>
      </c>
      <c r="AF1060" s="164">
        <f>IF(BetTable[Outcome]="Win",BetTable[WBA1-Commission],IF(BetTable[Outcome]="Win Half Stake",(BetTable[Stake]/2)+BetTable[WBA1-Commission]/2,IF(BetTable[Outcome]="Lose Half Stake",BetTable[Stake]/2,IF(BetTable[Outcome]="Lose",0,IF(BetTable[Outcome]="Void",BetTable[Stake],)))))</f>
        <v>45</v>
      </c>
      <c r="AG1060" s="164">
        <f>IF(BetTable[Outcome2]="Win",BetTable[WBA2-Commission],IF(BetTable[Outcome2]="Win Half Stake",(BetTable[S2]/2)+BetTable[WBA2-Commission]/2,IF(BetTable[Outcome2]="Lose Half Stake",BetTable[S2]/2,IF(BetTable[Outcome2]="Lose",0,IF(BetTable[Outcome2]="Void",BetTable[S2],)))))</f>
        <v>0</v>
      </c>
      <c r="AH1060" s="164">
        <f>IF(BetTable[Outcome3]="Win",BetTable[WBA3-Commission],IF(BetTable[Outcome3]="Win Half Stake",(BetTable[S3]/2)+BetTable[WBA3-Commission]/2,IF(BetTable[Outcome3]="Lose Half Stake",BetTable[S3]/2,IF(BetTable[Outcome3]="Lose",0,IF(BetTable[Outcome3]="Void",BetTable[S3],)))))</f>
        <v>0</v>
      </c>
      <c r="AI1060" s="168">
        <f>IF(BetTable[Outcome]="",AI1059,BetTable[Result]+AI1059)</f>
        <v>2066.2012499999992</v>
      </c>
      <c r="AJ1060" s="160"/>
    </row>
    <row r="1061" spans="1:36" x14ac:dyDescent="0.2">
      <c r="A1061" s="159" t="s">
        <v>2601</v>
      </c>
      <c r="B1061" s="160" t="s">
        <v>200</v>
      </c>
      <c r="C1061" s="161" t="s">
        <v>1714</v>
      </c>
      <c r="D1061" s="161"/>
      <c r="E1061" s="161"/>
      <c r="F1061" s="162"/>
      <c r="G1061" s="162"/>
      <c r="H1061" s="162"/>
      <c r="I1061" s="160" t="s">
        <v>2670</v>
      </c>
      <c r="J1061" s="163">
        <v>1.36</v>
      </c>
      <c r="K1061" s="163"/>
      <c r="L1061" s="163"/>
      <c r="M1061" s="164">
        <v>94</v>
      </c>
      <c r="N1061" s="164"/>
      <c r="O1061" s="164"/>
      <c r="P1061" s="159" t="s">
        <v>435</v>
      </c>
      <c r="Q1061" s="159" t="s">
        <v>503</v>
      </c>
      <c r="R1061" s="159" t="s">
        <v>2671</v>
      </c>
      <c r="S1061" s="165">
        <v>2.1826069758710199E-2</v>
      </c>
      <c r="T1061" s="166" t="s">
        <v>372</v>
      </c>
      <c r="U1061" s="166"/>
      <c r="V1061" s="166"/>
      <c r="W1061" s="167">
        <f>IF(BetTable[Sport]="","",BetTable[Stake]+BetTable[S2]+BetTable[S3])</f>
        <v>94</v>
      </c>
      <c r="X1061" s="164">
        <f>IF(BetTable[Odds]="","",(BetTable[WBA1-Commission])-BetTable[TS])</f>
        <v>33.840000000000003</v>
      </c>
      <c r="Y1061" s="168">
        <f>IF(BetTable[Outcome]="","",BetTable[WBA1]+BetTable[WBA2]+BetTable[WBA3]-BetTable[TS])</f>
        <v>33.840000000000003</v>
      </c>
      <c r="Z1061" s="164">
        <f>(((BetTable[Odds]-1)*BetTable[Stake])*(1-(BetTable[Comm %]))+BetTable[Stake])</f>
        <v>127.84</v>
      </c>
      <c r="AA1061" s="164">
        <f>(((BetTable[O2]-1)*BetTable[S2])*(1-(BetTable[C% 2]))+BetTable[S2])</f>
        <v>0</v>
      </c>
      <c r="AB1061" s="164">
        <f>(((BetTable[O3]-1)*BetTable[S3])*(1-(BetTable[C% 3]))+BetTable[S3])</f>
        <v>0</v>
      </c>
      <c r="AC1061" s="165">
        <f>IFERROR(IF(BetTable[Sport]="","",BetTable[R1]/BetTable[TS]),"")</f>
        <v>0.36000000000000004</v>
      </c>
      <c r="AD1061" s="165" t="str">
        <f>IF(BetTable[O2]="","",#REF!/BetTable[TS])</f>
        <v/>
      </c>
      <c r="AE1061" s="165" t="str">
        <f>IFERROR(IF(BetTable[Sport]="","",#REF!/BetTable[TS]),"")</f>
        <v/>
      </c>
      <c r="AF1061" s="164">
        <f>IF(BetTable[Outcome]="Win",BetTable[WBA1-Commission],IF(BetTable[Outcome]="Win Half Stake",(BetTable[Stake]/2)+BetTable[WBA1-Commission]/2,IF(BetTable[Outcome]="Lose Half Stake",BetTable[Stake]/2,IF(BetTable[Outcome]="Lose",0,IF(BetTable[Outcome]="Void",BetTable[Stake],)))))</f>
        <v>127.84</v>
      </c>
      <c r="AG1061" s="164">
        <f>IF(BetTable[Outcome2]="Win",BetTable[WBA2-Commission],IF(BetTable[Outcome2]="Win Half Stake",(BetTable[S2]/2)+BetTable[WBA2-Commission]/2,IF(BetTable[Outcome2]="Lose Half Stake",BetTable[S2]/2,IF(BetTable[Outcome2]="Lose",0,IF(BetTable[Outcome2]="Void",BetTable[S2],)))))</f>
        <v>0</v>
      </c>
      <c r="AH1061" s="164">
        <f>IF(BetTable[Outcome3]="Win",BetTable[WBA3-Commission],IF(BetTable[Outcome3]="Win Half Stake",(BetTable[S3]/2)+BetTable[WBA3-Commission]/2,IF(BetTable[Outcome3]="Lose Half Stake",BetTable[S3]/2,IF(BetTable[Outcome3]="Lose",0,IF(BetTable[Outcome3]="Void",BetTable[S3],)))))</f>
        <v>0</v>
      </c>
      <c r="AI1061" s="168">
        <f>IF(BetTable[Outcome]="",AI1060,BetTable[Result]+AI1060)</f>
        <v>2100.0412499999993</v>
      </c>
      <c r="AJ1061" s="160"/>
    </row>
    <row r="1062" spans="1:36" x14ac:dyDescent="0.2">
      <c r="A1062" s="159" t="s">
        <v>2601</v>
      </c>
      <c r="B1062" s="160" t="s">
        <v>200</v>
      </c>
      <c r="C1062" s="161" t="s">
        <v>1714</v>
      </c>
      <c r="D1062" s="161"/>
      <c r="E1062" s="161"/>
      <c r="F1062" s="162"/>
      <c r="G1062" s="162"/>
      <c r="H1062" s="162"/>
      <c r="I1062" s="160" t="s">
        <v>2672</v>
      </c>
      <c r="J1062" s="163">
        <v>1.55</v>
      </c>
      <c r="K1062" s="163"/>
      <c r="L1062" s="163"/>
      <c r="M1062" s="164">
        <v>48</v>
      </c>
      <c r="N1062" s="164"/>
      <c r="O1062" s="164"/>
      <c r="P1062" s="159" t="s">
        <v>435</v>
      </c>
      <c r="Q1062" s="159" t="s">
        <v>677</v>
      </c>
      <c r="R1062" s="159" t="s">
        <v>2673</v>
      </c>
      <c r="S1062" s="165">
        <v>1.6904415372657099E-2</v>
      </c>
      <c r="T1062" s="166" t="s">
        <v>372</v>
      </c>
      <c r="U1062" s="166"/>
      <c r="V1062" s="166"/>
      <c r="W1062" s="167">
        <f>IF(BetTable[Sport]="","",BetTable[Stake]+BetTable[S2]+BetTable[S3])</f>
        <v>48</v>
      </c>
      <c r="X1062" s="164">
        <f>IF(BetTable[Odds]="","",(BetTable[WBA1-Commission])-BetTable[TS])</f>
        <v>26.400000000000006</v>
      </c>
      <c r="Y1062" s="168">
        <f>IF(BetTable[Outcome]="","",BetTable[WBA1]+BetTable[WBA2]+BetTable[WBA3]-BetTable[TS])</f>
        <v>26.400000000000006</v>
      </c>
      <c r="Z1062" s="164">
        <f>(((BetTable[Odds]-1)*BetTable[Stake])*(1-(BetTable[Comm %]))+BetTable[Stake])</f>
        <v>74.400000000000006</v>
      </c>
      <c r="AA1062" s="164">
        <f>(((BetTable[O2]-1)*BetTable[S2])*(1-(BetTable[C% 2]))+BetTable[S2])</f>
        <v>0</v>
      </c>
      <c r="AB1062" s="164">
        <f>(((BetTable[O3]-1)*BetTable[S3])*(1-(BetTable[C% 3]))+BetTable[S3])</f>
        <v>0</v>
      </c>
      <c r="AC1062" s="165">
        <f>IFERROR(IF(BetTable[Sport]="","",BetTable[R1]/BetTable[TS]),"")</f>
        <v>0.55000000000000016</v>
      </c>
      <c r="AD1062" s="165" t="str">
        <f>IF(BetTable[O2]="","",#REF!/BetTable[TS])</f>
        <v/>
      </c>
      <c r="AE1062" s="165" t="str">
        <f>IFERROR(IF(BetTable[Sport]="","",#REF!/BetTable[TS]),"")</f>
        <v/>
      </c>
      <c r="AF1062" s="164">
        <f>IF(BetTable[Outcome]="Win",BetTable[WBA1-Commission],IF(BetTable[Outcome]="Win Half Stake",(BetTable[Stake]/2)+BetTable[WBA1-Commission]/2,IF(BetTable[Outcome]="Lose Half Stake",BetTable[Stake]/2,IF(BetTable[Outcome]="Lose",0,IF(BetTable[Outcome]="Void",BetTable[Stake],)))))</f>
        <v>74.400000000000006</v>
      </c>
      <c r="AG1062" s="164">
        <f>IF(BetTable[Outcome2]="Win",BetTable[WBA2-Commission],IF(BetTable[Outcome2]="Win Half Stake",(BetTable[S2]/2)+BetTable[WBA2-Commission]/2,IF(BetTable[Outcome2]="Lose Half Stake",BetTable[S2]/2,IF(BetTable[Outcome2]="Lose",0,IF(BetTable[Outcome2]="Void",BetTable[S2],)))))</f>
        <v>0</v>
      </c>
      <c r="AH1062" s="164">
        <f>IF(BetTable[Outcome3]="Win",BetTable[WBA3-Commission],IF(BetTable[Outcome3]="Win Half Stake",(BetTable[S3]/2)+BetTable[WBA3-Commission]/2,IF(BetTable[Outcome3]="Lose Half Stake",BetTable[S3]/2,IF(BetTable[Outcome3]="Lose",0,IF(BetTable[Outcome3]="Void",BetTable[S3],)))))</f>
        <v>0</v>
      </c>
      <c r="AI1062" s="168">
        <f>IF(BetTable[Outcome]="",AI1061,BetTable[Result]+AI1061)</f>
        <v>2126.4412499999994</v>
      </c>
      <c r="AJ1062" s="160"/>
    </row>
    <row r="1063" spans="1:36" x14ac:dyDescent="0.2">
      <c r="A1063" s="159" t="s">
        <v>2601</v>
      </c>
      <c r="B1063" s="160" t="s">
        <v>200</v>
      </c>
      <c r="C1063" s="161" t="s">
        <v>1714</v>
      </c>
      <c r="D1063" s="161"/>
      <c r="E1063" s="161"/>
      <c r="F1063" s="162"/>
      <c r="G1063" s="162"/>
      <c r="H1063" s="162"/>
      <c r="I1063" s="160" t="s">
        <v>2644</v>
      </c>
      <c r="J1063" s="163">
        <v>2.06</v>
      </c>
      <c r="K1063" s="163"/>
      <c r="L1063" s="163"/>
      <c r="M1063" s="164">
        <v>24</v>
      </c>
      <c r="N1063" s="164"/>
      <c r="O1063" s="164"/>
      <c r="P1063" s="159" t="s">
        <v>864</v>
      </c>
      <c r="Q1063" s="159" t="s">
        <v>482</v>
      </c>
      <c r="R1063" s="159" t="s">
        <v>2674</v>
      </c>
      <c r="S1063" s="165">
        <v>1.6114100446697699E-2</v>
      </c>
      <c r="T1063" s="166" t="s">
        <v>372</v>
      </c>
      <c r="U1063" s="166"/>
      <c r="V1063" s="166"/>
      <c r="W1063" s="167">
        <f>IF(BetTable[Sport]="","",BetTable[Stake]+BetTable[S2]+BetTable[S3])</f>
        <v>24</v>
      </c>
      <c r="X1063" s="164">
        <f>IF(BetTable[Odds]="","",(BetTable[WBA1-Commission])-BetTable[TS])</f>
        <v>25.439999999999998</v>
      </c>
      <c r="Y1063" s="168">
        <f>IF(BetTable[Outcome]="","",BetTable[WBA1]+BetTable[WBA2]+BetTable[WBA3]-BetTable[TS])</f>
        <v>25.439999999999998</v>
      </c>
      <c r="Z1063" s="164">
        <f>(((BetTable[Odds]-1)*BetTable[Stake])*(1-(BetTable[Comm %]))+BetTable[Stake])</f>
        <v>49.44</v>
      </c>
      <c r="AA1063" s="164">
        <f>(((BetTable[O2]-1)*BetTable[S2])*(1-(BetTable[C% 2]))+BetTable[S2])</f>
        <v>0</v>
      </c>
      <c r="AB1063" s="164">
        <f>(((BetTable[O3]-1)*BetTable[S3])*(1-(BetTable[C% 3]))+BetTable[S3])</f>
        <v>0</v>
      </c>
      <c r="AC1063" s="165">
        <f>IFERROR(IF(BetTable[Sport]="","",BetTable[R1]/BetTable[TS]),"")</f>
        <v>1.0599999999999998</v>
      </c>
      <c r="AD1063" s="165" t="str">
        <f>IF(BetTable[O2]="","",#REF!/BetTable[TS])</f>
        <v/>
      </c>
      <c r="AE1063" s="165" t="str">
        <f>IFERROR(IF(BetTable[Sport]="","",#REF!/BetTable[TS]),"")</f>
        <v/>
      </c>
      <c r="AF1063" s="164">
        <f>IF(BetTable[Outcome]="Win",BetTable[WBA1-Commission],IF(BetTable[Outcome]="Win Half Stake",(BetTable[Stake]/2)+BetTable[WBA1-Commission]/2,IF(BetTable[Outcome]="Lose Half Stake",BetTable[Stake]/2,IF(BetTable[Outcome]="Lose",0,IF(BetTable[Outcome]="Void",BetTable[Stake],)))))</f>
        <v>49.44</v>
      </c>
      <c r="AG1063" s="164">
        <f>IF(BetTable[Outcome2]="Win",BetTable[WBA2-Commission],IF(BetTable[Outcome2]="Win Half Stake",(BetTable[S2]/2)+BetTable[WBA2-Commission]/2,IF(BetTable[Outcome2]="Lose Half Stake",BetTable[S2]/2,IF(BetTable[Outcome2]="Lose",0,IF(BetTable[Outcome2]="Void",BetTable[S2],)))))</f>
        <v>0</v>
      </c>
      <c r="AH1063" s="164">
        <f>IF(BetTable[Outcome3]="Win",BetTable[WBA3-Commission],IF(BetTable[Outcome3]="Win Half Stake",(BetTable[S3]/2)+BetTable[WBA3-Commission]/2,IF(BetTable[Outcome3]="Lose Half Stake",BetTable[S3]/2,IF(BetTable[Outcome3]="Lose",0,IF(BetTable[Outcome3]="Void",BetTable[S3],)))))</f>
        <v>0</v>
      </c>
      <c r="AI1063" s="168">
        <f>IF(BetTable[Outcome]="",AI1062,BetTable[Result]+AI1062)</f>
        <v>2151.8812499999995</v>
      </c>
      <c r="AJ1063" s="160"/>
    </row>
    <row r="1064" spans="1:36" x14ac:dyDescent="0.2">
      <c r="A1064" s="159" t="s">
        <v>2601</v>
      </c>
      <c r="B1064" s="160" t="s">
        <v>200</v>
      </c>
      <c r="C1064" s="161" t="s">
        <v>216</v>
      </c>
      <c r="D1064" s="161"/>
      <c r="E1064" s="161"/>
      <c r="F1064" s="162"/>
      <c r="G1064" s="162"/>
      <c r="H1064" s="162"/>
      <c r="I1064" s="160" t="s">
        <v>2675</v>
      </c>
      <c r="J1064" s="163">
        <v>2.5499999999999998</v>
      </c>
      <c r="K1064" s="163"/>
      <c r="L1064" s="163"/>
      <c r="M1064" s="164">
        <v>17</v>
      </c>
      <c r="N1064" s="164"/>
      <c r="O1064" s="164"/>
      <c r="P1064" s="159" t="s">
        <v>791</v>
      </c>
      <c r="Q1064" s="159" t="s">
        <v>506</v>
      </c>
      <c r="R1064" s="159" t="s">
        <v>2676</v>
      </c>
      <c r="S1064" s="165">
        <v>1.6846061613069001E-2</v>
      </c>
      <c r="T1064" s="166" t="s">
        <v>382</v>
      </c>
      <c r="U1064" s="166"/>
      <c r="V1064" s="166"/>
      <c r="W1064" s="167">
        <f>IF(BetTable[Sport]="","",BetTable[Stake]+BetTable[S2]+BetTable[S3])</f>
        <v>17</v>
      </c>
      <c r="X1064" s="164">
        <f>IF(BetTable[Odds]="","",(BetTable[WBA1-Commission])-BetTable[TS])</f>
        <v>26.349999999999994</v>
      </c>
      <c r="Y1064" s="168">
        <f>IF(BetTable[Outcome]="","",BetTable[WBA1]+BetTable[WBA2]+BetTable[WBA3]-BetTable[TS])</f>
        <v>-17</v>
      </c>
      <c r="Z1064" s="164">
        <f>(((BetTable[Odds]-1)*BetTable[Stake])*(1-(BetTable[Comm %]))+BetTable[Stake])</f>
        <v>43.349999999999994</v>
      </c>
      <c r="AA1064" s="164">
        <f>(((BetTable[O2]-1)*BetTable[S2])*(1-(BetTable[C% 2]))+BetTable[S2])</f>
        <v>0</v>
      </c>
      <c r="AB1064" s="164">
        <f>(((BetTable[O3]-1)*BetTable[S3])*(1-(BetTable[C% 3]))+BetTable[S3])</f>
        <v>0</v>
      </c>
      <c r="AC1064" s="165">
        <f>IFERROR(IF(BetTable[Sport]="","",BetTable[R1]/BetTable[TS]),"")</f>
        <v>1.5499999999999996</v>
      </c>
      <c r="AD1064" s="165" t="str">
        <f>IF(BetTable[O2]="","",#REF!/BetTable[TS])</f>
        <v/>
      </c>
      <c r="AE1064" s="165" t="str">
        <f>IFERROR(IF(BetTable[Sport]="","",#REF!/BetTable[TS]),"")</f>
        <v/>
      </c>
      <c r="AF1064" s="164">
        <f>IF(BetTable[Outcome]="Win",BetTable[WBA1-Commission],IF(BetTable[Outcome]="Win Half Stake",(BetTable[Stake]/2)+BetTable[WBA1-Commission]/2,IF(BetTable[Outcome]="Lose Half Stake",BetTable[Stake]/2,IF(BetTable[Outcome]="Lose",0,IF(BetTable[Outcome]="Void",BetTable[Stake],)))))</f>
        <v>0</v>
      </c>
      <c r="AG1064" s="164">
        <f>IF(BetTable[Outcome2]="Win",BetTable[WBA2-Commission],IF(BetTable[Outcome2]="Win Half Stake",(BetTable[S2]/2)+BetTable[WBA2-Commission]/2,IF(BetTable[Outcome2]="Lose Half Stake",BetTable[S2]/2,IF(BetTable[Outcome2]="Lose",0,IF(BetTable[Outcome2]="Void",BetTable[S2],)))))</f>
        <v>0</v>
      </c>
      <c r="AH1064" s="164">
        <f>IF(BetTable[Outcome3]="Win",BetTable[WBA3-Commission],IF(BetTable[Outcome3]="Win Half Stake",(BetTable[S3]/2)+BetTable[WBA3-Commission]/2,IF(BetTable[Outcome3]="Lose Half Stake",BetTable[S3]/2,IF(BetTable[Outcome3]="Lose",0,IF(BetTable[Outcome3]="Void",BetTable[S3],)))))</f>
        <v>0</v>
      </c>
      <c r="AI1064" s="168">
        <f>IF(BetTable[Outcome]="",AI1063,BetTable[Result]+AI1063)</f>
        <v>2134.8812499999995</v>
      </c>
      <c r="AJ1064" s="160"/>
    </row>
    <row r="1065" spans="1:36" x14ac:dyDescent="0.2">
      <c r="A1065" s="159" t="s">
        <v>2601</v>
      </c>
      <c r="B1065" s="160" t="s">
        <v>200</v>
      </c>
      <c r="C1065" s="161" t="s">
        <v>1714</v>
      </c>
      <c r="D1065" s="161"/>
      <c r="E1065" s="161"/>
      <c r="F1065" s="162"/>
      <c r="G1065" s="162"/>
      <c r="H1065" s="162"/>
      <c r="I1065" s="160" t="s">
        <v>2610</v>
      </c>
      <c r="J1065" s="163">
        <v>2.04</v>
      </c>
      <c r="K1065" s="163"/>
      <c r="L1065" s="163"/>
      <c r="M1065" s="164">
        <v>43</v>
      </c>
      <c r="N1065" s="164"/>
      <c r="O1065" s="164"/>
      <c r="P1065" s="159" t="s">
        <v>498</v>
      </c>
      <c r="Q1065" s="159" t="s">
        <v>581</v>
      </c>
      <c r="R1065" s="159" t="s">
        <v>2677</v>
      </c>
      <c r="S1065" s="165">
        <v>2.89920676468753E-2</v>
      </c>
      <c r="T1065" s="166" t="s">
        <v>382</v>
      </c>
      <c r="U1065" s="166"/>
      <c r="V1065" s="166"/>
      <c r="W1065" s="167">
        <f>IF(BetTable[Sport]="","",BetTable[Stake]+BetTable[S2]+BetTable[S3])</f>
        <v>43</v>
      </c>
      <c r="X1065" s="164">
        <f>IF(BetTable[Odds]="","",(BetTable[WBA1-Commission])-BetTable[TS])</f>
        <v>44.72</v>
      </c>
      <c r="Y1065" s="168">
        <f>IF(BetTable[Outcome]="","",BetTable[WBA1]+BetTable[WBA2]+BetTable[WBA3]-BetTable[TS])</f>
        <v>-43</v>
      </c>
      <c r="Z1065" s="164">
        <f>(((BetTable[Odds]-1)*BetTable[Stake])*(1-(BetTable[Comm %]))+BetTable[Stake])</f>
        <v>87.72</v>
      </c>
      <c r="AA1065" s="164">
        <f>(((BetTable[O2]-1)*BetTable[S2])*(1-(BetTable[C% 2]))+BetTable[S2])</f>
        <v>0</v>
      </c>
      <c r="AB1065" s="164">
        <f>(((BetTable[O3]-1)*BetTable[S3])*(1-(BetTable[C% 3]))+BetTable[S3])</f>
        <v>0</v>
      </c>
      <c r="AC1065" s="165">
        <f>IFERROR(IF(BetTable[Sport]="","",BetTable[R1]/BetTable[TS]),"")</f>
        <v>1.04</v>
      </c>
      <c r="AD1065" s="165" t="str">
        <f>IF(BetTable[O2]="","",#REF!/BetTable[TS])</f>
        <v/>
      </c>
      <c r="AE1065" s="165" t="str">
        <f>IFERROR(IF(BetTable[Sport]="","",#REF!/BetTable[TS]),"")</f>
        <v/>
      </c>
      <c r="AF1065" s="164">
        <f>IF(BetTable[Outcome]="Win",BetTable[WBA1-Commission],IF(BetTable[Outcome]="Win Half Stake",(BetTable[Stake]/2)+BetTable[WBA1-Commission]/2,IF(BetTable[Outcome]="Lose Half Stake",BetTable[Stake]/2,IF(BetTable[Outcome]="Lose",0,IF(BetTable[Outcome]="Void",BetTable[Stake],)))))</f>
        <v>0</v>
      </c>
      <c r="AG1065" s="164">
        <f>IF(BetTable[Outcome2]="Win",BetTable[WBA2-Commission],IF(BetTable[Outcome2]="Win Half Stake",(BetTable[S2]/2)+BetTable[WBA2-Commission]/2,IF(BetTable[Outcome2]="Lose Half Stake",BetTable[S2]/2,IF(BetTable[Outcome2]="Lose",0,IF(BetTable[Outcome2]="Void",BetTable[S2],)))))</f>
        <v>0</v>
      </c>
      <c r="AH1065" s="164">
        <f>IF(BetTable[Outcome3]="Win",BetTable[WBA3-Commission],IF(BetTable[Outcome3]="Win Half Stake",(BetTable[S3]/2)+BetTable[WBA3-Commission]/2,IF(BetTable[Outcome3]="Lose Half Stake",BetTable[S3]/2,IF(BetTable[Outcome3]="Lose",0,IF(BetTable[Outcome3]="Void",BetTable[S3],)))))</f>
        <v>0</v>
      </c>
      <c r="AI1065" s="168">
        <f>IF(BetTable[Outcome]="",AI1064,BetTable[Result]+AI1064)</f>
        <v>2091.8812499999995</v>
      </c>
      <c r="AJ1065" s="160"/>
    </row>
    <row r="1066" spans="1:36" x14ac:dyDescent="0.2">
      <c r="A1066" s="159" t="s">
        <v>2601</v>
      </c>
      <c r="B1066" s="160" t="s">
        <v>7</v>
      </c>
      <c r="C1066" s="161" t="s">
        <v>216</v>
      </c>
      <c r="D1066" s="161"/>
      <c r="E1066" s="161"/>
      <c r="F1066" s="162"/>
      <c r="G1066" s="162"/>
      <c r="H1066" s="162"/>
      <c r="I1066" s="160" t="s">
        <v>2678</v>
      </c>
      <c r="J1066" s="163">
        <v>1.87</v>
      </c>
      <c r="K1066" s="163"/>
      <c r="L1066" s="163"/>
      <c r="M1066" s="164">
        <v>28</v>
      </c>
      <c r="N1066" s="164"/>
      <c r="O1066" s="164"/>
      <c r="P1066" s="159" t="s">
        <v>2679</v>
      </c>
      <c r="Q1066" s="159" t="s">
        <v>488</v>
      </c>
      <c r="R1066" s="159" t="s">
        <v>2680</v>
      </c>
      <c r="S1066" s="165">
        <v>4.2939261828850599E-2</v>
      </c>
      <c r="T1066" s="166" t="s">
        <v>372</v>
      </c>
      <c r="U1066" s="166"/>
      <c r="V1066" s="166"/>
      <c r="W1066" s="167">
        <f>IF(BetTable[Sport]="","",BetTable[Stake]+BetTable[S2]+BetTable[S3])</f>
        <v>28</v>
      </c>
      <c r="X1066" s="164">
        <f>IF(BetTable[Odds]="","",(BetTable[WBA1-Commission])-BetTable[TS])</f>
        <v>24.36</v>
      </c>
      <c r="Y1066" s="168">
        <f>IF(BetTable[Outcome]="","",BetTable[WBA1]+BetTable[WBA2]+BetTable[WBA3]-BetTable[TS])</f>
        <v>24.36</v>
      </c>
      <c r="Z1066" s="164">
        <f>(((BetTable[Odds]-1)*BetTable[Stake])*(1-(BetTable[Comm %]))+BetTable[Stake])</f>
        <v>52.36</v>
      </c>
      <c r="AA1066" s="164">
        <f>(((BetTable[O2]-1)*BetTable[S2])*(1-(BetTable[C% 2]))+BetTable[S2])</f>
        <v>0</v>
      </c>
      <c r="AB1066" s="164">
        <f>(((BetTable[O3]-1)*BetTable[S3])*(1-(BetTable[C% 3]))+BetTable[S3])</f>
        <v>0</v>
      </c>
      <c r="AC1066" s="165">
        <f>IFERROR(IF(BetTable[Sport]="","",BetTable[R1]/BetTable[TS]),"")</f>
        <v>0.87</v>
      </c>
      <c r="AD1066" s="165" t="str">
        <f>IF(BetTable[O2]="","",#REF!/BetTable[TS])</f>
        <v/>
      </c>
      <c r="AE1066" s="165" t="str">
        <f>IFERROR(IF(BetTable[Sport]="","",#REF!/BetTable[TS]),"")</f>
        <v/>
      </c>
      <c r="AF1066" s="164">
        <f>IF(BetTable[Outcome]="Win",BetTable[WBA1-Commission],IF(BetTable[Outcome]="Win Half Stake",(BetTable[Stake]/2)+BetTable[WBA1-Commission]/2,IF(BetTable[Outcome]="Lose Half Stake",BetTable[Stake]/2,IF(BetTable[Outcome]="Lose",0,IF(BetTable[Outcome]="Void",BetTable[Stake],)))))</f>
        <v>52.36</v>
      </c>
      <c r="AG1066" s="164">
        <f>IF(BetTable[Outcome2]="Win",BetTable[WBA2-Commission],IF(BetTable[Outcome2]="Win Half Stake",(BetTable[S2]/2)+BetTable[WBA2-Commission]/2,IF(BetTable[Outcome2]="Lose Half Stake",BetTable[S2]/2,IF(BetTable[Outcome2]="Lose",0,IF(BetTable[Outcome2]="Void",BetTable[S2],)))))</f>
        <v>0</v>
      </c>
      <c r="AH1066" s="164">
        <f>IF(BetTable[Outcome3]="Win",BetTable[WBA3-Commission],IF(BetTable[Outcome3]="Win Half Stake",(BetTable[S3]/2)+BetTable[WBA3-Commission]/2,IF(BetTable[Outcome3]="Lose Half Stake",BetTable[S3]/2,IF(BetTable[Outcome3]="Lose",0,IF(BetTable[Outcome3]="Void",BetTable[S3],)))))</f>
        <v>0</v>
      </c>
      <c r="AI1066" s="168">
        <f>IF(BetTable[Outcome]="",AI1065,BetTable[Result]+AI1065)</f>
        <v>2116.2412499999996</v>
      </c>
      <c r="AJ1066" s="160"/>
    </row>
    <row r="1067" spans="1:36" x14ac:dyDescent="0.2">
      <c r="A1067" s="159" t="s">
        <v>2601</v>
      </c>
      <c r="B1067" s="160" t="s">
        <v>7</v>
      </c>
      <c r="C1067" s="161" t="s">
        <v>216</v>
      </c>
      <c r="D1067" s="161"/>
      <c r="E1067" s="161"/>
      <c r="F1067" s="162"/>
      <c r="G1067" s="162"/>
      <c r="H1067" s="162"/>
      <c r="I1067" s="160" t="s">
        <v>2678</v>
      </c>
      <c r="J1067" s="163">
        <v>3.3</v>
      </c>
      <c r="K1067" s="163"/>
      <c r="L1067" s="163"/>
      <c r="M1067" s="164">
        <v>25</v>
      </c>
      <c r="N1067" s="164"/>
      <c r="O1067" s="164"/>
      <c r="P1067" s="159" t="s">
        <v>435</v>
      </c>
      <c r="Q1067" s="159" t="s">
        <v>488</v>
      </c>
      <c r="R1067" s="159" t="s">
        <v>2681</v>
      </c>
      <c r="S1067" s="165">
        <v>7.8623048943956803E-2</v>
      </c>
      <c r="T1067" s="166" t="s">
        <v>372</v>
      </c>
      <c r="U1067" s="166"/>
      <c r="V1067" s="166"/>
      <c r="W1067" s="167">
        <f>IF(BetTable[Sport]="","",BetTable[Stake]+BetTable[S2]+BetTable[S3])</f>
        <v>25</v>
      </c>
      <c r="X1067" s="164">
        <f>IF(BetTable[Odds]="","",(BetTable[WBA1-Commission])-BetTable[TS])</f>
        <v>57.5</v>
      </c>
      <c r="Y1067" s="168">
        <f>IF(BetTable[Outcome]="","",BetTable[WBA1]+BetTable[WBA2]+BetTable[WBA3]-BetTable[TS])</f>
        <v>57.5</v>
      </c>
      <c r="Z1067" s="164">
        <f>(((BetTable[Odds]-1)*BetTable[Stake])*(1-(BetTable[Comm %]))+BetTable[Stake])</f>
        <v>82.5</v>
      </c>
      <c r="AA1067" s="164">
        <f>(((BetTable[O2]-1)*BetTable[S2])*(1-(BetTable[C% 2]))+BetTable[S2])</f>
        <v>0</v>
      </c>
      <c r="AB1067" s="164">
        <f>(((BetTable[O3]-1)*BetTable[S3])*(1-(BetTable[C% 3]))+BetTable[S3])</f>
        <v>0</v>
      </c>
      <c r="AC1067" s="165">
        <f>IFERROR(IF(BetTable[Sport]="","",BetTable[R1]/BetTable[TS]),"")</f>
        <v>2.2999999999999998</v>
      </c>
      <c r="AD1067" s="165" t="str">
        <f>IF(BetTable[O2]="","",#REF!/BetTable[TS])</f>
        <v/>
      </c>
      <c r="AE1067" s="165" t="str">
        <f>IFERROR(IF(BetTable[Sport]="","",#REF!/BetTable[TS]),"")</f>
        <v/>
      </c>
      <c r="AF1067" s="164">
        <f>IF(BetTable[Outcome]="Win",BetTable[WBA1-Commission],IF(BetTable[Outcome]="Win Half Stake",(BetTable[Stake]/2)+BetTable[WBA1-Commission]/2,IF(BetTable[Outcome]="Lose Half Stake",BetTable[Stake]/2,IF(BetTable[Outcome]="Lose",0,IF(BetTable[Outcome]="Void",BetTable[Stake],)))))</f>
        <v>82.5</v>
      </c>
      <c r="AG1067" s="164">
        <f>IF(BetTable[Outcome2]="Win",BetTable[WBA2-Commission],IF(BetTable[Outcome2]="Win Half Stake",(BetTable[S2]/2)+BetTable[WBA2-Commission]/2,IF(BetTable[Outcome2]="Lose Half Stake",BetTable[S2]/2,IF(BetTable[Outcome2]="Lose",0,IF(BetTable[Outcome2]="Void",BetTable[S2],)))))</f>
        <v>0</v>
      </c>
      <c r="AH1067" s="164">
        <f>IF(BetTable[Outcome3]="Win",BetTable[WBA3-Commission],IF(BetTable[Outcome3]="Win Half Stake",(BetTable[S3]/2)+BetTable[WBA3-Commission]/2,IF(BetTable[Outcome3]="Lose Half Stake",BetTable[S3]/2,IF(BetTable[Outcome3]="Lose",0,IF(BetTable[Outcome3]="Void",BetTable[S3],)))))</f>
        <v>0</v>
      </c>
      <c r="AI1067" s="168">
        <f>IF(BetTable[Outcome]="",AI1066,BetTable[Result]+AI1066)</f>
        <v>2173.7412499999996</v>
      </c>
      <c r="AJ1067" s="160"/>
    </row>
    <row r="1068" spans="1:36" x14ac:dyDescent="0.2">
      <c r="A1068" s="159" t="s">
        <v>2601</v>
      </c>
      <c r="B1068" s="160" t="s">
        <v>200</v>
      </c>
      <c r="C1068" s="161" t="s">
        <v>1714</v>
      </c>
      <c r="D1068" s="161"/>
      <c r="E1068" s="161"/>
      <c r="F1068" s="162"/>
      <c r="G1068" s="162"/>
      <c r="H1068" s="162"/>
      <c r="I1068" s="160" t="s">
        <v>2682</v>
      </c>
      <c r="J1068" s="163">
        <v>3.2</v>
      </c>
      <c r="K1068" s="163"/>
      <c r="L1068" s="163"/>
      <c r="M1068" s="164">
        <v>33</v>
      </c>
      <c r="N1068" s="164"/>
      <c r="O1068" s="164"/>
      <c r="P1068" s="159" t="s">
        <v>494</v>
      </c>
      <c r="Q1068" s="159" t="s">
        <v>540</v>
      </c>
      <c r="R1068" s="159" t="s">
        <v>2683</v>
      </c>
      <c r="S1068" s="165">
        <v>4.6239321430176998E-2</v>
      </c>
      <c r="T1068" s="166" t="s">
        <v>382</v>
      </c>
      <c r="U1068" s="166"/>
      <c r="V1068" s="166"/>
      <c r="W1068" s="167">
        <f>IF(BetTable[Sport]="","",BetTable[Stake]+BetTable[S2]+BetTable[S3])</f>
        <v>33</v>
      </c>
      <c r="X1068" s="164">
        <f>IF(BetTable[Odds]="","",(BetTable[WBA1-Commission])-BetTable[TS])</f>
        <v>72.600000000000009</v>
      </c>
      <c r="Y1068" s="168">
        <f>IF(BetTable[Outcome]="","",BetTable[WBA1]+BetTable[WBA2]+BetTable[WBA3]-BetTable[TS])</f>
        <v>-33</v>
      </c>
      <c r="Z1068" s="164">
        <f>(((BetTable[Odds]-1)*BetTable[Stake])*(1-(BetTable[Comm %]))+BetTable[Stake])</f>
        <v>105.60000000000001</v>
      </c>
      <c r="AA1068" s="164">
        <f>(((BetTable[O2]-1)*BetTable[S2])*(1-(BetTable[C% 2]))+BetTable[S2])</f>
        <v>0</v>
      </c>
      <c r="AB1068" s="164">
        <f>(((BetTable[O3]-1)*BetTable[S3])*(1-(BetTable[C% 3]))+BetTable[S3])</f>
        <v>0</v>
      </c>
      <c r="AC1068" s="165">
        <f>IFERROR(IF(BetTable[Sport]="","",BetTable[R1]/BetTable[TS]),"")</f>
        <v>2.2000000000000002</v>
      </c>
      <c r="AD1068" s="165" t="str">
        <f>IF(BetTable[O2]="","",#REF!/BetTable[TS])</f>
        <v/>
      </c>
      <c r="AE1068" s="165" t="str">
        <f>IFERROR(IF(BetTable[Sport]="","",#REF!/BetTable[TS]),"")</f>
        <v/>
      </c>
      <c r="AF1068" s="164">
        <f>IF(BetTable[Outcome]="Win",BetTable[WBA1-Commission],IF(BetTable[Outcome]="Win Half Stake",(BetTable[Stake]/2)+BetTable[WBA1-Commission]/2,IF(BetTable[Outcome]="Lose Half Stake",BetTable[Stake]/2,IF(BetTable[Outcome]="Lose",0,IF(BetTable[Outcome]="Void",BetTable[Stake],)))))</f>
        <v>0</v>
      </c>
      <c r="AG1068" s="164">
        <f>IF(BetTable[Outcome2]="Win",BetTable[WBA2-Commission],IF(BetTable[Outcome2]="Win Half Stake",(BetTable[S2]/2)+BetTable[WBA2-Commission]/2,IF(BetTable[Outcome2]="Lose Half Stake",BetTable[S2]/2,IF(BetTable[Outcome2]="Lose",0,IF(BetTable[Outcome2]="Void",BetTable[S2],)))))</f>
        <v>0</v>
      </c>
      <c r="AH1068" s="164">
        <f>IF(BetTable[Outcome3]="Win",BetTable[WBA3-Commission],IF(BetTable[Outcome3]="Win Half Stake",(BetTable[S3]/2)+BetTable[WBA3-Commission]/2,IF(BetTable[Outcome3]="Lose Half Stake",BetTable[S3]/2,IF(BetTable[Outcome3]="Lose",0,IF(BetTable[Outcome3]="Void",BetTable[S3],)))))</f>
        <v>0</v>
      </c>
      <c r="AI1068" s="168">
        <f>IF(BetTable[Outcome]="",AI1067,BetTable[Result]+AI1067)</f>
        <v>2140.7412499999996</v>
      </c>
      <c r="AJ1068" s="160"/>
    </row>
    <row r="1069" spans="1:36" x14ac:dyDescent="0.2">
      <c r="A1069" s="159" t="s">
        <v>2601</v>
      </c>
      <c r="B1069" s="160" t="s">
        <v>200</v>
      </c>
      <c r="C1069" s="161" t="s">
        <v>1714</v>
      </c>
      <c r="D1069" s="161"/>
      <c r="E1069" s="161"/>
      <c r="F1069" s="162"/>
      <c r="G1069" s="162"/>
      <c r="H1069" s="162"/>
      <c r="I1069" s="160" t="s">
        <v>2684</v>
      </c>
      <c r="J1069" s="163">
        <v>2.11</v>
      </c>
      <c r="K1069" s="163"/>
      <c r="L1069" s="163"/>
      <c r="M1069" s="164">
        <v>50</v>
      </c>
      <c r="N1069" s="164"/>
      <c r="O1069" s="164"/>
      <c r="P1069" s="159" t="s">
        <v>385</v>
      </c>
      <c r="Q1069" s="159" t="s">
        <v>677</v>
      </c>
      <c r="R1069" s="159" t="s">
        <v>2685</v>
      </c>
      <c r="S1069" s="165">
        <v>3.5852784859088598E-2</v>
      </c>
      <c r="T1069" s="166" t="s">
        <v>382</v>
      </c>
      <c r="U1069" s="166"/>
      <c r="V1069" s="166"/>
      <c r="W1069" s="167">
        <f>IF(BetTable[Sport]="","",BetTable[Stake]+BetTable[S2]+BetTable[S3])</f>
        <v>50</v>
      </c>
      <c r="X1069" s="164">
        <f>IF(BetTable[Odds]="","",(BetTable[WBA1-Commission])-BetTable[TS])</f>
        <v>55.5</v>
      </c>
      <c r="Y1069" s="168">
        <f>IF(BetTable[Outcome]="","",BetTable[WBA1]+BetTable[WBA2]+BetTable[WBA3]-BetTable[TS])</f>
        <v>-50</v>
      </c>
      <c r="Z1069" s="164">
        <f>(((BetTable[Odds]-1)*BetTable[Stake])*(1-(BetTable[Comm %]))+BetTable[Stake])</f>
        <v>105.5</v>
      </c>
      <c r="AA1069" s="164">
        <f>(((BetTable[O2]-1)*BetTable[S2])*(1-(BetTable[C% 2]))+BetTable[S2])</f>
        <v>0</v>
      </c>
      <c r="AB1069" s="164">
        <f>(((BetTable[O3]-1)*BetTable[S3])*(1-(BetTable[C% 3]))+BetTable[S3])</f>
        <v>0</v>
      </c>
      <c r="AC1069" s="165">
        <f>IFERROR(IF(BetTable[Sport]="","",BetTable[R1]/BetTable[TS]),"")</f>
        <v>1.1100000000000001</v>
      </c>
      <c r="AD1069" s="165" t="str">
        <f>IF(BetTable[O2]="","",#REF!/BetTable[TS])</f>
        <v/>
      </c>
      <c r="AE1069" s="165" t="str">
        <f>IFERROR(IF(BetTable[Sport]="","",#REF!/BetTable[TS]),"")</f>
        <v/>
      </c>
      <c r="AF1069" s="164">
        <f>IF(BetTable[Outcome]="Win",BetTable[WBA1-Commission],IF(BetTable[Outcome]="Win Half Stake",(BetTable[Stake]/2)+BetTable[WBA1-Commission]/2,IF(BetTable[Outcome]="Lose Half Stake",BetTable[Stake]/2,IF(BetTable[Outcome]="Lose",0,IF(BetTable[Outcome]="Void",BetTable[Stake],)))))</f>
        <v>0</v>
      </c>
      <c r="AG1069" s="164">
        <f>IF(BetTable[Outcome2]="Win",BetTable[WBA2-Commission],IF(BetTable[Outcome2]="Win Half Stake",(BetTable[S2]/2)+BetTable[WBA2-Commission]/2,IF(BetTable[Outcome2]="Lose Half Stake",BetTable[S2]/2,IF(BetTable[Outcome2]="Lose",0,IF(BetTable[Outcome2]="Void",BetTable[S2],)))))</f>
        <v>0</v>
      </c>
      <c r="AH1069" s="164">
        <f>IF(BetTable[Outcome3]="Win",BetTable[WBA3-Commission],IF(BetTable[Outcome3]="Win Half Stake",(BetTable[S3]/2)+BetTable[WBA3-Commission]/2,IF(BetTable[Outcome3]="Lose Half Stake",BetTable[S3]/2,IF(BetTable[Outcome3]="Lose",0,IF(BetTable[Outcome3]="Void",BetTable[S3],)))))</f>
        <v>0</v>
      </c>
      <c r="AI1069" s="168">
        <f>IF(BetTable[Outcome]="",AI1068,BetTable[Result]+AI1068)</f>
        <v>2090.7412499999996</v>
      </c>
      <c r="AJ1069" s="160"/>
    </row>
    <row r="1070" spans="1:36" x14ac:dyDescent="0.2">
      <c r="A1070" s="159" t="s">
        <v>2601</v>
      </c>
      <c r="B1070" s="160" t="s">
        <v>9</v>
      </c>
      <c r="C1070" s="161" t="s">
        <v>216</v>
      </c>
      <c r="D1070" s="161"/>
      <c r="E1070" s="161"/>
      <c r="F1070" s="162"/>
      <c r="G1070" s="162"/>
      <c r="H1070" s="162"/>
      <c r="I1070" s="160" t="s">
        <v>2686</v>
      </c>
      <c r="J1070" s="163">
        <v>2.5499999999999998</v>
      </c>
      <c r="K1070" s="163"/>
      <c r="L1070" s="163"/>
      <c r="M1070" s="164">
        <v>31</v>
      </c>
      <c r="N1070" s="164"/>
      <c r="O1070" s="164"/>
      <c r="P1070" s="159" t="s">
        <v>428</v>
      </c>
      <c r="Q1070" s="159" t="s">
        <v>530</v>
      </c>
      <c r="R1070" s="159" t="s">
        <v>2687</v>
      </c>
      <c r="S1070" s="165">
        <v>3.1249392156385999E-2</v>
      </c>
      <c r="T1070" s="166" t="s">
        <v>372</v>
      </c>
      <c r="U1070" s="166"/>
      <c r="V1070" s="166"/>
      <c r="W1070" s="167">
        <f>IF(BetTable[Sport]="","",BetTable[Stake]+BetTable[S2]+BetTable[S3])</f>
        <v>31</v>
      </c>
      <c r="X1070" s="164">
        <f>IF(BetTable[Odds]="","",(BetTable[WBA1-Commission])-BetTable[TS])</f>
        <v>48.05</v>
      </c>
      <c r="Y1070" s="168">
        <f>IF(BetTable[Outcome]="","",BetTable[WBA1]+BetTable[WBA2]+BetTable[WBA3]-BetTable[TS])</f>
        <v>48.05</v>
      </c>
      <c r="Z1070" s="164">
        <f>(((BetTable[Odds]-1)*BetTable[Stake])*(1-(BetTable[Comm %]))+BetTable[Stake])</f>
        <v>79.05</v>
      </c>
      <c r="AA1070" s="164">
        <f>(((BetTable[O2]-1)*BetTable[S2])*(1-(BetTable[C% 2]))+BetTable[S2])</f>
        <v>0</v>
      </c>
      <c r="AB1070" s="164">
        <f>(((BetTable[O3]-1)*BetTable[S3])*(1-(BetTable[C% 3]))+BetTable[S3])</f>
        <v>0</v>
      </c>
      <c r="AC1070" s="165">
        <f>IFERROR(IF(BetTable[Sport]="","",BetTable[R1]/BetTable[TS]),"")</f>
        <v>1.5499999999999998</v>
      </c>
      <c r="AD1070" s="165" t="str">
        <f>IF(BetTable[O2]="","",#REF!/BetTable[TS])</f>
        <v/>
      </c>
      <c r="AE1070" s="165" t="str">
        <f>IFERROR(IF(BetTable[Sport]="","",#REF!/BetTable[TS]),"")</f>
        <v/>
      </c>
      <c r="AF1070" s="164">
        <f>IF(BetTable[Outcome]="Win",BetTable[WBA1-Commission],IF(BetTable[Outcome]="Win Half Stake",(BetTable[Stake]/2)+BetTable[WBA1-Commission]/2,IF(BetTable[Outcome]="Lose Half Stake",BetTable[Stake]/2,IF(BetTable[Outcome]="Lose",0,IF(BetTable[Outcome]="Void",BetTable[Stake],)))))</f>
        <v>79.05</v>
      </c>
      <c r="AG1070" s="164">
        <f>IF(BetTable[Outcome2]="Win",BetTable[WBA2-Commission],IF(BetTable[Outcome2]="Win Half Stake",(BetTable[S2]/2)+BetTable[WBA2-Commission]/2,IF(BetTable[Outcome2]="Lose Half Stake",BetTable[S2]/2,IF(BetTable[Outcome2]="Lose",0,IF(BetTable[Outcome2]="Void",BetTable[S2],)))))</f>
        <v>0</v>
      </c>
      <c r="AH1070" s="164">
        <f>IF(BetTable[Outcome3]="Win",BetTable[WBA3-Commission],IF(BetTable[Outcome3]="Win Half Stake",(BetTable[S3]/2)+BetTable[WBA3-Commission]/2,IF(BetTable[Outcome3]="Lose Half Stake",BetTable[S3]/2,IF(BetTable[Outcome3]="Lose",0,IF(BetTable[Outcome3]="Void",BetTable[S3],)))))</f>
        <v>0</v>
      </c>
      <c r="AI1070" s="168">
        <f>IF(BetTable[Outcome]="",AI1069,BetTable[Result]+AI1069)</f>
        <v>2138.7912499999998</v>
      </c>
      <c r="AJ1070" s="160"/>
    </row>
    <row r="1071" spans="1:36" x14ac:dyDescent="0.2">
      <c r="A1071" s="159" t="s">
        <v>2601</v>
      </c>
      <c r="B1071" s="160" t="s">
        <v>200</v>
      </c>
      <c r="C1071" s="161" t="s">
        <v>1714</v>
      </c>
      <c r="D1071" s="161"/>
      <c r="E1071" s="161"/>
      <c r="F1071" s="162"/>
      <c r="G1071" s="162"/>
      <c r="H1071" s="162"/>
      <c r="I1071" s="160" t="s">
        <v>2672</v>
      </c>
      <c r="J1071" s="163">
        <v>1.74</v>
      </c>
      <c r="K1071" s="163"/>
      <c r="L1071" s="163"/>
      <c r="M1071" s="164">
        <v>38</v>
      </c>
      <c r="N1071" s="164"/>
      <c r="O1071" s="164"/>
      <c r="P1071" s="159" t="s">
        <v>652</v>
      </c>
      <c r="Q1071" s="159" t="s">
        <v>677</v>
      </c>
      <c r="R1071" s="159" t="s">
        <v>2688</v>
      </c>
      <c r="S1071" s="165">
        <v>1.8033159250965901E-2</v>
      </c>
      <c r="T1071" s="166" t="s">
        <v>382</v>
      </c>
      <c r="U1071" s="166"/>
      <c r="V1071" s="166"/>
      <c r="W1071" s="167">
        <f>IF(BetTable[Sport]="","",BetTable[Stake]+BetTable[S2]+BetTable[S3])</f>
        <v>38</v>
      </c>
      <c r="X1071" s="164">
        <f>IF(BetTable[Odds]="","",(BetTable[WBA1-Commission])-BetTable[TS])</f>
        <v>28.120000000000005</v>
      </c>
      <c r="Y1071" s="168">
        <f>IF(BetTable[Outcome]="","",BetTable[WBA1]+BetTable[WBA2]+BetTable[WBA3]-BetTable[TS])</f>
        <v>-38</v>
      </c>
      <c r="Z1071" s="164">
        <f>(((BetTable[Odds]-1)*BetTable[Stake])*(1-(BetTable[Comm %]))+BetTable[Stake])</f>
        <v>66.12</v>
      </c>
      <c r="AA1071" s="164">
        <f>(((BetTable[O2]-1)*BetTable[S2])*(1-(BetTable[C% 2]))+BetTable[S2])</f>
        <v>0</v>
      </c>
      <c r="AB1071" s="164">
        <f>(((BetTable[O3]-1)*BetTable[S3])*(1-(BetTable[C% 3]))+BetTable[S3])</f>
        <v>0</v>
      </c>
      <c r="AC1071" s="165">
        <f>IFERROR(IF(BetTable[Sport]="","",BetTable[R1]/BetTable[TS]),"")</f>
        <v>0.7400000000000001</v>
      </c>
      <c r="AD1071" s="165" t="str">
        <f>IF(BetTable[O2]="","",#REF!/BetTable[TS])</f>
        <v/>
      </c>
      <c r="AE1071" s="165" t="str">
        <f>IFERROR(IF(BetTable[Sport]="","",#REF!/BetTable[TS]),"")</f>
        <v/>
      </c>
      <c r="AF1071" s="164">
        <f>IF(BetTable[Outcome]="Win",BetTable[WBA1-Commission],IF(BetTable[Outcome]="Win Half Stake",(BetTable[Stake]/2)+BetTable[WBA1-Commission]/2,IF(BetTable[Outcome]="Lose Half Stake",BetTable[Stake]/2,IF(BetTable[Outcome]="Lose",0,IF(BetTable[Outcome]="Void",BetTable[Stake],)))))</f>
        <v>0</v>
      </c>
      <c r="AG1071" s="164">
        <f>IF(BetTable[Outcome2]="Win",BetTable[WBA2-Commission],IF(BetTable[Outcome2]="Win Half Stake",(BetTable[S2]/2)+BetTable[WBA2-Commission]/2,IF(BetTable[Outcome2]="Lose Half Stake",BetTable[S2]/2,IF(BetTable[Outcome2]="Lose",0,IF(BetTable[Outcome2]="Void",BetTable[S2],)))))</f>
        <v>0</v>
      </c>
      <c r="AH1071" s="164">
        <f>IF(BetTable[Outcome3]="Win",BetTable[WBA3-Commission],IF(BetTable[Outcome3]="Win Half Stake",(BetTable[S3]/2)+BetTable[WBA3-Commission]/2,IF(BetTable[Outcome3]="Lose Half Stake",BetTable[S3]/2,IF(BetTable[Outcome3]="Lose",0,IF(BetTable[Outcome3]="Void",BetTable[S3],)))))</f>
        <v>0</v>
      </c>
      <c r="AI1071" s="168">
        <f>IF(BetTable[Outcome]="",AI1070,BetTable[Result]+AI1070)</f>
        <v>2100.7912499999998</v>
      </c>
      <c r="AJ1071" s="160"/>
    </row>
    <row r="1072" spans="1:36" x14ac:dyDescent="0.2">
      <c r="A1072" s="159" t="s">
        <v>2601</v>
      </c>
      <c r="B1072" s="160" t="s">
        <v>200</v>
      </c>
      <c r="C1072" s="161" t="s">
        <v>1714</v>
      </c>
      <c r="D1072" s="161"/>
      <c r="E1072" s="161"/>
      <c r="F1072" s="162"/>
      <c r="G1072" s="162"/>
      <c r="H1072" s="162"/>
      <c r="I1072" s="160" t="s">
        <v>2689</v>
      </c>
      <c r="J1072" s="163">
        <v>1.55</v>
      </c>
      <c r="K1072" s="163"/>
      <c r="L1072" s="163"/>
      <c r="M1072" s="164">
        <v>67</v>
      </c>
      <c r="N1072" s="164"/>
      <c r="O1072" s="164"/>
      <c r="P1072" s="159" t="s">
        <v>791</v>
      </c>
      <c r="Q1072" s="159" t="s">
        <v>429</v>
      </c>
      <c r="R1072" s="159" t="s">
        <v>2690</v>
      </c>
      <c r="S1072" s="165">
        <v>2.3665905707893699E-2</v>
      </c>
      <c r="T1072" s="166" t="s">
        <v>372</v>
      </c>
      <c r="U1072" s="166"/>
      <c r="V1072" s="166"/>
      <c r="W1072" s="167">
        <f>IF(BetTable[Sport]="","",BetTable[Stake]+BetTable[S2]+BetTable[S3])</f>
        <v>67</v>
      </c>
      <c r="X1072" s="164">
        <f>IF(BetTable[Odds]="","",(BetTable[WBA1-Commission])-BetTable[TS])</f>
        <v>36.849999999999994</v>
      </c>
      <c r="Y1072" s="168">
        <f>IF(BetTable[Outcome]="","",BetTable[WBA1]+BetTable[WBA2]+BetTable[WBA3]-BetTable[TS])</f>
        <v>36.849999999999994</v>
      </c>
      <c r="Z1072" s="164">
        <f>(((BetTable[Odds]-1)*BetTable[Stake])*(1-(BetTable[Comm %]))+BetTable[Stake])</f>
        <v>103.85</v>
      </c>
      <c r="AA1072" s="164">
        <f>(((BetTable[O2]-1)*BetTable[S2])*(1-(BetTable[C% 2]))+BetTable[S2])</f>
        <v>0</v>
      </c>
      <c r="AB1072" s="164">
        <f>(((BetTable[O3]-1)*BetTable[S3])*(1-(BetTable[C% 3]))+BetTable[S3])</f>
        <v>0</v>
      </c>
      <c r="AC1072" s="165">
        <f>IFERROR(IF(BetTable[Sport]="","",BetTable[R1]/BetTable[TS]),"")</f>
        <v>0.54999999999999993</v>
      </c>
      <c r="AD1072" s="165" t="str">
        <f>IF(BetTable[O2]="","",#REF!/BetTable[TS])</f>
        <v/>
      </c>
      <c r="AE1072" s="165" t="str">
        <f>IFERROR(IF(BetTable[Sport]="","",#REF!/BetTable[TS]),"")</f>
        <v/>
      </c>
      <c r="AF1072" s="164">
        <f>IF(BetTable[Outcome]="Win",BetTable[WBA1-Commission],IF(BetTable[Outcome]="Win Half Stake",(BetTable[Stake]/2)+BetTable[WBA1-Commission]/2,IF(BetTable[Outcome]="Lose Half Stake",BetTable[Stake]/2,IF(BetTable[Outcome]="Lose",0,IF(BetTable[Outcome]="Void",BetTable[Stake],)))))</f>
        <v>103.85</v>
      </c>
      <c r="AG1072" s="164">
        <f>IF(BetTable[Outcome2]="Win",BetTable[WBA2-Commission],IF(BetTable[Outcome2]="Win Half Stake",(BetTable[S2]/2)+BetTable[WBA2-Commission]/2,IF(BetTable[Outcome2]="Lose Half Stake",BetTable[S2]/2,IF(BetTable[Outcome2]="Lose",0,IF(BetTable[Outcome2]="Void",BetTable[S2],)))))</f>
        <v>0</v>
      </c>
      <c r="AH1072" s="164">
        <f>IF(BetTable[Outcome3]="Win",BetTable[WBA3-Commission],IF(BetTable[Outcome3]="Win Half Stake",(BetTable[S3]/2)+BetTable[WBA3-Commission]/2,IF(BetTable[Outcome3]="Lose Half Stake",BetTable[S3]/2,IF(BetTable[Outcome3]="Lose",0,IF(BetTable[Outcome3]="Void",BetTable[S3],)))))</f>
        <v>0</v>
      </c>
      <c r="AI1072" s="168">
        <f>IF(BetTable[Outcome]="",AI1071,BetTable[Result]+AI1071)</f>
        <v>2137.6412499999997</v>
      </c>
      <c r="AJ1072" s="160"/>
    </row>
    <row r="1073" spans="1:36" x14ac:dyDescent="0.2">
      <c r="A1073" s="159" t="s">
        <v>2601</v>
      </c>
      <c r="B1073" s="160" t="s">
        <v>200</v>
      </c>
      <c r="C1073" s="161" t="s">
        <v>1714</v>
      </c>
      <c r="D1073" s="161"/>
      <c r="E1073" s="161"/>
      <c r="F1073" s="162"/>
      <c r="G1073" s="162"/>
      <c r="H1073" s="162"/>
      <c r="I1073" s="160" t="s">
        <v>2691</v>
      </c>
      <c r="J1073" s="163">
        <v>2.0310000000000001</v>
      </c>
      <c r="K1073" s="163"/>
      <c r="L1073" s="163"/>
      <c r="M1073" s="164">
        <v>27</v>
      </c>
      <c r="N1073" s="164"/>
      <c r="O1073" s="164"/>
      <c r="P1073" s="159" t="s">
        <v>543</v>
      </c>
      <c r="Q1073" s="159" t="s">
        <v>458</v>
      </c>
      <c r="R1073" s="159" t="s">
        <v>2692</v>
      </c>
      <c r="S1073" s="165">
        <v>1.78136627664277E-2</v>
      </c>
      <c r="T1073" s="166" t="s">
        <v>510</v>
      </c>
      <c r="U1073" s="166"/>
      <c r="V1073" s="166"/>
      <c r="W1073" s="167">
        <f>IF(BetTable[Sport]="","",BetTable[Stake]+BetTable[S2]+BetTable[S3])</f>
        <v>27</v>
      </c>
      <c r="X1073" s="164">
        <f>IF(BetTable[Odds]="","",(BetTable[WBA1-Commission])-BetTable[TS])</f>
        <v>27.837000000000003</v>
      </c>
      <c r="Y1073" s="168">
        <f>IF(BetTable[Outcome]="","",BetTable[WBA1]+BetTable[WBA2]+BetTable[WBA3]-BetTable[TS])</f>
        <v>13.918500000000002</v>
      </c>
      <c r="Z1073" s="164">
        <f>(((BetTable[Odds]-1)*BetTable[Stake])*(1-(BetTable[Comm %]))+BetTable[Stake])</f>
        <v>54.837000000000003</v>
      </c>
      <c r="AA1073" s="164">
        <f>(((BetTable[O2]-1)*BetTable[S2])*(1-(BetTable[C% 2]))+BetTable[S2])</f>
        <v>0</v>
      </c>
      <c r="AB1073" s="164">
        <f>(((BetTable[O3]-1)*BetTable[S3])*(1-(BetTable[C% 3]))+BetTable[S3])</f>
        <v>0</v>
      </c>
      <c r="AC1073" s="165">
        <f>IFERROR(IF(BetTable[Sport]="","",BetTable[R1]/BetTable[TS]),"")</f>
        <v>1.0310000000000001</v>
      </c>
      <c r="AD1073" s="165" t="str">
        <f>IF(BetTable[O2]="","",#REF!/BetTable[TS])</f>
        <v/>
      </c>
      <c r="AE1073" s="165" t="str">
        <f>IFERROR(IF(BetTable[Sport]="","",#REF!/BetTable[TS]),"")</f>
        <v/>
      </c>
      <c r="AF1073" s="164">
        <f>IF(BetTable[Outcome]="Win",BetTable[WBA1-Commission],IF(BetTable[Outcome]="Win Half Stake",(BetTable[Stake]/2)+BetTable[WBA1-Commission]/2,IF(BetTable[Outcome]="Lose Half Stake",BetTable[Stake]/2,IF(BetTable[Outcome]="Lose",0,IF(BetTable[Outcome]="Void",BetTable[Stake],)))))</f>
        <v>40.918500000000002</v>
      </c>
      <c r="AG1073" s="164">
        <f>IF(BetTable[Outcome2]="Win",BetTable[WBA2-Commission],IF(BetTable[Outcome2]="Win Half Stake",(BetTable[S2]/2)+BetTable[WBA2-Commission]/2,IF(BetTable[Outcome2]="Lose Half Stake",BetTable[S2]/2,IF(BetTable[Outcome2]="Lose",0,IF(BetTable[Outcome2]="Void",BetTable[S2],)))))</f>
        <v>0</v>
      </c>
      <c r="AH1073" s="164">
        <f>IF(BetTable[Outcome3]="Win",BetTable[WBA3-Commission],IF(BetTable[Outcome3]="Win Half Stake",(BetTable[S3]/2)+BetTable[WBA3-Commission]/2,IF(BetTable[Outcome3]="Lose Half Stake",BetTable[S3]/2,IF(BetTable[Outcome3]="Lose",0,IF(BetTable[Outcome3]="Void",BetTable[S3],)))))</f>
        <v>0</v>
      </c>
      <c r="AI1073" s="168">
        <f>IF(BetTable[Outcome]="",AI1072,BetTable[Result]+AI1072)</f>
        <v>2151.5597499999999</v>
      </c>
      <c r="AJ1073" s="160"/>
    </row>
    <row r="1074" spans="1:36" x14ac:dyDescent="0.2">
      <c r="A1074" s="159" t="s">
        <v>2601</v>
      </c>
      <c r="B1074" s="160" t="s">
        <v>200</v>
      </c>
      <c r="C1074" s="161" t="s">
        <v>1714</v>
      </c>
      <c r="D1074" s="161"/>
      <c r="E1074" s="161"/>
      <c r="F1074" s="162"/>
      <c r="G1074" s="162"/>
      <c r="H1074" s="162"/>
      <c r="I1074" s="160" t="s">
        <v>2693</v>
      </c>
      <c r="J1074" s="163">
        <v>3.2</v>
      </c>
      <c r="K1074" s="163"/>
      <c r="L1074" s="163"/>
      <c r="M1074" s="164">
        <v>13</v>
      </c>
      <c r="N1074" s="164"/>
      <c r="O1074" s="164"/>
      <c r="P1074" s="159" t="s">
        <v>494</v>
      </c>
      <c r="Q1074" s="159" t="s">
        <v>677</v>
      </c>
      <c r="R1074" s="159" t="s">
        <v>2694</v>
      </c>
      <c r="S1074" s="165">
        <v>1.88679166887399E-2</v>
      </c>
      <c r="T1074" s="166" t="s">
        <v>372</v>
      </c>
      <c r="U1074" s="166"/>
      <c r="V1074" s="166"/>
      <c r="W1074" s="167">
        <f>IF(BetTable[Sport]="","",BetTable[Stake]+BetTable[S2]+BetTable[S3])</f>
        <v>13</v>
      </c>
      <c r="X1074" s="164">
        <f>IF(BetTable[Odds]="","",(BetTable[WBA1-Commission])-BetTable[TS])</f>
        <v>28.6</v>
      </c>
      <c r="Y1074" s="168">
        <f>IF(BetTable[Outcome]="","",BetTable[WBA1]+BetTable[WBA2]+BetTable[WBA3]-BetTable[TS])</f>
        <v>28.6</v>
      </c>
      <c r="Z1074" s="164">
        <f>(((BetTable[Odds]-1)*BetTable[Stake])*(1-(BetTable[Comm %]))+BetTable[Stake])</f>
        <v>41.6</v>
      </c>
      <c r="AA1074" s="164">
        <f>(((BetTable[O2]-1)*BetTable[S2])*(1-(BetTable[C% 2]))+BetTable[S2])</f>
        <v>0</v>
      </c>
      <c r="AB1074" s="164">
        <f>(((BetTable[O3]-1)*BetTable[S3])*(1-(BetTable[C% 3]))+BetTable[S3])</f>
        <v>0</v>
      </c>
      <c r="AC1074" s="165">
        <f>IFERROR(IF(BetTable[Sport]="","",BetTable[R1]/BetTable[TS]),"")</f>
        <v>2.2000000000000002</v>
      </c>
      <c r="AD1074" s="165" t="str">
        <f>IF(BetTable[O2]="","",#REF!/BetTable[TS])</f>
        <v/>
      </c>
      <c r="AE1074" s="165" t="str">
        <f>IFERROR(IF(BetTable[Sport]="","",#REF!/BetTable[TS]),"")</f>
        <v/>
      </c>
      <c r="AF1074" s="164">
        <f>IF(BetTable[Outcome]="Win",BetTable[WBA1-Commission],IF(BetTable[Outcome]="Win Half Stake",(BetTable[Stake]/2)+BetTable[WBA1-Commission]/2,IF(BetTable[Outcome]="Lose Half Stake",BetTable[Stake]/2,IF(BetTable[Outcome]="Lose",0,IF(BetTable[Outcome]="Void",BetTable[Stake],)))))</f>
        <v>41.6</v>
      </c>
      <c r="AG1074" s="164">
        <f>IF(BetTable[Outcome2]="Win",BetTable[WBA2-Commission],IF(BetTable[Outcome2]="Win Half Stake",(BetTable[S2]/2)+BetTable[WBA2-Commission]/2,IF(BetTable[Outcome2]="Lose Half Stake",BetTable[S2]/2,IF(BetTable[Outcome2]="Lose",0,IF(BetTable[Outcome2]="Void",BetTable[S2],)))))</f>
        <v>0</v>
      </c>
      <c r="AH1074" s="164">
        <f>IF(BetTable[Outcome3]="Win",BetTable[WBA3-Commission],IF(BetTable[Outcome3]="Win Half Stake",(BetTable[S3]/2)+BetTable[WBA3-Commission]/2,IF(BetTable[Outcome3]="Lose Half Stake",BetTable[S3]/2,IF(BetTable[Outcome3]="Lose",0,IF(BetTable[Outcome3]="Void",BetTable[S3],)))))</f>
        <v>0</v>
      </c>
      <c r="AI1074" s="168">
        <f>IF(BetTable[Outcome]="",AI1073,BetTable[Result]+AI1073)</f>
        <v>2180.1597499999998</v>
      </c>
      <c r="AJ1074" s="160"/>
    </row>
    <row r="1075" spans="1:36" x14ac:dyDescent="0.2">
      <c r="A1075" s="159" t="s">
        <v>2601</v>
      </c>
      <c r="B1075" s="160" t="s">
        <v>7</v>
      </c>
      <c r="C1075" s="161" t="s">
        <v>1714</v>
      </c>
      <c r="D1075" s="161"/>
      <c r="E1075" s="161"/>
      <c r="F1075" s="162"/>
      <c r="G1075" s="162"/>
      <c r="H1075" s="162"/>
      <c r="I1075" s="160" t="s">
        <v>2695</v>
      </c>
      <c r="J1075" s="163">
        <v>1.99</v>
      </c>
      <c r="K1075" s="163"/>
      <c r="L1075" s="163"/>
      <c r="M1075" s="164">
        <v>27</v>
      </c>
      <c r="N1075" s="164"/>
      <c r="O1075" s="164"/>
      <c r="P1075" s="159" t="s">
        <v>1104</v>
      </c>
      <c r="Q1075" s="159" t="s">
        <v>503</v>
      </c>
      <c r="R1075" s="159" t="s">
        <v>2696</v>
      </c>
      <c r="S1075" s="165">
        <v>1.7573545919799798E-2</v>
      </c>
      <c r="T1075" s="166" t="s">
        <v>372</v>
      </c>
      <c r="U1075" s="166"/>
      <c r="V1075" s="166"/>
      <c r="W1075" s="167">
        <f>IF(BetTable[Sport]="","",BetTable[Stake]+BetTable[S2]+BetTable[S3])</f>
        <v>27</v>
      </c>
      <c r="X1075" s="164">
        <f>IF(BetTable[Odds]="","",(BetTable[WBA1-Commission])-BetTable[TS])</f>
        <v>26.730000000000004</v>
      </c>
      <c r="Y1075" s="168">
        <f>IF(BetTable[Outcome]="","",BetTable[WBA1]+BetTable[WBA2]+BetTable[WBA3]-BetTable[TS])</f>
        <v>26.730000000000004</v>
      </c>
      <c r="Z1075" s="164">
        <f>(((BetTable[Odds]-1)*BetTable[Stake])*(1-(BetTable[Comm %]))+BetTable[Stake])</f>
        <v>53.730000000000004</v>
      </c>
      <c r="AA1075" s="164">
        <f>(((BetTable[O2]-1)*BetTable[S2])*(1-(BetTable[C% 2]))+BetTable[S2])</f>
        <v>0</v>
      </c>
      <c r="AB1075" s="164">
        <f>(((BetTable[O3]-1)*BetTable[S3])*(1-(BetTable[C% 3]))+BetTable[S3])</f>
        <v>0</v>
      </c>
      <c r="AC1075" s="165">
        <f>IFERROR(IF(BetTable[Sport]="","",BetTable[R1]/BetTable[TS]),"")</f>
        <v>0.9900000000000001</v>
      </c>
      <c r="AD1075" s="165" t="str">
        <f>IF(BetTable[O2]="","",#REF!/BetTable[TS])</f>
        <v/>
      </c>
      <c r="AE1075" s="165" t="str">
        <f>IFERROR(IF(BetTable[Sport]="","",#REF!/BetTable[TS]),"")</f>
        <v/>
      </c>
      <c r="AF1075" s="164">
        <f>IF(BetTable[Outcome]="Win",BetTable[WBA1-Commission],IF(BetTable[Outcome]="Win Half Stake",(BetTable[Stake]/2)+BetTable[WBA1-Commission]/2,IF(BetTable[Outcome]="Lose Half Stake",BetTable[Stake]/2,IF(BetTable[Outcome]="Lose",0,IF(BetTable[Outcome]="Void",BetTable[Stake],)))))</f>
        <v>53.730000000000004</v>
      </c>
      <c r="AG1075" s="164">
        <f>IF(BetTable[Outcome2]="Win",BetTable[WBA2-Commission],IF(BetTable[Outcome2]="Win Half Stake",(BetTable[S2]/2)+BetTable[WBA2-Commission]/2,IF(BetTable[Outcome2]="Lose Half Stake",BetTable[S2]/2,IF(BetTable[Outcome2]="Lose",0,IF(BetTable[Outcome2]="Void",BetTable[S2],)))))</f>
        <v>0</v>
      </c>
      <c r="AH1075" s="164">
        <f>IF(BetTable[Outcome3]="Win",BetTable[WBA3-Commission],IF(BetTable[Outcome3]="Win Half Stake",(BetTable[S3]/2)+BetTable[WBA3-Commission]/2,IF(BetTable[Outcome3]="Lose Half Stake",BetTable[S3]/2,IF(BetTable[Outcome3]="Lose",0,IF(BetTable[Outcome3]="Void",BetTable[S3],)))))</f>
        <v>0</v>
      </c>
      <c r="AI1075" s="168">
        <f>IF(BetTable[Outcome]="",AI1074,BetTable[Result]+AI1074)</f>
        <v>2206.8897499999998</v>
      </c>
      <c r="AJ1075" s="160"/>
    </row>
    <row r="1076" spans="1:36" x14ac:dyDescent="0.2">
      <c r="A1076" s="159" t="s">
        <v>2601</v>
      </c>
      <c r="B1076" s="160" t="s">
        <v>7</v>
      </c>
      <c r="C1076" s="161" t="s">
        <v>216</v>
      </c>
      <c r="D1076" s="161"/>
      <c r="E1076" s="161"/>
      <c r="F1076" s="162"/>
      <c r="G1076" s="162"/>
      <c r="H1076" s="162"/>
      <c r="I1076" s="160" t="s">
        <v>2697</v>
      </c>
      <c r="J1076" s="163">
        <v>1.909</v>
      </c>
      <c r="K1076" s="163"/>
      <c r="L1076" s="163"/>
      <c r="M1076" s="164">
        <v>55</v>
      </c>
      <c r="N1076" s="164"/>
      <c r="O1076" s="164"/>
      <c r="P1076" s="159" t="s">
        <v>2698</v>
      </c>
      <c r="Q1076" s="159" t="s">
        <v>540</v>
      </c>
      <c r="R1076" s="159" t="s">
        <v>2699</v>
      </c>
      <c r="S1076" s="165">
        <v>4.48194445803528E-2</v>
      </c>
      <c r="T1076" s="166" t="s">
        <v>372</v>
      </c>
      <c r="U1076" s="166"/>
      <c r="V1076" s="166"/>
      <c r="W1076" s="167">
        <f>IF(BetTable[Sport]="","",BetTable[Stake]+BetTable[S2]+BetTable[S3])</f>
        <v>55</v>
      </c>
      <c r="X1076" s="164">
        <f>IF(BetTable[Odds]="","",(BetTable[WBA1-Commission])-BetTable[TS])</f>
        <v>49.995000000000005</v>
      </c>
      <c r="Y1076" s="168">
        <f>IF(BetTable[Outcome]="","",BetTable[WBA1]+BetTable[WBA2]+BetTable[WBA3]-BetTable[TS])</f>
        <v>49.995000000000005</v>
      </c>
      <c r="Z1076" s="164">
        <f>(((BetTable[Odds]-1)*BetTable[Stake])*(1-(BetTable[Comm %]))+BetTable[Stake])</f>
        <v>104.995</v>
      </c>
      <c r="AA1076" s="164">
        <f>(((BetTable[O2]-1)*BetTable[S2])*(1-(BetTable[C% 2]))+BetTable[S2])</f>
        <v>0</v>
      </c>
      <c r="AB1076" s="164">
        <f>(((BetTable[O3]-1)*BetTable[S3])*(1-(BetTable[C% 3]))+BetTable[S3])</f>
        <v>0</v>
      </c>
      <c r="AC1076" s="165">
        <f>IFERROR(IF(BetTable[Sport]="","",BetTable[R1]/BetTable[TS]),"")</f>
        <v>0.90900000000000003</v>
      </c>
      <c r="AD1076" s="165" t="str">
        <f>IF(BetTable[O2]="","",#REF!/BetTable[TS])</f>
        <v/>
      </c>
      <c r="AE1076" s="165" t="str">
        <f>IFERROR(IF(BetTable[Sport]="","",#REF!/BetTable[TS]),"")</f>
        <v/>
      </c>
      <c r="AF1076" s="164">
        <f>IF(BetTable[Outcome]="Win",BetTable[WBA1-Commission],IF(BetTable[Outcome]="Win Half Stake",(BetTable[Stake]/2)+BetTable[WBA1-Commission]/2,IF(BetTable[Outcome]="Lose Half Stake",BetTable[Stake]/2,IF(BetTable[Outcome]="Lose",0,IF(BetTable[Outcome]="Void",BetTable[Stake],)))))</f>
        <v>104.995</v>
      </c>
      <c r="AG1076" s="164">
        <f>IF(BetTable[Outcome2]="Win",BetTable[WBA2-Commission],IF(BetTable[Outcome2]="Win Half Stake",(BetTable[S2]/2)+BetTable[WBA2-Commission]/2,IF(BetTable[Outcome2]="Lose Half Stake",BetTable[S2]/2,IF(BetTable[Outcome2]="Lose",0,IF(BetTable[Outcome2]="Void",BetTable[S2],)))))</f>
        <v>0</v>
      </c>
      <c r="AH1076" s="164">
        <f>IF(BetTable[Outcome3]="Win",BetTable[WBA3-Commission],IF(BetTable[Outcome3]="Win Half Stake",(BetTable[S3]/2)+BetTable[WBA3-Commission]/2,IF(BetTable[Outcome3]="Lose Half Stake",BetTable[S3]/2,IF(BetTable[Outcome3]="Lose",0,IF(BetTable[Outcome3]="Void",BetTable[S3],)))))</f>
        <v>0</v>
      </c>
      <c r="AI1076" s="168">
        <f>IF(BetTable[Outcome]="",AI1075,BetTable[Result]+AI1075)</f>
        <v>2256.8847499999997</v>
      </c>
      <c r="AJ1076" s="160"/>
    </row>
    <row r="1077" spans="1:36" x14ac:dyDescent="0.2">
      <c r="A1077" s="159" t="s">
        <v>2601</v>
      </c>
      <c r="B1077" s="160" t="s">
        <v>200</v>
      </c>
      <c r="C1077" s="161" t="s">
        <v>1714</v>
      </c>
      <c r="D1077" s="161"/>
      <c r="E1077" s="161"/>
      <c r="F1077" s="162"/>
      <c r="G1077" s="162"/>
      <c r="H1077" s="162"/>
      <c r="I1077" s="160" t="s">
        <v>2684</v>
      </c>
      <c r="J1077" s="163">
        <v>1.83</v>
      </c>
      <c r="K1077" s="163"/>
      <c r="L1077" s="163"/>
      <c r="M1077" s="164">
        <v>44</v>
      </c>
      <c r="N1077" s="164"/>
      <c r="O1077" s="164"/>
      <c r="P1077" s="159" t="s">
        <v>1501</v>
      </c>
      <c r="Q1077" s="159" t="s">
        <v>677</v>
      </c>
      <c r="R1077" s="159" t="s">
        <v>2700</v>
      </c>
      <c r="S1077" s="165">
        <v>2.3397642812252099E-2</v>
      </c>
      <c r="T1077" s="166" t="s">
        <v>372</v>
      </c>
      <c r="U1077" s="166"/>
      <c r="V1077" s="166"/>
      <c r="W1077" s="167">
        <f>IF(BetTable[Sport]="","",BetTable[Stake]+BetTable[S2]+BetTable[S3])</f>
        <v>44</v>
      </c>
      <c r="X1077" s="164">
        <f>IF(BetTable[Odds]="","",(BetTable[WBA1-Commission])-BetTable[TS])</f>
        <v>36.52000000000001</v>
      </c>
      <c r="Y1077" s="168">
        <f>IF(BetTable[Outcome]="","",BetTable[WBA1]+BetTable[WBA2]+BetTable[WBA3]-BetTable[TS])</f>
        <v>36.52000000000001</v>
      </c>
      <c r="Z1077" s="164">
        <f>(((BetTable[Odds]-1)*BetTable[Stake])*(1-(BetTable[Comm %]))+BetTable[Stake])</f>
        <v>80.52000000000001</v>
      </c>
      <c r="AA1077" s="164">
        <f>(((BetTable[O2]-1)*BetTable[S2])*(1-(BetTable[C% 2]))+BetTable[S2])</f>
        <v>0</v>
      </c>
      <c r="AB1077" s="164">
        <f>(((BetTable[O3]-1)*BetTable[S3])*(1-(BetTable[C% 3]))+BetTable[S3])</f>
        <v>0</v>
      </c>
      <c r="AC1077" s="165">
        <f>IFERROR(IF(BetTable[Sport]="","",BetTable[R1]/BetTable[TS]),"")</f>
        <v>0.83000000000000018</v>
      </c>
      <c r="AD1077" s="165" t="str">
        <f>IF(BetTable[O2]="","",#REF!/BetTable[TS])</f>
        <v/>
      </c>
      <c r="AE1077" s="165" t="str">
        <f>IFERROR(IF(BetTable[Sport]="","",#REF!/BetTable[TS]),"")</f>
        <v/>
      </c>
      <c r="AF1077" s="164">
        <f>IF(BetTable[Outcome]="Win",BetTable[WBA1-Commission],IF(BetTable[Outcome]="Win Half Stake",(BetTable[Stake]/2)+BetTable[WBA1-Commission]/2,IF(BetTable[Outcome]="Lose Half Stake",BetTable[Stake]/2,IF(BetTable[Outcome]="Lose",0,IF(BetTable[Outcome]="Void",BetTable[Stake],)))))</f>
        <v>80.52000000000001</v>
      </c>
      <c r="AG1077" s="164">
        <f>IF(BetTable[Outcome2]="Win",BetTable[WBA2-Commission],IF(BetTable[Outcome2]="Win Half Stake",(BetTable[S2]/2)+BetTable[WBA2-Commission]/2,IF(BetTable[Outcome2]="Lose Half Stake",BetTable[S2]/2,IF(BetTable[Outcome2]="Lose",0,IF(BetTable[Outcome2]="Void",BetTable[S2],)))))</f>
        <v>0</v>
      </c>
      <c r="AH1077" s="164">
        <f>IF(BetTable[Outcome3]="Win",BetTable[WBA3-Commission],IF(BetTable[Outcome3]="Win Half Stake",(BetTable[S3]/2)+BetTable[WBA3-Commission]/2,IF(BetTable[Outcome3]="Lose Half Stake",BetTable[S3]/2,IF(BetTable[Outcome3]="Lose",0,IF(BetTable[Outcome3]="Void",BetTable[S3],)))))</f>
        <v>0</v>
      </c>
      <c r="AI1077" s="168">
        <f>IF(BetTable[Outcome]="",AI1076,BetTable[Result]+AI1076)</f>
        <v>2293.4047499999997</v>
      </c>
      <c r="AJ1077" s="160"/>
    </row>
    <row r="1078" spans="1:36" x14ac:dyDescent="0.2">
      <c r="A1078" s="159" t="s">
        <v>2601</v>
      </c>
      <c r="B1078" s="160" t="s">
        <v>200</v>
      </c>
      <c r="C1078" s="161" t="s">
        <v>1714</v>
      </c>
      <c r="D1078" s="161"/>
      <c r="E1078" s="161"/>
      <c r="F1078" s="162"/>
      <c r="G1078" s="162"/>
      <c r="H1078" s="162"/>
      <c r="I1078" s="160" t="s">
        <v>2701</v>
      </c>
      <c r="J1078" s="163">
        <v>1.8</v>
      </c>
      <c r="K1078" s="163"/>
      <c r="L1078" s="163"/>
      <c r="M1078" s="164">
        <v>51</v>
      </c>
      <c r="N1078" s="164"/>
      <c r="O1078" s="164"/>
      <c r="P1078" s="159" t="s">
        <v>1597</v>
      </c>
      <c r="Q1078" s="159" t="s">
        <v>839</v>
      </c>
      <c r="R1078" s="159" t="s">
        <v>2702</v>
      </c>
      <c r="S1078" s="165">
        <v>2.61920272153158E-2</v>
      </c>
      <c r="T1078" s="166" t="s">
        <v>383</v>
      </c>
      <c r="U1078" s="166"/>
      <c r="V1078" s="166"/>
      <c r="W1078" s="167">
        <f>IF(BetTable[Sport]="","",BetTable[Stake]+BetTable[S2]+BetTable[S3])</f>
        <v>51</v>
      </c>
      <c r="X1078" s="164">
        <f>IF(BetTable[Odds]="","",(BetTable[WBA1-Commission])-BetTable[TS])</f>
        <v>40.800000000000011</v>
      </c>
      <c r="Y1078" s="168">
        <f>IF(BetTable[Outcome]="","",BetTable[WBA1]+BetTable[WBA2]+BetTable[WBA3]-BetTable[TS])</f>
        <v>0</v>
      </c>
      <c r="Z1078" s="164">
        <f>(((BetTable[Odds]-1)*BetTable[Stake])*(1-(BetTable[Comm %]))+BetTable[Stake])</f>
        <v>91.800000000000011</v>
      </c>
      <c r="AA1078" s="164">
        <f>(((BetTable[O2]-1)*BetTable[S2])*(1-(BetTable[C% 2]))+BetTable[S2])</f>
        <v>0</v>
      </c>
      <c r="AB1078" s="164">
        <f>(((BetTable[O3]-1)*BetTable[S3])*(1-(BetTable[C% 3]))+BetTable[S3])</f>
        <v>0</v>
      </c>
      <c r="AC1078" s="165">
        <f>IFERROR(IF(BetTable[Sport]="","",BetTable[R1]/BetTable[TS]),"")</f>
        <v>0.80000000000000027</v>
      </c>
      <c r="AD1078" s="165" t="str">
        <f>IF(BetTable[O2]="","",#REF!/BetTable[TS])</f>
        <v/>
      </c>
      <c r="AE1078" s="165" t="str">
        <f>IFERROR(IF(BetTable[Sport]="","",#REF!/BetTable[TS]),"")</f>
        <v/>
      </c>
      <c r="AF1078" s="164">
        <f>IF(BetTable[Outcome]="Win",BetTable[WBA1-Commission],IF(BetTable[Outcome]="Win Half Stake",(BetTable[Stake]/2)+BetTable[WBA1-Commission]/2,IF(BetTable[Outcome]="Lose Half Stake",BetTable[Stake]/2,IF(BetTable[Outcome]="Lose",0,IF(BetTable[Outcome]="Void",BetTable[Stake],)))))</f>
        <v>51</v>
      </c>
      <c r="AG1078" s="164">
        <f>IF(BetTable[Outcome2]="Win",BetTable[WBA2-Commission],IF(BetTable[Outcome2]="Win Half Stake",(BetTable[S2]/2)+BetTable[WBA2-Commission]/2,IF(BetTable[Outcome2]="Lose Half Stake",BetTable[S2]/2,IF(BetTable[Outcome2]="Lose",0,IF(BetTable[Outcome2]="Void",BetTable[S2],)))))</f>
        <v>0</v>
      </c>
      <c r="AH1078" s="164">
        <f>IF(BetTable[Outcome3]="Win",BetTable[WBA3-Commission],IF(BetTable[Outcome3]="Win Half Stake",(BetTable[S3]/2)+BetTable[WBA3-Commission]/2,IF(BetTable[Outcome3]="Lose Half Stake",BetTable[S3]/2,IF(BetTable[Outcome3]="Lose",0,IF(BetTable[Outcome3]="Void",BetTable[S3],)))))</f>
        <v>0</v>
      </c>
      <c r="AI1078" s="168">
        <f>IF(BetTable[Outcome]="",AI1077,BetTable[Result]+AI1077)</f>
        <v>2293.4047499999997</v>
      </c>
      <c r="AJ1078" s="160"/>
    </row>
    <row r="1079" spans="1:36" x14ac:dyDescent="0.2">
      <c r="A1079" s="159" t="s">
        <v>2601</v>
      </c>
      <c r="B1079" s="160" t="s">
        <v>7</v>
      </c>
      <c r="C1079" s="161" t="s">
        <v>216</v>
      </c>
      <c r="D1079" s="161"/>
      <c r="E1079" s="161"/>
      <c r="F1079" s="162"/>
      <c r="G1079" s="162"/>
      <c r="H1079" s="162"/>
      <c r="I1079" s="160" t="s">
        <v>2697</v>
      </c>
      <c r="J1079" s="163">
        <v>1.909</v>
      </c>
      <c r="K1079" s="163"/>
      <c r="L1079" s="163"/>
      <c r="M1079" s="164">
        <v>55</v>
      </c>
      <c r="N1079" s="164"/>
      <c r="O1079" s="164"/>
      <c r="P1079" s="159" t="s">
        <v>1585</v>
      </c>
      <c r="Q1079" s="159" t="s">
        <v>564</v>
      </c>
      <c r="R1079" s="159" t="s">
        <v>2703</v>
      </c>
      <c r="S1079" s="165">
        <v>3.5106003796088601E-2</v>
      </c>
      <c r="T1079" s="166" t="s">
        <v>372</v>
      </c>
      <c r="U1079" s="166"/>
      <c r="V1079" s="166"/>
      <c r="W1079" s="167">
        <f>IF(BetTable[Sport]="","",BetTable[Stake]+BetTable[S2]+BetTable[S3])</f>
        <v>55</v>
      </c>
      <c r="X1079" s="164">
        <f>IF(BetTable[Odds]="","",(BetTable[WBA1-Commission])-BetTable[TS])</f>
        <v>49.995000000000005</v>
      </c>
      <c r="Y1079" s="168">
        <f>IF(BetTable[Outcome]="","",BetTable[WBA1]+BetTable[WBA2]+BetTable[WBA3]-BetTable[TS])</f>
        <v>49.995000000000005</v>
      </c>
      <c r="Z1079" s="164">
        <f>(((BetTable[Odds]-1)*BetTable[Stake])*(1-(BetTable[Comm %]))+BetTable[Stake])</f>
        <v>104.995</v>
      </c>
      <c r="AA1079" s="164">
        <f>(((BetTable[O2]-1)*BetTable[S2])*(1-(BetTable[C% 2]))+BetTable[S2])</f>
        <v>0</v>
      </c>
      <c r="AB1079" s="164">
        <f>(((BetTable[O3]-1)*BetTable[S3])*(1-(BetTable[C% 3]))+BetTable[S3])</f>
        <v>0</v>
      </c>
      <c r="AC1079" s="165">
        <f>IFERROR(IF(BetTable[Sport]="","",BetTable[R1]/BetTable[TS]),"")</f>
        <v>0.90900000000000003</v>
      </c>
      <c r="AD1079" s="165" t="str">
        <f>IF(BetTable[O2]="","",#REF!/BetTable[TS])</f>
        <v/>
      </c>
      <c r="AE1079" s="165" t="str">
        <f>IFERROR(IF(BetTable[Sport]="","",#REF!/BetTable[TS]),"")</f>
        <v/>
      </c>
      <c r="AF1079" s="164">
        <f>IF(BetTable[Outcome]="Win",BetTable[WBA1-Commission],IF(BetTable[Outcome]="Win Half Stake",(BetTable[Stake]/2)+BetTable[WBA1-Commission]/2,IF(BetTable[Outcome]="Lose Half Stake",BetTable[Stake]/2,IF(BetTable[Outcome]="Lose",0,IF(BetTable[Outcome]="Void",BetTable[Stake],)))))</f>
        <v>104.995</v>
      </c>
      <c r="AG1079" s="164">
        <f>IF(BetTable[Outcome2]="Win",BetTable[WBA2-Commission],IF(BetTable[Outcome2]="Win Half Stake",(BetTable[S2]/2)+BetTable[WBA2-Commission]/2,IF(BetTable[Outcome2]="Lose Half Stake",BetTable[S2]/2,IF(BetTable[Outcome2]="Lose",0,IF(BetTable[Outcome2]="Void",BetTable[S2],)))))</f>
        <v>0</v>
      </c>
      <c r="AH1079" s="164">
        <f>IF(BetTable[Outcome3]="Win",BetTable[WBA3-Commission],IF(BetTable[Outcome3]="Win Half Stake",(BetTable[S3]/2)+BetTable[WBA3-Commission]/2,IF(BetTable[Outcome3]="Lose Half Stake",BetTable[S3]/2,IF(BetTable[Outcome3]="Lose",0,IF(BetTable[Outcome3]="Void",BetTable[S3],)))))</f>
        <v>0</v>
      </c>
      <c r="AI1079" s="168">
        <f>IF(BetTable[Outcome]="",AI1078,BetTable[Result]+AI1078)</f>
        <v>2343.3997499999996</v>
      </c>
      <c r="AJ1079" s="160"/>
    </row>
    <row r="1080" spans="1:36" x14ac:dyDescent="0.2">
      <c r="A1080" s="159" t="s">
        <v>2601</v>
      </c>
      <c r="B1080" s="160" t="s">
        <v>200</v>
      </c>
      <c r="C1080" s="161" t="s">
        <v>1714</v>
      </c>
      <c r="D1080" s="161"/>
      <c r="E1080" s="161"/>
      <c r="F1080" s="162"/>
      <c r="G1080" s="162"/>
      <c r="H1080" s="162"/>
      <c r="I1080" s="160" t="s">
        <v>2654</v>
      </c>
      <c r="J1080" s="163">
        <v>1.74</v>
      </c>
      <c r="K1080" s="163"/>
      <c r="L1080" s="163"/>
      <c r="M1080" s="164">
        <v>76</v>
      </c>
      <c r="N1080" s="164"/>
      <c r="O1080" s="164"/>
      <c r="P1080" s="159" t="s">
        <v>354</v>
      </c>
      <c r="Q1080" s="159" t="s">
        <v>503</v>
      </c>
      <c r="R1080" s="159" t="s">
        <v>2704</v>
      </c>
      <c r="S1080" s="165">
        <v>3.6364564891848097E-2</v>
      </c>
      <c r="T1080" s="166" t="s">
        <v>382</v>
      </c>
      <c r="U1080" s="166"/>
      <c r="V1080" s="166"/>
      <c r="W1080" s="167">
        <f>IF(BetTable[Sport]="","",BetTable[Stake]+BetTable[S2]+BetTable[S3])</f>
        <v>76</v>
      </c>
      <c r="X1080" s="164">
        <f>IF(BetTable[Odds]="","",(BetTable[WBA1-Commission])-BetTable[TS])</f>
        <v>56.240000000000009</v>
      </c>
      <c r="Y1080" s="168">
        <f>IF(BetTable[Outcome]="","",BetTable[WBA1]+BetTable[WBA2]+BetTable[WBA3]-BetTable[TS])</f>
        <v>-76</v>
      </c>
      <c r="Z1080" s="164">
        <f>(((BetTable[Odds]-1)*BetTable[Stake])*(1-(BetTable[Comm %]))+BetTable[Stake])</f>
        <v>132.24</v>
      </c>
      <c r="AA1080" s="164">
        <f>(((BetTable[O2]-1)*BetTable[S2])*(1-(BetTable[C% 2]))+BetTable[S2])</f>
        <v>0</v>
      </c>
      <c r="AB1080" s="164">
        <f>(((BetTable[O3]-1)*BetTable[S3])*(1-(BetTable[C% 3]))+BetTable[S3])</f>
        <v>0</v>
      </c>
      <c r="AC1080" s="165">
        <f>IFERROR(IF(BetTable[Sport]="","",BetTable[R1]/BetTable[TS]),"")</f>
        <v>0.7400000000000001</v>
      </c>
      <c r="AD1080" s="165" t="str">
        <f>IF(BetTable[O2]="","",#REF!/BetTable[TS])</f>
        <v/>
      </c>
      <c r="AE1080" s="165" t="str">
        <f>IFERROR(IF(BetTable[Sport]="","",#REF!/BetTable[TS]),"")</f>
        <v/>
      </c>
      <c r="AF1080" s="164">
        <f>IF(BetTable[Outcome]="Win",BetTable[WBA1-Commission],IF(BetTable[Outcome]="Win Half Stake",(BetTable[Stake]/2)+BetTable[WBA1-Commission]/2,IF(BetTable[Outcome]="Lose Half Stake",BetTable[Stake]/2,IF(BetTable[Outcome]="Lose",0,IF(BetTable[Outcome]="Void",BetTable[Stake],)))))</f>
        <v>0</v>
      </c>
      <c r="AG1080" s="164">
        <f>IF(BetTable[Outcome2]="Win",BetTable[WBA2-Commission],IF(BetTable[Outcome2]="Win Half Stake",(BetTable[S2]/2)+BetTable[WBA2-Commission]/2,IF(BetTable[Outcome2]="Lose Half Stake",BetTable[S2]/2,IF(BetTable[Outcome2]="Lose",0,IF(BetTable[Outcome2]="Void",BetTable[S2],)))))</f>
        <v>0</v>
      </c>
      <c r="AH1080" s="164">
        <f>IF(BetTable[Outcome3]="Win",BetTable[WBA3-Commission],IF(BetTable[Outcome3]="Win Half Stake",(BetTable[S3]/2)+BetTable[WBA3-Commission]/2,IF(BetTable[Outcome3]="Lose Half Stake",BetTable[S3]/2,IF(BetTable[Outcome3]="Lose",0,IF(BetTable[Outcome3]="Void",BetTable[S3],)))))</f>
        <v>0</v>
      </c>
      <c r="AI1080" s="168">
        <f>IF(BetTable[Outcome]="",AI1079,BetTable[Result]+AI1079)</f>
        <v>2267.3997499999996</v>
      </c>
      <c r="AJ1080" s="160"/>
    </row>
    <row r="1081" spans="1:36" x14ac:dyDescent="0.2">
      <c r="A1081" s="159" t="s">
        <v>2601</v>
      </c>
      <c r="B1081" s="160" t="s">
        <v>200</v>
      </c>
      <c r="C1081" s="161" t="s">
        <v>1714</v>
      </c>
      <c r="D1081" s="161"/>
      <c r="E1081" s="161"/>
      <c r="F1081" s="162"/>
      <c r="G1081" s="162"/>
      <c r="H1081" s="162"/>
      <c r="I1081" s="160" t="s">
        <v>2650</v>
      </c>
      <c r="J1081" s="163">
        <v>2.17</v>
      </c>
      <c r="K1081" s="163"/>
      <c r="L1081" s="163"/>
      <c r="M1081" s="164">
        <v>37</v>
      </c>
      <c r="N1081" s="164"/>
      <c r="O1081" s="164"/>
      <c r="P1081" s="159" t="s">
        <v>351</v>
      </c>
      <c r="Q1081" s="159" t="s">
        <v>677</v>
      </c>
      <c r="R1081" s="159" t="s">
        <v>2705</v>
      </c>
      <c r="S1081" s="165">
        <v>2.7960111736008601E-2</v>
      </c>
      <c r="T1081" s="166" t="s">
        <v>372</v>
      </c>
      <c r="U1081" s="166"/>
      <c r="V1081" s="166"/>
      <c r="W1081" s="167">
        <f>IF(BetTable[Sport]="","",BetTable[Stake]+BetTable[S2]+BetTable[S3])</f>
        <v>37</v>
      </c>
      <c r="X1081" s="164">
        <f>IF(BetTable[Odds]="","",(BetTable[WBA1-Commission])-BetTable[TS])</f>
        <v>43.289999999999992</v>
      </c>
      <c r="Y1081" s="168">
        <f>IF(BetTable[Outcome]="","",BetTable[WBA1]+BetTable[WBA2]+BetTable[WBA3]-BetTable[TS])</f>
        <v>43.289999999999992</v>
      </c>
      <c r="Z1081" s="164">
        <f>(((BetTable[Odds]-1)*BetTable[Stake])*(1-(BetTable[Comm %]))+BetTable[Stake])</f>
        <v>80.289999999999992</v>
      </c>
      <c r="AA1081" s="164">
        <f>(((BetTable[O2]-1)*BetTable[S2])*(1-(BetTable[C% 2]))+BetTable[S2])</f>
        <v>0</v>
      </c>
      <c r="AB1081" s="164">
        <f>(((BetTable[O3]-1)*BetTable[S3])*(1-(BetTable[C% 3]))+BetTable[S3])</f>
        <v>0</v>
      </c>
      <c r="AC1081" s="165">
        <f>IFERROR(IF(BetTable[Sport]="","",BetTable[R1]/BetTable[TS]),"")</f>
        <v>1.1699999999999997</v>
      </c>
      <c r="AD1081" s="165" t="str">
        <f>IF(BetTable[O2]="","",#REF!/BetTable[TS])</f>
        <v/>
      </c>
      <c r="AE1081" s="165" t="str">
        <f>IFERROR(IF(BetTable[Sport]="","",#REF!/BetTable[TS]),"")</f>
        <v/>
      </c>
      <c r="AF1081" s="164">
        <f>IF(BetTable[Outcome]="Win",BetTable[WBA1-Commission],IF(BetTable[Outcome]="Win Half Stake",(BetTable[Stake]/2)+BetTable[WBA1-Commission]/2,IF(BetTable[Outcome]="Lose Half Stake",BetTable[Stake]/2,IF(BetTable[Outcome]="Lose",0,IF(BetTable[Outcome]="Void",BetTable[Stake],)))))</f>
        <v>80.289999999999992</v>
      </c>
      <c r="AG1081" s="164">
        <f>IF(BetTable[Outcome2]="Win",BetTable[WBA2-Commission],IF(BetTable[Outcome2]="Win Half Stake",(BetTable[S2]/2)+BetTable[WBA2-Commission]/2,IF(BetTable[Outcome2]="Lose Half Stake",BetTable[S2]/2,IF(BetTable[Outcome2]="Lose",0,IF(BetTable[Outcome2]="Void",BetTable[S2],)))))</f>
        <v>0</v>
      </c>
      <c r="AH1081" s="164">
        <f>IF(BetTable[Outcome3]="Win",BetTable[WBA3-Commission],IF(BetTable[Outcome3]="Win Half Stake",(BetTable[S3]/2)+BetTable[WBA3-Commission]/2,IF(BetTable[Outcome3]="Lose Half Stake",BetTable[S3]/2,IF(BetTable[Outcome3]="Lose",0,IF(BetTable[Outcome3]="Void",BetTable[S3],)))))</f>
        <v>0</v>
      </c>
      <c r="AI1081" s="168">
        <f>IF(BetTable[Outcome]="",AI1080,BetTable[Result]+AI1080)</f>
        <v>2310.6897499999995</v>
      </c>
      <c r="AJ1081" s="160"/>
    </row>
    <row r="1082" spans="1:36" x14ac:dyDescent="0.2">
      <c r="A1082" s="159" t="s">
        <v>2601</v>
      </c>
      <c r="B1082" s="160" t="s">
        <v>200</v>
      </c>
      <c r="C1082" s="161" t="s">
        <v>1714</v>
      </c>
      <c r="D1082" s="161"/>
      <c r="E1082" s="161"/>
      <c r="F1082" s="162"/>
      <c r="G1082" s="162"/>
      <c r="H1082" s="162"/>
      <c r="I1082" s="160" t="s">
        <v>2618</v>
      </c>
      <c r="J1082" s="163">
        <v>1.79</v>
      </c>
      <c r="K1082" s="163"/>
      <c r="L1082" s="163"/>
      <c r="M1082" s="164">
        <v>37</v>
      </c>
      <c r="N1082" s="164"/>
      <c r="O1082" s="164"/>
      <c r="P1082" s="159" t="s">
        <v>791</v>
      </c>
      <c r="Q1082" s="159" t="s">
        <v>503</v>
      </c>
      <c r="R1082" s="159" t="s">
        <v>2706</v>
      </c>
      <c r="S1082" s="165">
        <v>1.9074979250569501E-2</v>
      </c>
      <c r="T1082" s="166" t="s">
        <v>372</v>
      </c>
      <c r="U1082" s="166"/>
      <c r="V1082" s="166"/>
      <c r="W1082" s="167">
        <f>IF(BetTable[Sport]="","",BetTable[Stake]+BetTable[S2]+BetTable[S3])</f>
        <v>37</v>
      </c>
      <c r="X1082" s="164">
        <f>IF(BetTable[Odds]="","",(BetTable[WBA1-Commission])-BetTable[TS])</f>
        <v>29.230000000000004</v>
      </c>
      <c r="Y1082" s="168">
        <f>IF(BetTable[Outcome]="","",BetTable[WBA1]+BetTable[WBA2]+BetTable[WBA3]-BetTable[TS])</f>
        <v>29.230000000000004</v>
      </c>
      <c r="Z1082" s="164">
        <f>(((BetTable[Odds]-1)*BetTable[Stake])*(1-(BetTable[Comm %]))+BetTable[Stake])</f>
        <v>66.23</v>
      </c>
      <c r="AA1082" s="164">
        <f>(((BetTable[O2]-1)*BetTable[S2])*(1-(BetTable[C% 2]))+BetTable[S2])</f>
        <v>0</v>
      </c>
      <c r="AB1082" s="164">
        <f>(((BetTable[O3]-1)*BetTable[S3])*(1-(BetTable[C% 3]))+BetTable[S3])</f>
        <v>0</v>
      </c>
      <c r="AC1082" s="165">
        <f>IFERROR(IF(BetTable[Sport]="","",BetTable[R1]/BetTable[TS]),"")</f>
        <v>0.79000000000000015</v>
      </c>
      <c r="AD1082" s="165" t="str">
        <f>IF(BetTable[O2]="","",#REF!/BetTable[TS])</f>
        <v/>
      </c>
      <c r="AE1082" s="165" t="str">
        <f>IFERROR(IF(BetTable[Sport]="","",#REF!/BetTable[TS]),"")</f>
        <v/>
      </c>
      <c r="AF1082" s="164">
        <f>IF(BetTable[Outcome]="Win",BetTable[WBA1-Commission],IF(BetTable[Outcome]="Win Half Stake",(BetTable[Stake]/2)+BetTable[WBA1-Commission]/2,IF(BetTable[Outcome]="Lose Half Stake",BetTable[Stake]/2,IF(BetTable[Outcome]="Lose",0,IF(BetTable[Outcome]="Void",BetTable[Stake],)))))</f>
        <v>66.23</v>
      </c>
      <c r="AG1082" s="164">
        <f>IF(BetTable[Outcome2]="Win",BetTable[WBA2-Commission],IF(BetTable[Outcome2]="Win Half Stake",(BetTable[S2]/2)+BetTable[WBA2-Commission]/2,IF(BetTable[Outcome2]="Lose Half Stake",BetTable[S2]/2,IF(BetTable[Outcome2]="Lose",0,IF(BetTable[Outcome2]="Void",BetTable[S2],)))))</f>
        <v>0</v>
      </c>
      <c r="AH1082" s="164">
        <f>IF(BetTable[Outcome3]="Win",BetTable[WBA3-Commission],IF(BetTable[Outcome3]="Win Half Stake",(BetTable[S3]/2)+BetTable[WBA3-Commission]/2,IF(BetTable[Outcome3]="Lose Half Stake",BetTable[S3]/2,IF(BetTable[Outcome3]="Lose",0,IF(BetTable[Outcome3]="Void",BetTable[S3],)))))</f>
        <v>0</v>
      </c>
      <c r="AI1082" s="168">
        <f>IF(BetTable[Outcome]="",AI1081,BetTable[Result]+AI1081)</f>
        <v>2339.9197499999996</v>
      </c>
      <c r="AJ1082" s="160"/>
    </row>
    <row r="1083" spans="1:36" x14ac:dyDescent="0.2">
      <c r="A1083" s="159" t="s">
        <v>2601</v>
      </c>
      <c r="B1083" s="160" t="s">
        <v>7</v>
      </c>
      <c r="C1083" s="161" t="s">
        <v>216</v>
      </c>
      <c r="D1083" s="161"/>
      <c r="E1083" s="161"/>
      <c r="F1083" s="162"/>
      <c r="G1083" s="162"/>
      <c r="H1083" s="162"/>
      <c r="I1083" s="160" t="s">
        <v>2707</v>
      </c>
      <c r="J1083" s="163">
        <v>1.909</v>
      </c>
      <c r="K1083" s="163"/>
      <c r="L1083" s="163"/>
      <c r="M1083" s="164">
        <v>51</v>
      </c>
      <c r="N1083" s="164"/>
      <c r="O1083" s="164"/>
      <c r="P1083" s="159" t="s">
        <v>2439</v>
      </c>
      <c r="Q1083" s="159" t="s">
        <v>503</v>
      </c>
      <c r="R1083" s="159" t="s">
        <v>2708</v>
      </c>
      <c r="S1083" s="165">
        <v>2.7010134559700201E-2</v>
      </c>
      <c r="T1083" s="166" t="s">
        <v>382</v>
      </c>
      <c r="U1083" s="166"/>
      <c r="V1083" s="166"/>
      <c r="W1083" s="167">
        <f>IF(BetTable[Sport]="","",BetTable[Stake]+BetTable[S2]+BetTable[S3])</f>
        <v>51</v>
      </c>
      <c r="X1083" s="164">
        <f>IF(BetTable[Odds]="","",(BetTable[WBA1-Commission])-BetTable[TS])</f>
        <v>46.359000000000009</v>
      </c>
      <c r="Y1083" s="168">
        <f>IF(BetTable[Outcome]="","",BetTable[WBA1]+BetTable[WBA2]+BetTable[WBA3]-BetTable[TS])</f>
        <v>-51</v>
      </c>
      <c r="Z1083" s="164">
        <f>(((BetTable[Odds]-1)*BetTable[Stake])*(1-(BetTable[Comm %]))+BetTable[Stake])</f>
        <v>97.359000000000009</v>
      </c>
      <c r="AA1083" s="164">
        <f>(((BetTable[O2]-1)*BetTable[S2])*(1-(BetTable[C% 2]))+BetTable[S2])</f>
        <v>0</v>
      </c>
      <c r="AB1083" s="164">
        <f>(((BetTable[O3]-1)*BetTable[S3])*(1-(BetTable[C% 3]))+BetTable[S3])</f>
        <v>0</v>
      </c>
      <c r="AC1083" s="165">
        <f>IFERROR(IF(BetTable[Sport]="","",BetTable[R1]/BetTable[TS]),"")</f>
        <v>0.90900000000000014</v>
      </c>
      <c r="AD1083" s="165" t="str">
        <f>IF(BetTable[O2]="","",#REF!/BetTable[TS])</f>
        <v/>
      </c>
      <c r="AE1083" s="165" t="str">
        <f>IFERROR(IF(BetTable[Sport]="","",#REF!/BetTable[TS]),"")</f>
        <v/>
      </c>
      <c r="AF1083" s="164">
        <f>IF(BetTable[Outcome]="Win",BetTable[WBA1-Commission],IF(BetTable[Outcome]="Win Half Stake",(BetTable[Stake]/2)+BetTable[WBA1-Commission]/2,IF(BetTable[Outcome]="Lose Half Stake",BetTable[Stake]/2,IF(BetTable[Outcome]="Lose",0,IF(BetTable[Outcome]="Void",BetTable[Stake],)))))</f>
        <v>0</v>
      </c>
      <c r="AG1083" s="164">
        <f>IF(BetTable[Outcome2]="Win",BetTable[WBA2-Commission],IF(BetTable[Outcome2]="Win Half Stake",(BetTable[S2]/2)+BetTable[WBA2-Commission]/2,IF(BetTable[Outcome2]="Lose Half Stake",BetTable[S2]/2,IF(BetTable[Outcome2]="Lose",0,IF(BetTable[Outcome2]="Void",BetTable[S2],)))))</f>
        <v>0</v>
      </c>
      <c r="AH1083" s="164">
        <f>IF(BetTable[Outcome3]="Win",BetTable[WBA3-Commission],IF(BetTable[Outcome3]="Win Half Stake",(BetTable[S3]/2)+BetTable[WBA3-Commission]/2,IF(BetTable[Outcome3]="Lose Half Stake",BetTable[S3]/2,IF(BetTable[Outcome3]="Lose",0,IF(BetTable[Outcome3]="Void",BetTable[S3],)))))</f>
        <v>0</v>
      </c>
      <c r="AI1083" s="168">
        <f>IF(BetTable[Outcome]="",AI1082,BetTable[Result]+AI1082)</f>
        <v>2288.9197499999996</v>
      </c>
      <c r="AJ1083" s="160"/>
    </row>
    <row r="1084" spans="1:36" x14ac:dyDescent="0.2">
      <c r="A1084" s="159" t="s">
        <v>2601</v>
      </c>
      <c r="B1084" s="160" t="s">
        <v>200</v>
      </c>
      <c r="C1084" s="161" t="s">
        <v>1714</v>
      </c>
      <c r="D1084" s="161"/>
      <c r="E1084" s="161"/>
      <c r="F1084" s="162"/>
      <c r="G1084" s="162"/>
      <c r="H1084" s="162"/>
      <c r="I1084" s="160" t="s">
        <v>2709</v>
      </c>
      <c r="J1084" s="163">
        <v>3.2</v>
      </c>
      <c r="K1084" s="163"/>
      <c r="L1084" s="163"/>
      <c r="M1084" s="164">
        <v>51</v>
      </c>
      <c r="N1084" s="164"/>
      <c r="O1084" s="164"/>
      <c r="P1084" s="159" t="s">
        <v>494</v>
      </c>
      <c r="Q1084" s="159" t="s">
        <v>503</v>
      </c>
      <c r="R1084" s="159" t="s">
        <v>2710</v>
      </c>
      <c r="S1084" s="165">
        <v>7.1910310704963204E-2</v>
      </c>
      <c r="T1084" s="166" t="s">
        <v>382</v>
      </c>
      <c r="U1084" s="166"/>
      <c r="V1084" s="166"/>
      <c r="W1084" s="167">
        <f>IF(BetTable[Sport]="","",BetTable[Stake]+BetTable[S2]+BetTable[S3])</f>
        <v>51</v>
      </c>
      <c r="X1084" s="164">
        <f>IF(BetTable[Odds]="","",(BetTable[WBA1-Commission])-BetTable[TS])</f>
        <v>112.19999999999999</v>
      </c>
      <c r="Y1084" s="168">
        <f>IF(BetTable[Outcome]="","",BetTable[WBA1]+BetTable[WBA2]+BetTable[WBA3]-BetTable[TS])</f>
        <v>-51</v>
      </c>
      <c r="Z1084" s="164">
        <f>(((BetTable[Odds]-1)*BetTable[Stake])*(1-(BetTable[Comm %]))+BetTable[Stake])</f>
        <v>163.19999999999999</v>
      </c>
      <c r="AA1084" s="164">
        <f>(((BetTable[O2]-1)*BetTable[S2])*(1-(BetTable[C% 2]))+BetTable[S2])</f>
        <v>0</v>
      </c>
      <c r="AB1084" s="164">
        <f>(((BetTable[O3]-1)*BetTable[S3])*(1-(BetTable[C% 3]))+BetTable[S3])</f>
        <v>0</v>
      </c>
      <c r="AC1084" s="165">
        <f>IFERROR(IF(BetTable[Sport]="","",BetTable[R1]/BetTable[TS]),"")</f>
        <v>2.1999999999999997</v>
      </c>
      <c r="AD1084" s="165" t="str">
        <f>IF(BetTable[O2]="","",#REF!/BetTable[TS])</f>
        <v/>
      </c>
      <c r="AE1084" s="165" t="str">
        <f>IFERROR(IF(BetTable[Sport]="","",#REF!/BetTable[TS]),"")</f>
        <v/>
      </c>
      <c r="AF1084" s="164">
        <f>IF(BetTable[Outcome]="Win",BetTable[WBA1-Commission],IF(BetTable[Outcome]="Win Half Stake",(BetTable[Stake]/2)+BetTable[WBA1-Commission]/2,IF(BetTable[Outcome]="Lose Half Stake",BetTable[Stake]/2,IF(BetTable[Outcome]="Lose",0,IF(BetTable[Outcome]="Void",BetTable[Stake],)))))</f>
        <v>0</v>
      </c>
      <c r="AG1084" s="164">
        <f>IF(BetTable[Outcome2]="Win",BetTable[WBA2-Commission],IF(BetTable[Outcome2]="Win Half Stake",(BetTable[S2]/2)+BetTable[WBA2-Commission]/2,IF(BetTable[Outcome2]="Lose Half Stake",BetTable[S2]/2,IF(BetTable[Outcome2]="Lose",0,IF(BetTable[Outcome2]="Void",BetTable[S2],)))))</f>
        <v>0</v>
      </c>
      <c r="AH1084" s="164">
        <f>IF(BetTable[Outcome3]="Win",BetTable[WBA3-Commission],IF(BetTable[Outcome3]="Win Half Stake",(BetTable[S3]/2)+BetTable[WBA3-Commission]/2,IF(BetTable[Outcome3]="Lose Half Stake",BetTable[S3]/2,IF(BetTable[Outcome3]="Lose",0,IF(BetTable[Outcome3]="Void",BetTable[S3],)))))</f>
        <v>0</v>
      </c>
      <c r="AI1084" s="168">
        <f>IF(BetTable[Outcome]="",AI1083,BetTable[Result]+AI1083)</f>
        <v>2237.9197499999996</v>
      </c>
      <c r="AJ1084" s="160"/>
    </row>
    <row r="1085" spans="1:36" x14ac:dyDescent="0.2">
      <c r="A1085" s="159" t="s">
        <v>2601</v>
      </c>
      <c r="B1085" s="160" t="s">
        <v>7</v>
      </c>
      <c r="C1085" s="161" t="s">
        <v>1714</v>
      </c>
      <c r="D1085" s="161"/>
      <c r="E1085" s="161"/>
      <c r="F1085" s="162"/>
      <c r="G1085" s="162"/>
      <c r="H1085" s="162"/>
      <c r="I1085" s="160" t="s">
        <v>2707</v>
      </c>
      <c r="J1085" s="163">
        <v>1.88</v>
      </c>
      <c r="K1085" s="163"/>
      <c r="L1085" s="163"/>
      <c r="M1085" s="164">
        <v>37</v>
      </c>
      <c r="N1085" s="164"/>
      <c r="O1085" s="164"/>
      <c r="P1085" s="159" t="s">
        <v>2711</v>
      </c>
      <c r="Q1085" s="159" t="s">
        <v>503</v>
      </c>
      <c r="R1085" s="159" t="s">
        <v>2712</v>
      </c>
      <c r="S1085" s="165">
        <v>2.1150146922309099E-2</v>
      </c>
      <c r="T1085" s="166" t="s">
        <v>372</v>
      </c>
      <c r="U1085" s="166"/>
      <c r="V1085" s="166"/>
      <c r="W1085" s="167">
        <f>IF(BetTable[Sport]="","",BetTable[Stake]+BetTable[S2]+BetTable[S3])</f>
        <v>37</v>
      </c>
      <c r="X1085" s="164">
        <f>IF(BetTable[Odds]="","",(BetTable[WBA1-Commission])-BetTable[TS])</f>
        <v>32.56</v>
      </c>
      <c r="Y1085" s="168">
        <f>IF(BetTable[Outcome]="","",BetTable[WBA1]+BetTable[WBA2]+BetTable[WBA3]-BetTable[TS])</f>
        <v>32.56</v>
      </c>
      <c r="Z1085" s="164">
        <f>(((BetTable[Odds]-1)*BetTable[Stake])*(1-(BetTable[Comm %]))+BetTable[Stake])</f>
        <v>69.56</v>
      </c>
      <c r="AA1085" s="164">
        <f>(((BetTable[O2]-1)*BetTable[S2])*(1-(BetTable[C% 2]))+BetTable[S2])</f>
        <v>0</v>
      </c>
      <c r="AB1085" s="164">
        <f>(((BetTable[O3]-1)*BetTable[S3])*(1-(BetTable[C% 3]))+BetTable[S3])</f>
        <v>0</v>
      </c>
      <c r="AC1085" s="165">
        <f>IFERROR(IF(BetTable[Sport]="","",BetTable[R1]/BetTable[TS]),"")</f>
        <v>0.88000000000000012</v>
      </c>
      <c r="AD1085" s="165" t="str">
        <f>IF(BetTable[O2]="","",#REF!/BetTable[TS])</f>
        <v/>
      </c>
      <c r="AE1085" s="165" t="str">
        <f>IFERROR(IF(BetTable[Sport]="","",#REF!/BetTable[TS]),"")</f>
        <v/>
      </c>
      <c r="AF1085" s="164">
        <f>IF(BetTable[Outcome]="Win",BetTable[WBA1-Commission],IF(BetTable[Outcome]="Win Half Stake",(BetTable[Stake]/2)+BetTable[WBA1-Commission]/2,IF(BetTable[Outcome]="Lose Half Stake",BetTable[Stake]/2,IF(BetTable[Outcome]="Lose",0,IF(BetTable[Outcome]="Void",BetTable[Stake],)))))</f>
        <v>69.56</v>
      </c>
      <c r="AG1085" s="164">
        <f>IF(BetTable[Outcome2]="Win",BetTable[WBA2-Commission],IF(BetTable[Outcome2]="Win Half Stake",(BetTable[S2]/2)+BetTable[WBA2-Commission]/2,IF(BetTable[Outcome2]="Lose Half Stake",BetTable[S2]/2,IF(BetTable[Outcome2]="Lose",0,IF(BetTable[Outcome2]="Void",BetTable[S2],)))))</f>
        <v>0</v>
      </c>
      <c r="AH1085" s="164">
        <f>IF(BetTable[Outcome3]="Win",BetTable[WBA3-Commission],IF(BetTable[Outcome3]="Win Half Stake",(BetTable[S3]/2)+BetTable[WBA3-Commission]/2,IF(BetTable[Outcome3]="Lose Half Stake",BetTable[S3]/2,IF(BetTable[Outcome3]="Lose",0,IF(BetTable[Outcome3]="Void",BetTable[S3],)))))</f>
        <v>0</v>
      </c>
      <c r="AI1085" s="168">
        <f>IF(BetTable[Outcome]="",AI1084,BetTable[Result]+AI1084)</f>
        <v>2270.4797499999995</v>
      </c>
      <c r="AJ1085" s="160"/>
    </row>
    <row r="1086" spans="1:36" x14ac:dyDescent="0.2">
      <c r="A1086" s="159" t="s">
        <v>2601</v>
      </c>
      <c r="B1086" s="160" t="s">
        <v>200</v>
      </c>
      <c r="C1086" s="161" t="s">
        <v>1714</v>
      </c>
      <c r="D1086" s="161"/>
      <c r="E1086" s="161"/>
      <c r="F1086" s="162"/>
      <c r="G1086" s="162"/>
      <c r="H1086" s="162"/>
      <c r="I1086" s="160" t="s">
        <v>2713</v>
      </c>
      <c r="J1086" s="163">
        <v>3.05</v>
      </c>
      <c r="K1086" s="163"/>
      <c r="L1086" s="163"/>
      <c r="M1086" s="164">
        <v>23</v>
      </c>
      <c r="N1086" s="164"/>
      <c r="O1086" s="164"/>
      <c r="P1086" s="159" t="s">
        <v>435</v>
      </c>
      <c r="Q1086" s="159" t="s">
        <v>1174</v>
      </c>
      <c r="R1086" s="159" t="s">
        <v>2714</v>
      </c>
      <c r="S1086" s="165">
        <v>2.9880687476846898E-2</v>
      </c>
      <c r="T1086" s="166" t="s">
        <v>382</v>
      </c>
      <c r="U1086" s="166"/>
      <c r="V1086" s="166"/>
      <c r="W1086" s="167">
        <f>IF(BetTable[Sport]="","",BetTable[Stake]+BetTable[S2]+BetTable[S3])</f>
        <v>23</v>
      </c>
      <c r="X1086" s="164">
        <f>IF(BetTable[Odds]="","",(BetTable[WBA1-Commission])-BetTable[TS])</f>
        <v>47.150000000000006</v>
      </c>
      <c r="Y1086" s="168">
        <f>IF(BetTable[Outcome]="","",BetTable[WBA1]+BetTable[WBA2]+BetTable[WBA3]-BetTable[TS])</f>
        <v>-23</v>
      </c>
      <c r="Z1086" s="164">
        <f>(((BetTable[Odds]-1)*BetTable[Stake])*(1-(BetTable[Comm %]))+BetTable[Stake])</f>
        <v>70.150000000000006</v>
      </c>
      <c r="AA1086" s="164">
        <f>(((BetTable[O2]-1)*BetTable[S2])*(1-(BetTable[C% 2]))+BetTable[S2])</f>
        <v>0</v>
      </c>
      <c r="AB1086" s="164">
        <f>(((BetTable[O3]-1)*BetTable[S3])*(1-(BetTable[C% 3]))+BetTable[S3])</f>
        <v>0</v>
      </c>
      <c r="AC1086" s="165">
        <f>IFERROR(IF(BetTable[Sport]="","",BetTable[R1]/BetTable[TS]),"")</f>
        <v>2.0500000000000003</v>
      </c>
      <c r="AD1086" s="165" t="str">
        <f>IF(BetTable[O2]="","",#REF!/BetTable[TS])</f>
        <v/>
      </c>
      <c r="AE1086" s="165" t="str">
        <f>IFERROR(IF(BetTable[Sport]="","",#REF!/BetTable[TS]),"")</f>
        <v/>
      </c>
      <c r="AF1086" s="164">
        <f>IF(BetTable[Outcome]="Win",BetTable[WBA1-Commission],IF(BetTable[Outcome]="Win Half Stake",(BetTable[Stake]/2)+BetTable[WBA1-Commission]/2,IF(BetTable[Outcome]="Lose Half Stake",BetTable[Stake]/2,IF(BetTable[Outcome]="Lose",0,IF(BetTable[Outcome]="Void",BetTable[Stake],)))))</f>
        <v>0</v>
      </c>
      <c r="AG1086" s="164">
        <f>IF(BetTable[Outcome2]="Win",BetTable[WBA2-Commission],IF(BetTable[Outcome2]="Win Half Stake",(BetTable[S2]/2)+BetTable[WBA2-Commission]/2,IF(BetTable[Outcome2]="Lose Half Stake",BetTable[S2]/2,IF(BetTable[Outcome2]="Lose",0,IF(BetTable[Outcome2]="Void",BetTable[S2],)))))</f>
        <v>0</v>
      </c>
      <c r="AH1086" s="164">
        <f>IF(BetTable[Outcome3]="Win",BetTable[WBA3-Commission],IF(BetTable[Outcome3]="Win Half Stake",(BetTable[S3]/2)+BetTable[WBA3-Commission]/2,IF(BetTable[Outcome3]="Lose Half Stake",BetTable[S3]/2,IF(BetTable[Outcome3]="Lose",0,IF(BetTable[Outcome3]="Void",BetTable[S3],)))))</f>
        <v>0</v>
      </c>
      <c r="AI1086" s="168">
        <f>IF(BetTable[Outcome]="",AI1085,BetTable[Result]+AI1085)</f>
        <v>2247.4797499999995</v>
      </c>
      <c r="AJ1086" s="160"/>
    </row>
    <row r="1087" spans="1:36" x14ac:dyDescent="0.2">
      <c r="A1087" s="159" t="s">
        <v>2601</v>
      </c>
      <c r="B1087" s="160" t="s">
        <v>200</v>
      </c>
      <c r="C1087" s="161" t="s">
        <v>1714</v>
      </c>
      <c r="D1087" s="161"/>
      <c r="E1087" s="161"/>
      <c r="F1087" s="162"/>
      <c r="G1087" s="162"/>
      <c r="H1087" s="162"/>
      <c r="I1087" s="160" t="s">
        <v>2715</v>
      </c>
      <c r="J1087" s="163">
        <v>2.0099999999999998</v>
      </c>
      <c r="K1087" s="163"/>
      <c r="L1087" s="163"/>
      <c r="M1087" s="164">
        <v>26</v>
      </c>
      <c r="N1087" s="164"/>
      <c r="O1087" s="164"/>
      <c r="P1087" s="159" t="s">
        <v>2716</v>
      </c>
      <c r="Q1087" s="159" t="s">
        <v>506</v>
      </c>
      <c r="R1087" s="159" t="s">
        <v>2717</v>
      </c>
      <c r="S1087" s="165">
        <v>1.67865426690442E-2</v>
      </c>
      <c r="T1087" s="166" t="s">
        <v>382</v>
      </c>
      <c r="U1087" s="166"/>
      <c r="V1087" s="166"/>
      <c r="W1087" s="167">
        <f>IF(BetTable[Sport]="","",BetTable[Stake]+BetTable[S2]+BetTable[S3])</f>
        <v>26</v>
      </c>
      <c r="X1087" s="164">
        <f>IF(BetTable[Odds]="","",(BetTable[WBA1-Commission])-BetTable[TS])</f>
        <v>26.259999999999991</v>
      </c>
      <c r="Y1087" s="168">
        <f>IF(BetTable[Outcome]="","",BetTable[WBA1]+BetTable[WBA2]+BetTable[WBA3]-BetTable[TS])</f>
        <v>-26</v>
      </c>
      <c r="Z1087" s="164">
        <f>(((BetTable[Odds]-1)*BetTable[Stake])*(1-(BetTable[Comm %]))+BetTable[Stake])</f>
        <v>52.259999999999991</v>
      </c>
      <c r="AA1087" s="164">
        <f>(((BetTable[O2]-1)*BetTable[S2])*(1-(BetTable[C% 2]))+BetTable[S2])</f>
        <v>0</v>
      </c>
      <c r="AB1087" s="164">
        <f>(((BetTable[O3]-1)*BetTable[S3])*(1-(BetTable[C% 3]))+BetTable[S3])</f>
        <v>0</v>
      </c>
      <c r="AC1087" s="165">
        <f>IFERROR(IF(BetTable[Sport]="","",BetTable[R1]/BetTable[TS]),"")</f>
        <v>1.0099999999999996</v>
      </c>
      <c r="AD1087" s="165" t="str">
        <f>IF(BetTable[O2]="","",#REF!/BetTable[TS])</f>
        <v/>
      </c>
      <c r="AE1087" s="165" t="str">
        <f>IFERROR(IF(BetTable[Sport]="","",#REF!/BetTable[TS]),"")</f>
        <v/>
      </c>
      <c r="AF1087" s="164">
        <f>IF(BetTable[Outcome]="Win",BetTable[WBA1-Commission],IF(BetTable[Outcome]="Win Half Stake",(BetTable[Stake]/2)+BetTable[WBA1-Commission]/2,IF(BetTable[Outcome]="Lose Half Stake",BetTable[Stake]/2,IF(BetTable[Outcome]="Lose",0,IF(BetTable[Outcome]="Void",BetTable[Stake],)))))</f>
        <v>0</v>
      </c>
      <c r="AG1087" s="164">
        <f>IF(BetTable[Outcome2]="Win",BetTable[WBA2-Commission],IF(BetTable[Outcome2]="Win Half Stake",(BetTable[S2]/2)+BetTable[WBA2-Commission]/2,IF(BetTable[Outcome2]="Lose Half Stake",BetTable[S2]/2,IF(BetTable[Outcome2]="Lose",0,IF(BetTable[Outcome2]="Void",BetTable[S2],)))))</f>
        <v>0</v>
      </c>
      <c r="AH1087" s="164">
        <f>IF(BetTable[Outcome3]="Win",BetTable[WBA3-Commission],IF(BetTable[Outcome3]="Win Half Stake",(BetTable[S3]/2)+BetTable[WBA3-Commission]/2,IF(BetTable[Outcome3]="Lose Half Stake",BetTable[S3]/2,IF(BetTable[Outcome3]="Lose",0,IF(BetTable[Outcome3]="Void",BetTable[S3],)))))</f>
        <v>0</v>
      </c>
      <c r="AI1087" s="168">
        <f>IF(BetTable[Outcome]="",AI1086,BetTable[Result]+AI1086)</f>
        <v>2221.4797499999995</v>
      </c>
      <c r="AJ1087" s="160"/>
    </row>
    <row r="1088" spans="1:36" x14ac:dyDescent="0.2">
      <c r="A1088" s="159" t="s">
        <v>2601</v>
      </c>
      <c r="B1088" s="160" t="s">
        <v>7</v>
      </c>
      <c r="C1088" s="161" t="s">
        <v>1714</v>
      </c>
      <c r="D1088" s="161"/>
      <c r="E1088" s="161"/>
      <c r="F1088" s="162"/>
      <c r="G1088" s="162"/>
      <c r="H1088" s="162"/>
      <c r="I1088" s="160" t="s">
        <v>2718</v>
      </c>
      <c r="J1088" s="163">
        <v>2.02</v>
      </c>
      <c r="K1088" s="163"/>
      <c r="L1088" s="163"/>
      <c r="M1088" s="164">
        <v>29</v>
      </c>
      <c r="N1088" s="164"/>
      <c r="O1088" s="164"/>
      <c r="P1088" s="159" t="s">
        <v>1362</v>
      </c>
      <c r="Q1088" s="159" t="s">
        <v>540</v>
      </c>
      <c r="R1088" s="159" t="s">
        <v>2719</v>
      </c>
      <c r="S1088" s="165">
        <v>1.91621326814999E-2</v>
      </c>
      <c r="T1088" s="166" t="s">
        <v>382</v>
      </c>
      <c r="U1088" s="166"/>
      <c r="V1088" s="166"/>
      <c r="W1088" s="167">
        <f>IF(BetTable[Sport]="","",BetTable[Stake]+BetTable[S2]+BetTable[S3])</f>
        <v>29</v>
      </c>
      <c r="X1088" s="164">
        <f>IF(BetTable[Odds]="","",(BetTable[WBA1-Commission])-BetTable[TS])</f>
        <v>29.58</v>
      </c>
      <c r="Y1088" s="168">
        <f>IF(BetTable[Outcome]="","",BetTable[WBA1]+BetTable[WBA2]+BetTable[WBA3]-BetTable[TS])</f>
        <v>-29</v>
      </c>
      <c r="Z1088" s="164">
        <f>(((BetTable[Odds]-1)*BetTable[Stake])*(1-(BetTable[Comm %]))+BetTable[Stake])</f>
        <v>58.58</v>
      </c>
      <c r="AA1088" s="164">
        <f>(((BetTable[O2]-1)*BetTable[S2])*(1-(BetTable[C% 2]))+BetTable[S2])</f>
        <v>0</v>
      </c>
      <c r="AB1088" s="164">
        <f>(((BetTable[O3]-1)*BetTable[S3])*(1-(BetTable[C% 3]))+BetTable[S3])</f>
        <v>0</v>
      </c>
      <c r="AC1088" s="165">
        <f>IFERROR(IF(BetTable[Sport]="","",BetTable[R1]/BetTable[TS]),"")</f>
        <v>1.02</v>
      </c>
      <c r="AD1088" s="165" t="str">
        <f>IF(BetTable[O2]="","",#REF!/BetTable[TS])</f>
        <v/>
      </c>
      <c r="AE1088" s="165" t="str">
        <f>IFERROR(IF(BetTable[Sport]="","",#REF!/BetTable[TS]),"")</f>
        <v/>
      </c>
      <c r="AF1088" s="164">
        <f>IF(BetTable[Outcome]="Win",BetTable[WBA1-Commission],IF(BetTable[Outcome]="Win Half Stake",(BetTable[Stake]/2)+BetTable[WBA1-Commission]/2,IF(BetTable[Outcome]="Lose Half Stake",BetTable[Stake]/2,IF(BetTable[Outcome]="Lose",0,IF(BetTable[Outcome]="Void",BetTable[Stake],)))))</f>
        <v>0</v>
      </c>
      <c r="AG1088" s="164">
        <f>IF(BetTable[Outcome2]="Win",BetTable[WBA2-Commission],IF(BetTable[Outcome2]="Win Half Stake",(BetTable[S2]/2)+BetTable[WBA2-Commission]/2,IF(BetTable[Outcome2]="Lose Half Stake",BetTable[S2]/2,IF(BetTable[Outcome2]="Lose",0,IF(BetTable[Outcome2]="Void",BetTable[S2],)))))</f>
        <v>0</v>
      </c>
      <c r="AH1088" s="164">
        <f>IF(BetTable[Outcome3]="Win",BetTable[WBA3-Commission],IF(BetTable[Outcome3]="Win Half Stake",(BetTable[S3]/2)+BetTable[WBA3-Commission]/2,IF(BetTable[Outcome3]="Lose Half Stake",BetTable[S3]/2,IF(BetTable[Outcome3]="Lose",0,IF(BetTable[Outcome3]="Void",BetTable[S3],)))))</f>
        <v>0</v>
      </c>
      <c r="AI1088" s="168">
        <f>IF(BetTable[Outcome]="",AI1087,BetTable[Result]+AI1087)</f>
        <v>2192.4797499999995</v>
      </c>
      <c r="AJ1088" s="160"/>
    </row>
    <row r="1089" spans="1:36" x14ac:dyDescent="0.2">
      <c r="A1089" s="159" t="s">
        <v>2601</v>
      </c>
      <c r="B1089" s="160" t="s">
        <v>200</v>
      </c>
      <c r="C1089" s="161" t="s">
        <v>1714</v>
      </c>
      <c r="D1089" s="161"/>
      <c r="E1089" s="161"/>
      <c r="F1089" s="162"/>
      <c r="G1089" s="162"/>
      <c r="H1089" s="162"/>
      <c r="I1089" s="160" t="s">
        <v>2720</v>
      </c>
      <c r="J1089" s="163">
        <v>1.84</v>
      </c>
      <c r="K1089" s="163"/>
      <c r="L1089" s="163"/>
      <c r="M1089" s="164">
        <v>44</v>
      </c>
      <c r="N1089" s="164"/>
      <c r="O1089" s="164"/>
      <c r="P1089" s="159" t="s">
        <v>1501</v>
      </c>
      <c r="Q1089" s="159" t="s">
        <v>632</v>
      </c>
      <c r="R1089" s="159" t="s">
        <v>2721</v>
      </c>
      <c r="S1089" s="165">
        <v>2.3814281125361499E-2</v>
      </c>
      <c r="T1089" s="166" t="s">
        <v>382</v>
      </c>
      <c r="U1089" s="166"/>
      <c r="V1089" s="166"/>
      <c r="W1089" s="167">
        <f>IF(BetTable[Sport]="","",BetTable[Stake]+BetTable[S2]+BetTable[S3])</f>
        <v>44</v>
      </c>
      <c r="X1089" s="164">
        <f>IF(BetTable[Odds]="","",(BetTable[WBA1-Commission])-BetTable[TS])</f>
        <v>36.960000000000008</v>
      </c>
      <c r="Y1089" s="168">
        <f>IF(BetTable[Outcome]="","",BetTable[WBA1]+BetTable[WBA2]+BetTable[WBA3]-BetTable[TS])</f>
        <v>-44</v>
      </c>
      <c r="Z1089" s="164">
        <f>(((BetTable[Odds]-1)*BetTable[Stake])*(1-(BetTable[Comm %]))+BetTable[Stake])</f>
        <v>80.960000000000008</v>
      </c>
      <c r="AA1089" s="164">
        <f>(((BetTable[O2]-1)*BetTable[S2])*(1-(BetTable[C% 2]))+BetTable[S2])</f>
        <v>0</v>
      </c>
      <c r="AB1089" s="164">
        <f>(((BetTable[O3]-1)*BetTable[S3])*(1-(BetTable[C% 3]))+BetTable[S3])</f>
        <v>0</v>
      </c>
      <c r="AC1089" s="165">
        <f>IFERROR(IF(BetTable[Sport]="","",BetTable[R1]/BetTable[TS]),"")</f>
        <v>0.84000000000000019</v>
      </c>
      <c r="AD1089" s="165" t="str">
        <f>IF(BetTable[O2]="","",#REF!/BetTable[TS])</f>
        <v/>
      </c>
      <c r="AE1089" s="165" t="str">
        <f>IFERROR(IF(BetTable[Sport]="","",#REF!/BetTable[TS]),"")</f>
        <v/>
      </c>
      <c r="AF1089" s="164">
        <f>IF(BetTable[Outcome]="Win",BetTable[WBA1-Commission],IF(BetTable[Outcome]="Win Half Stake",(BetTable[Stake]/2)+BetTable[WBA1-Commission]/2,IF(BetTable[Outcome]="Lose Half Stake",BetTable[Stake]/2,IF(BetTable[Outcome]="Lose",0,IF(BetTable[Outcome]="Void",BetTable[Stake],)))))</f>
        <v>0</v>
      </c>
      <c r="AG1089" s="164">
        <f>IF(BetTable[Outcome2]="Win",BetTable[WBA2-Commission],IF(BetTable[Outcome2]="Win Half Stake",(BetTable[S2]/2)+BetTable[WBA2-Commission]/2,IF(BetTable[Outcome2]="Lose Half Stake",BetTable[S2]/2,IF(BetTable[Outcome2]="Lose",0,IF(BetTable[Outcome2]="Void",BetTable[S2],)))))</f>
        <v>0</v>
      </c>
      <c r="AH1089" s="164">
        <f>IF(BetTable[Outcome3]="Win",BetTable[WBA3-Commission],IF(BetTable[Outcome3]="Win Half Stake",(BetTable[S3]/2)+BetTable[WBA3-Commission]/2,IF(BetTable[Outcome3]="Lose Half Stake",BetTable[S3]/2,IF(BetTable[Outcome3]="Lose",0,IF(BetTable[Outcome3]="Void",BetTable[S3],)))))</f>
        <v>0</v>
      </c>
      <c r="AI1089" s="168">
        <f>IF(BetTable[Outcome]="",AI1088,BetTable[Result]+AI1088)</f>
        <v>2148.4797499999995</v>
      </c>
      <c r="AJ1089" s="160"/>
    </row>
    <row r="1090" spans="1:36" x14ac:dyDescent="0.2">
      <c r="A1090" s="159" t="s">
        <v>2601</v>
      </c>
      <c r="B1090" s="160" t="s">
        <v>200</v>
      </c>
      <c r="C1090" s="161" t="s">
        <v>1714</v>
      </c>
      <c r="D1090" s="161"/>
      <c r="E1090" s="161"/>
      <c r="F1090" s="162"/>
      <c r="G1090" s="162"/>
      <c r="H1090" s="162"/>
      <c r="I1090" s="160" t="s">
        <v>2722</v>
      </c>
      <c r="J1090" s="163">
        <v>2.0640000000000001</v>
      </c>
      <c r="K1090" s="163"/>
      <c r="L1090" s="163"/>
      <c r="M1090" s="164">
        <v>33</v>
      </c>
      <c r="N1090" s="164"/>
      <c r="O1090" s="164"/>
      <c r="P1090" s="159" t="s">
        <v>357</v>
      </c>
      <c r="Q1090" s="159" t="s">
        <v>703</v>
      </c>
      <c r="R1090" s="159" t="s">
        <v>2723</v>
      </c>
      <c r="S1090" s="165">
        <v>2.2728706509725801E-2</v>
      </c>
      <c r="T1090" s="166" t="s">
        <v>372</v>
      </c>
      <c r="U1090" s="166"/>
      <c r="V1090" s="166"/>
      <c r="W1090" s="167">
        <f>IF(BetTable[Sport]="","",BetTable[Stake]+BetTable[S2]+BetTable[S3])</f>
        <v>33</v>
      </c>
      <c r="X1090" s="164">
        <f>IF(BetTable[Odds]="","",(BetTable[WBA1-Commission])-BetTable[TS])</f>
        <v>35.111999999999995</v>
      </c>
      <c r="Y1090" s="168">
        <f>IF(BetTable[Outcome]="","",BetTable[WBA1]+BetTable[WBA2]+BetTable[WBA3]-BetTable[TS])</f>
        <v>35.111999999999995</v>
      </c>
      <c r="Z1090" s="164">
        <f>(((BetTable[Odds]-1)*BetTable[Stake])*(1-(BetTable[Comm %]))+BetTable[Stake])</f>
        <v>68.111999999999995</v>
      </c>
      <c r="AA1090" s="164">
        <f>(((BetTable[O2]-1)*BetTable[S2])*(1-(BetTable[C% 2]))+BetTable[S2])</f>
        <v>0</v>
      </c>
      <c r="AB1090" s="164">
        <f>(((BetTable[O3]-1)*BetTable[S3])*(1-(BetTable[C% 3]))+BetTable[S3])</f>
        <v>0</v>
      </c>
      <c r="AC1090" s="165">
        <f>IFERROR(IF(BetTable[Sport]="","",BetTable[R1]/BetTable[TS]),"")</f>
        <v>1.0639999999999998</v>
      </c>
      <c r="AD1090" s="165" t="str">
        <f>IF(BetTable[O2]="","",#REF!/BetTable[TS])</f>
        <v/>
      </c>
      <c r="AE1090" s="165" t="str">
        <f>IFERROR(IF(BetTable[Sport]="","",#REF!/BetTable[TS]),"")</f>
        <v/>
      </c>
      <c r="AF1090" s="164">
        <f>IF(BetTable[Outcome]="Win",BetTable[WBA1-Commission],IF(BetTable[Outcome]="Win Half Stake",(BetTable[Stake]/2)+BetTable[WBA1-Commission]/2,IF(BetTable[Outcome]="Lose Half Stake",BetTable[Stake]/2,IF(BetTable[Outcome]="Lose",0,IF(BetTable[Outcome]="Void",BetTable[Stake],)))))</f>
        <v>68.111999999999995</v>
      </c>
      <c r="AG1090" s="164">
        <f>IF(BetTable[Outcome2]="Win",BetTable[WBA2-Commission],IF(BetTable[Outcome2]="Win Half Stake",(BetTable[S2]/2)+BetTable[WBA2-Commission]/2,IF(BetTable[Outcome2]="Lose Half Stake",BetTable[S2]/2,IF(BetTable[Outcome2]="Lose",0,IF(BetTable[Outcome2]="Void",BetTable[S2],)))))</f>
        <v>0</v>
      </c>
      <c r="AH1090" s="164">
        <f>IF(BetTable[Outcome3]="Win",BetTable[WBA3-Commission],IF(BetTable[Outcome3]="Win Half Stake",(BetTable[S3]/2)+BetTable[WBA3-Commission]/2,IF(BetTable[Outcome3]="Lose Half Stake",BetTable[S3]/2,IF(BetTable[Outcome3]="Lose",0,IF(BetTable[Outcome3]="Void",BetTable[S3],)))))</f>
        <v>0</v>
      </c>
      <c r="AI1090" s="168">
        <f>IF(BetTable[Outcome]="",AI1089,BetTable[Result]+AI1089)</f>
        <v>2183.5917499999996</v>
      </c>
      <c r="AJ1090" s="160"/>
    </row>
    <row r="1091" spans="1:36" x14ac:dyDescent="0.2">
      <c r="A1091" s="159" t="s">
        <v>2601</v>
      </c>
      <c r="B1091" s="160" t="s">
        <v>200</v>
      </c>
      <c r="C1091" s="161" t="s">
        <v>1714</v>
      </c>
      <c r="D1091" s="161"/>
      <c r="E1091" s="161"/>
      <c r="F1091" s="162"/>
      <c r="G1091" s="162"/>
      <c r="H1091" s="162"/>
      <c r="I1091" s="160" t="s">
        <v>2724</v>
      </c>
      <c r="J1091" s="163">
        <v>5</v>
      </c>
      <c r="K1091" s="163"/>
      <c r="L1091" s="163"/>
      <c r="M1091" s="164">
        <v>22</v>
      </c>
      <c r="N1091" s="164"/>
      <c r="O1091" s="164"/>
      <c r="P1091" s="159" t="s">
        <v>428</v>
      </c>
      <c r="Q1091" s="159" t="s">
        <v>488</v>
      </c>
      <c r="R1091" s="159" t="s">
        <v>2725</v>
      </c>
      <c r="S1091" s="165">
        <v>5.7461827066302602E-2</v>
      </c>
      <c r="T1091" s="166" t="s">
        <v>372</v>
      </c>
      <c r="U1091" s="166"/>
      <c r="V1091" s="166"/>
      <c r="W1091" s="167">
        <f>IF(BetTable[Sport]="","",BetTable[Stake]+BetTable[S2]+BetTable[S3])</f>
        <v>22</v>
      </c>
      <c r="X1091" s="164">
        <f>IF(BetTable[Odds]="","",(BetTable[WBA1-Commission])-BetTable[TS])</f>
        <v>88</v>
      </c>
      <c r="Y1091" s="168">
        <f>IF(BetTable[Outcome]="","",BetTable[WBA1]+BetTable[WBA2]+BetTable[WBA3]-BetTable[TS])</f>
        <v>88</v>
      </c>
      <c r="Z1091" s="164">
        <f>(((BetTable[Odds]-1)*BetTable[Stake])*(1-(BetTable[Comm %]))+BetTable[Stake])</f>
        <v>110</v>
      </c>
      <c r="AA1091" s="164">
        <f>(((BetTable[O2]-1)*BetTable[S2])*(1-(BetTable[C% 2]))+BetTable[S2])</f>
        <v>0</v>
      </c>
      <c r="AB1091" s="164">
        <f>(((BetTable[O3]-1)*BetTable[S3])*(1-(BetTable[C% 3]))+BetTable[S3])</f>
        <v>0</v>
      </c>
      <c r="AC1091" s="165">
        <f>IFERROR(IF(BetTable[Sport]="","",BetTable[R1]/BetTable[TS]),"")</f>
        <v>4</v>
      </c>
      <c r="AD1091" s="165" t="str">
        <f>IF(BetTable[O2]="","",#REF!/BetTable[TS])</f>
        <v/>
      </c>
      <c r="AE1091" s="165" t="str">
        <f>IFERROR(IF(BetTable[Sport]="","",#REF!/BetTable[TS]),"")</f>
        <v/>
      </c>
      <c r="AF1091" s="164">
        <f>IF(BetTable[Outcome]="Win",BetTable[WBA1-Commission],IF(BetTable[Outcome]="Win Half Stake",(BetTable[Stake]/2)+BetTable[WBA1-Commission]/2,IF(BetTable[Outcome]="Lose Half Stake",BetTable[Stake]/2,IF(BetTable[Outcome]="Lose",0,IF(BetTable[Outcome]="Void",BetTable[Stake],)))))</f>
        <v>110</v>
      </c>
      <c r="AG1091" s="164">
        <f>IF(BetTable[Outcome2]="Win",BetTable[WBA2-Commission],IF(BetTable[Outcome2]="Win Half Stake",(BetTable[S2]/2)+BetTable[WBA2-Commission]/2,IF(BetTable[Outcome2]="Lose Half Stake",BetTable[S2]/2,IF(BetTable[Outcome2]="Lose",0,IF(BetTable[Outcome2]="Void",BetTable[S2],)))))</f>
        <v>0</v>
      </c>
      <c r="AH1091" s="164">
        <f>IF(BetTable[Outcome3]="Win",BetTable[WBA3-Commission],IF(BetTable[Outcome3]="Win Half Stake",(BetTable[S3]/2)+BetTable[WBA3-Commission]/2,IF(BetTable[Outcome3]="Lose Half Stake",BetTable[S3]/2,IF(BetTable[Outcome3]="Lose",0,IF(BetTable[Outcome3]="Void",BetTable[S3],)))))</f>
        <v>0</v>
      </c>
      <c r="AI1091" s="168">
        <f>IF(BetTable[Outcome]="",AI1090,BetTable[Result]+AI1090)</f>
        <v>2271.5917499999996</v>
      </c>
      <c r="AJ1091" s="160"/>
    </row>
    <row r="1092" spans="1:36" x14ac:dyDescent="0.2">
      <c r="A1092" s="159" t="s">
        <v>2601</v>
      </c>
      <c r="B1092" s="160" t="s">
        <v>200</v>
      </c>
      <c r="C1092" s="161" t="s">
        <v>1714</v>
      </c>
      <c r="D1092" s="161"/>
      <c r="E1092" s="161"/>
      <c r="F1092" s="162"/>
      <c r="G1092" s="162"/>
      <c r="H1092" s="162"/>
      <c r="I1092" s="160" t="s">
        <v>2726</v>
      </c>
      <c r="J1092" s="163">
        <v>1.88</v>
      </c>
      <c r="K1092" s="163"/>
      <c r="L1092" s="163"/>
      <c r="M1092" s="164">
        <v>29</v>
      </c>
      <c r="N1092" s="164"/>
      <c r="O1092" s="164"/>
      <c r="P1092" s="159" t="s">
        <v>852</v>
      </c>
      <c r="Q1092" s="159" t="s">
        <v>503</v>
      </c>
      <c r="R1092" s="159" t="s">
        <v>2727</v>
      </c>
      <c r="S1092" s="165">
        <v>1.67625442337355E-2</v>
      </c>
      <c r="T1092" s="166" t="s">
        <v>549</v>
      </c>
      <c r="U1092" s="166"/>
      <c r="V1092" s="166"/>
      <c r="W1092" s="167">
        <f>IF(BetTable[Sport]="","",BetTable[Stake]+BetTable[S2]+BetTable[S3])</f>
        <v>29</v>
      </c>
      <c r="X1092" s="164">
        <f>IF(BetTable[Odds]="","",(BetTable[WBA1-Commission])-BetTable[TS])</f>
        <v>25.519999999999996</v>
      </c>
      <c r="Y1092" s="168">
        <f>IF(BetTable[Outcome]="","",BetTable[WBA1]+BetTable[WBA2]+BetTable[WBA3]-BetTable[TS])</f>
        <v>-14.5</v>
      </c>
      <c r="Z1092" s="164">
        <f>(((BetTable[Odds]-1)*BetTable[Stake])*(1-(BetTable[Comm %]))+BetTable[Stake])</f>
        <v>54.519999999999996</v>
      </c>
      <c r="AA1092" s="164">
        <f>(((BetTable[O2]-1)*BetTable[S2])*(1-(BetTable[C% 2]))+BetTable[S2])</f>
        <v>0</v>
      </c>
      <c r="AB1092" s="164">
        <f>(((BetTable[O3]-1)*BetTable[S3])*(1-(BetTable[C% 3]))+BetTable[S3])</f>
        <v>0</v>
      </c>
      <c r="AC1092" s="165">
        <f>IFERROR(IF(BetTable[Sport]="","",BetTable[R1]/BetTable[TS]),"")</f>
        <v>0.87999999999999989</v>
      </c>
      <c r="AD1092" s="165" t="str">
        <f>IF(BetTable[O2]="","",#REF!/BetTable[TS])</f>
        <v/>
      </c>
      <c r="AE1092" s="165" t="str">
        <f>IFERROR(IF(BetTable[Sport]="","",#REF!/BetTable[TS]),"")</f>
        <v/>
      </c>
      <c r="AF1092" s="164">
        <f>IF(BetTable[Outcome]="Win",BetTable[WBA1-Commission],IF(BetTable[Outcome]="Win Half Stake",(BetTable[Stake]/2)+BetTable[WBA1-Commission]/2,IF(BetTable[Outcome]="Lose Half Stake",BetTable[Stake]/2,IF(BetTable[Outcome]="Lose",0,IF(BetTable[Outcome]="Void",BetTable[Stake],)))))</f>
        <v>14.5</v>
      </c>
      <c r="AG1092" s="164">
        <f>IF(BetTable[Outcome2]="Win",BetTable[WBA2-Commission],IF(BetTable[Outcome2]="Win Half Stake",(BetTable[S2]/2)+BetTable[WBA2-Commission]/2,IF(BetTable[Outcome2]="Lose Half Stake",BetTable[S2]/2,IF(BetTable[Outcome2]="Lose",0,IF(BetTable[Outcome2]="Void",BetTable[S2],)))))</f>
        <v>0</v>
      </c>
      <c r="AH1092" s="164">
        <f>IF(BetTable[Outcome3]="Win",BetTable[WBA3-Commission],IF(BetTable[Outcome3]="Win Half Stake",(BetTable[S3]/2)+BetTable[WBA3-Commission]/2,IF(BetTable[Outcome3]="Lose Half Stake",BetTable[S3]/2,IF(BetTable[Outcome3]="Lose",0,IF(BetTable[Outcome3]="Void",BetTable[S3],)))))</f>
        <v>0</v>
      </c>
      <c r="AI1092" s="168">
        <f>IF(BetTable[Outcome]="",AI1091,BetTable[Result]+AI1091)</f>
        <v>2257.0917499999996</v>
      </c>
      <c r="AJ1092" s="160"/>
    </row>
    <row r="1093" spans="1:36" x14ac:dyDescent="0.2">
      <c r="A1093" s="159" t="s">
        <v>2601</v>
      </c>
      <c r="B1093" s="160" t="s">
        <v>8</v>
      </c>
      <c r="C1093" s="161" t="s">
        <v>91</v>
      </c>
      <c r="D1093" s="161"/>
      <c r="E1093" s="161"/>
      <c r="F1093" s="162"/>
      <c r="G1093" s="162"/>
      <c r="H1093" s="162"/>
      <c r="I1093" s="160" t="s">
        <v>2728</v>
      </c>
      <c r="J1093" s="163">
        <v>1.61</v>
      </c>
      <c r="K1093" s="163"/>
      <c r="L1093" s="163"/>
      <c r="M1093" s="164">
        <v>42</v>
      </c>
      <c r="N1093" s="164"/>
      <c r="O1093" s="164"/>
      <c r="P1093" s="159" t="s">
        <v>428</v>
      </c>
      <c r="Q1093" s="159" t="s">
        <v>677</v>
      </c>
      <c r="R1093" s="159" t="s">
        <v>2729</v>
      </c>
      <c r="S1093" s="165">
        <v>1.67260636630562E-2</v>
      </c>
      <c r="T1093" s="166" t="s">
        <v>372</v>
      </c>
      <c r="U1093" s="166"/>
      <c r="V1093" s="166"/>
      <c r="W1093" s="167">
        <f>IF(BetTable[Sport]="","",BetTable[Stake]+BetTable[S2]+BetTable[S3])</f>
        <v>42</v>
      </c>
      <c r="X1093" s="164">
        <f>IF(BetTable[Odds]="","",(BetTable[WBA1-Commission])-BetTable[TS])</f>
        <v>25.620000000000005</v>
      </c>
      <c r="Y1093" s="168">
        <f>IF(BetTable[Outcome]="","",BetTable[WBA1]+BetTable[WBA2]+BetTable[WBA3]-BetTable[TS])</f>
        <v>25.620000000000005</v>
      </c>
      <c r="Z1093" s="164">
        <f>(((BetTable[Odds]-1)*BetTable[Stake])*(1-(BetTable[Comm %]))+BetTable[Stake])</f>
        <v>67.62</v>
      </c>
      <c r="AA1093" s="164">
        <f>(((BetTable[O2]-1)*BetTable[S2])*(1-(BetTable[C% 2]))+BetTable[S2])</f>
        <v>0</v>
      </c>
      <c r="AB1093" s="164">
        <f>(((BetTable[O3]-1)*BetTable[S3])*(1-(BetTable[C% 3]))+BetTable[S3])</f>
        <v>0</v>
      </c>
      <c r="AC1093" s="165">
        <f>IFERROR(IF(BetTable[Sport]="","",BetTable[R1]/BetTable[TS]),"")</f>
        <v>0.6100000000000001</v>
      </c>
      <c r="AD1093" s="165" t="str">
        <f>IF(BetTable[O2]="","",#REF!/BetTable[TS])</f>
        <v/>
      </c>
      <c r="AE1093" s="165" t="str">
        <f>IFERROR(IF(BetTable[Sport]="","",#REF!/BetTable[TS]),"")</f>
        <v/>
      </c>
      <c r="AF1093" s="164">
        <f>IF(BetTable[Outcome]="Win",BetTable[WBA1-Commission],IF(BetTable[Outcome]="Win Half Stake",(BetTable[Stake]/2)+BetTable[WBA1-Commission]/2,IF(BetTable[Outcome]="Lose Half Stake",BetTable[Stake]/2,IF(BetTable[Outcome]="Lose",0,IF(BetTable[Outcome]="Void",BetTable[Stake],)))))</f>
        <v>67.62</v>
      </c>
      <c r="AG1093" s="164">
        <f>IF(BetTable[Outcome2]="Win",BetTable[WBA2-Commission],IF(BetTable[Outcome2]="Win Half Stake",(BetTable[S2]/2)+BetTable[WBA2-Commission]/2,IF(BetTable[Outcome2]="Lose Half Stake",BetTable[S2]/2,IF(BetTable[Outcome2]="Lose",0,IF(BetTable[Outcome2]="Void",BetTable[S2],)))))</f>
        <v>0</v>
      </c>
      <c r="AH1093" s="164">
        <f>IF(BetTable[Outcome3]="Win",BetTable[WBA3-Commission],IF(BetTable[Outcome3]="Win Half Stake",(BetTable[S3]/2)+BetTable[WBA3-Commission]/2,IF(BetTable[Outcome3]="Lose Half Stake",BetTable[S3]/2,IF(BetTable[Outcome3]="Lose",0,IF(BetTable[Outcome3]="Void",BetTable[S3],)))))</f>
        <v>0</v>
      </c>
      <c r="AI1093" s="168">
        <f>IF(BetTable[Outcome]="",AI1092,BetTable[Result]+AI1092)</f>
        <v>2282.7117499999995</v>
      </c>
      <c r="AJ1093" s="160"/>
    </row>
    <row r="1094" spans="1:36" x14ac:dyDescent="0.2">
      <c r="A1094" s="159" t="s">
        <v>2601</v>
      </c>
      <c r="B1094" s="160" t="s">
        <v>200</v>
      </c>
      <c r="C1094" s="161" t="s">
        <v>1714</v>
      </c>
      <c r="D1094" s="161"/>
      <c r="E1094" s="161"/>
      <c r="F1094" s="162"/>
      <c r="G1094" s="162"/>
      <c r="H1094" s="162"/>
      <c r="I1094" s="160" t="s">
        <v>2730</v>
      </c>
      <c r="J1094" s="163">
        <v>2</v>
      </c>
      <c r="K1094" s="163"/>
      <c r="L1094" s="163"/>
      <c r="M1094" s="164">
        <v>35</v>
      </c>
      <c r="N1094" s="164"/>
      <c r="O1094" s="164"/>
      <c r="P1094" s="159" t="s">
        <v>868</v>
      </c>
      <c r="Q1094" s="159" t="s">
        <v>491</v>
      </c>
      <c r="R1094" s="159" t="s">
        <v>2731</v>
      </c>
      <c r="S1094" s="165">
        <v>2.2474631036900401E-2</v>
      </c>
      <c r="T1094" s="166" t="s">
        <v>372</v>
      </c>
      <c r="U1094" s="166"/>
      <c r="V1094" s="166"/>
      <c r="W1094" s="167">
        <f>IF(BetTable[Sport]="","",BetTable[Stake]+BetTable[S2]+BetTable[S3])</f>
        <v>35</v>
      </c>
      <c r="X1094" s="164">
        <f>IF(BetTable[Odds]="","",(BetTable[WBA1-Commission])-BetTable[TS])</f>
        <v>35</v>
      </c>
      <c r="Y1094" s="168">
        <f>IF(BetTable[Outcome]="","",BetTable[WBA1]+BetTable[WBA2]+BetTable[WBA3]-BetTable[TS])</f>
        <v>35</v>
      </c>
      <c r="Z1094" s="164">
        <f>(((BetTable[Odds]-1)*BetTable[Stake])*(1-(BetTable[Comm %]))+BetTable[Stake])</f>
        <v>70</v>
      </c>
      <c r="AA1094" s="164">
        <f>(((BetTable[O2]-1)*BetTable[S2])*(1-(BetTable[C% 2]))+BetTable[S2])</f>
        <v>0</v>
      </c>
      <c r="AB1094" s="164">
        <f>(((BetTable[O3]-1)*BetTable[S3])*(1-(BetTable[C% 3]))+BetTable[S3])</f>
        <v>0</v>
      </c>
      <c r="AC1094" s="165">
        <f>IFERROR(IF(BetTable[Sport]="","",BetTable[R1]/BetTable[TS]),"")</f>
        <v>1</v>
      </c>
      <c r="AD1094" s="165" t="str">
        <f>IF(BetTable[O2]="","",#REF!/BetTable[TS])</f>
        <v/>
      </c>
      <c r="AE1094" s="165" t="str">
        <f>IFERROR(IF(BetTable[Sport]="","",#REF!/BetTable[TS]),"")</f>
        <v/>
      </c>
      <c r="AF1094" s="164">
        <f>IF(BetTable[Outcome]="Win",BetTable[WBA1-Commission],IF(BetTable[Outcome]="Win Half Stake",(BetTable[Stake]/2)+BetTable[WBA1-Commission]/2,IF(BetTable[Outcome]="Lose Half Stake",BetTable[Stake]/2,IF(BetTable[Outcome]="Lose",0,IF(BetTable[Outcome]="Void",BetTable[Stake],)))))</f>
        <v>70</v>
      </c>
      <c r="AG1094" s="164">
        <f>IF(BetTable[Outcome2]="Win",BetTable[WBA2-Commission],IF(BetTable[Outcome2]="Win Half Stake",(BetTable[S2]/2)+BetTable[WBA2-Commission]/2,IF(BetTable[Outcome2]="Lose Half Stake",BetTable[S2]/2,IF(BetTable[Outcome2]="Lose",0,IF(BetTable[Outcome2]="Void",BetTable[S2],)))))</f>
        <v>0</v>
      </c>
      <c r="AH1094" s="164">
        <f>IF(BetTable[Outcome3]="Win",BetTable[WBA3-Commission],IF(BetTable[Outcome3]="Win Half Stake",(BetTable[S3]/2)+BetTable[WBA3-Commission]/2,IF(BetTable[Outcome3]="Lose Half Stake",BetTable[S3]/2,IF(BetTable[Outcome3]="Lose",0,IF(BetTable[Outcome3]="Void",BetTable[S3],)))))</f>
        <v>0</v>
      </c>
      <c r="AI1094" s="168">
        <f>IF(BetTable[Outcome]="",AI1093,BetTable[Result]+AI1093)</f>
        <v>2317.7117499999995</v>
      </c>
      <c r="AJ1094" s="160"/>
    </row>
    <row r="1095" spans="1:36" x14ac:dyDescent="0.2">
      <c r="A1095" s="159" t="s">
        <v>2601</v>
      </c>
      <c r="B1095" s="160" t="s">
        <v>200</v>
      </c>
      <c r="C1095" s="161" t="s">
        <v>1714</v>
      </c>
      <c r="D1095" s="161"/>
      <c r="E1095" s="161"/>
      <c r="F1095" s="162"/>
      <c r="G1095" s="162"/>
      <c r="H1095" s="162"/>
      <c r="I1095" s="160" t="s">
        <v>2732</v>
      </c>
      <c r="J1095" s="163">
        <v>2</v>
      </c>
      <c r="K1095" s="163"/>
      <c r="L1095" s="163"/>
      <c r="M1095" s="164">
        <v>42</v>
      </c>
      <c r="N1095" s="164"/>
      <c r="O1095" s="164"/>
      <c r="P1095" s="159" t="s">
        <v>637</v>
      </c>
      <c r="Q1095" s="159" t="s">
        <v>495</v>
      </c>
      <c r="R1095" s="159" t="s">
        <v>2733</v>
      </c>
      <c r="S1095" s="165">
        <v>2.7233216960565201E-2</v>
      </c>
      <c r="T1095" s="166" t="s">
        <v>383</v>
      </c>
      <c r="U1095" s="166"/>
      <c r="V1095" s="166"/>
      <c r="W1095" s="167">
        <f>IF(BetTable[Sport]="","",BetTable[Stake]+BetTable[S2]+BetTable[S3])</f>
        <v>42</v>
      </c>
      <c r="X1095" s="164">
        <f>IF(BetTable[Odds]="","",(BetTable[WBA1-Commission])-BetTable[TS])</f>
        <v>42</v>
      </c>
      <c r="Y1095" s="168">
        <f>IF(BetTable[Outcome]="","",BetTable[WBA1]+BetTable[WBA2]+BetTable[WBA3]-BetTable[TS])</f>
        <v>0</v>
      </c>
      <c r="Z1095" s="164">
        <f>(((BetTable[Odds]-1)*BetTable[Stake])*(1-(BetTable[Comm %]))+BetTable[Stake])</f>
        <v>84</v>
      </c>
      <c r="AA1095" s="164">
        <f>(((BetTable[O2]-1)*BetTable[S2])*(1-(BetTable[C% 2]))+BetTable[S2])</f>
        <v>0</v>
      </c>
      <c r="AB1095" s="164">
        <f>(((BetTable[O3]-1)*BetTable[S3])*(1-(BetTable[C% 3]))+BetTable[S3])</f>
        <v>0</v>
      </c>
      <c r="AC1095" s="165">
        <f>IFERROR(IF(BetTable[Sport]="","",BetTable[R1]/BetTable[TS]),"")</f>
        <v>1</v>
      </c>
      <c r="AD1095" s="165" t="str">
        <f>IF(BetTable[O2]="","",#REF!/BetTable[TS])</f>
        <v/>
      </c>
      <c r="AE1095" s="165" t="str">
        <f>IFERROR(IF(BetTable[Sport]="","",#REF!/BetTable[TS]),"")</f>
        <v/>
      </c>
      <c r="AF1095" s="164">
        <f>IF(BetTable[Outcome]="Win",BetTable[WBA1-Commission],IF(BetTable[Outcome]="Win Half Stake",(BetTable[Stake]/2)+BetTable[WBA1-Commission]/2,IF(BetTable[Outcome]="Lose Half Stake",BetTable[Stake]/2,IF(BetTable[Outcome]="Lose",0,IF(BetTable[Outcome]="Void",BetTable[Stake],)))))</f>
        <v>42</v>
      </c>
      <c r="AG1095" s="164">
        <f>IF(BetTable[Outcome2]="Win",BetTable[WBA2-Commission],IF(BetTable[Outcome2]="Win Half Stake",(BetTable[S2]/2)+BetTable[WBA2-Commission]/2,IF(BetTable[Outcome2]="Lose Half Stake",BetTable[S2]/2,IF(BetTable[Outcome2]="Lose",0,IF(BetTable[Outcome2]="Void",BetTable[S2],)))))</f>
        <v>0</v>
      </c>
      <c r="AH1095" s="164">
        <f>IF(BetTable[Outcome3]="Win",BetTable[WBA3-Commission],IF(BetTable[Outcome3]="Win Half Stake",(BetTable[S3]/2)+BetTable[WBA3-Commission]/2,IF(BetTable[Outcome3]="Lose Half Stake",BetTable[S3]/2,IF(BetTable[Outcome3]="Lose",0,IF(BetTable[Outcome3]="Void",BetTable[S3],)))))</f>
        <v>0</v>
      </c>
      <c r="AI1095" s="168">
        <f>IF(BetTable[Outcome]="",AI1094,BetTable[Result]+AI1094)</f>
        <v>2317.7117499999995</v>
      </c>
      <c r="AJ1095" s="160"/>
    </row>
    <row r="1096" spans="1:36" x14ac:dyDescent="0.2">
      <c r="A1096" s="159" t="s">
        <v>2601</v>
      </c>
      <c r="B1096" s="160" t="s">
        <v>200</v>
      </c>
      <c r="C1096" s="161" t="s">
        <v>1714</v>
      </c>
      <c r="D1096" s="161"/>
      <c r="E1096" s="161"/>
      <c r="F1096" s="162"/>
      <c r="G1096" s="162"/>
      <c r="H1096" s="162"/>
      <c r="I1096" s="160" t="s">
        <v>2734</v>
      </c>
      <c r="J1096" s="163">
        <v>2.13</v>
      </c>
      <c r="K1096" s="163"/>
      <c r="L1096" s="163"/>
      <c r="M1096" s="164">
        <v>23</v>
      </c>
      <c r="N1096" s="164"/>
      <c r="O1096" s="164"/>
      <c r="P1096" s="159" t="s">
        <v>498</v>
      </c>
      <c r="Q1096" s="159" t="s">
        <v>491</v>
      </c>
      <c r="R1096" s="159" t="s">
        <v>2735</v>
      </c>
      <c r="S1096" s="165">
        <v>1.7050627281107001E-2</v>
      </c>
      <c r="T1096" s="166" t="s">
        <v>382</v>
      </c>
      <c r="U1096" s="166"/>
      <c r="V1096" s="166"/>
      <c r="W1096" s="167">
        <f>IF(BetTable[Sport]="","",BetTable[Stake]+BetTable[S2]+BetTable[S3])</f>
        <v>23</v>
      </c>
      <c r="X1096" s="164">
        <f>IF(BetTable[Odds]="","",(BetTable[WBA1-Commission])-BetTable[TS])</f>
        <v>25.989999999999995</v>
      </c>
      <c r="Y1096" s="168">
        <f>IF(BetTable[Outcome]="","",BetTable[WBA1]+BetTable[WBA2]+BetTable[WBA3]-BetTable[TS])</f>
        <v>-23</v>
      </c>
      <c r="Z1096" s="164">
        <f>(((BetTable[Odds]-1)*BetTable[Stake])*(1-(BetTable[Comm %]))+BetTable[Stake])</f>
        <v>48.989999999999995</v>
      </c>
      <c r="AA1096" s="164">
        <f>(((BetTable[O2]-1)*BetTable[S2])*(1-(BetTable[C% 2]))+BetTable[S2])</f>
        <v>0</v>
      </c>
      <c r="AB1096" s="164">
        <f>(((BetTable[O3]-1)*BetTable[S3])*(1-(BetTable[C% 3]))+BetTable[S3])</f>
        <v>0</v>
      </c>
      <c r="AC1096" s="165">
        <f>IFERROR(IF(BetTable[Sport]="","",BetTable[R1]/BetTable[TS]),"")</f>
        <v>1.1299999999999997</v>
      </c>
      <c r="AD1096" s="165" t="str">
        <f>IF(BetTable[O2]="","",#REF!/BetTable[TS])</f>
        <v/>
      </c>
      <c r="AE1096" s="165" t="str">
        <f>IFERROR(IF(BetTable[Sport]="","",#REF!/BetTable[TS]),"")</f>
        <v/>
      </c>
      <c r="AF1096" s="164">
        <f>IF(BetTable[Outcome]="Win",BetTable[WBA1-Commission],IF(BetTable[Outcome]="Win Half Stake",(BetTable[Stake]/2)+BetTable[WBA1-Commission]/2,IF(BetTable[Outcome]="Lose Half Stake",BetTable[Stake]/2,IF(BetTable[Outcome]="Lose",0,IF(BetTable[Outcome]="Void",BetTable[Stake],)))))</f>
        <v>0</v>
      </c>
      <c r="AG1096" s="164">
        <f>IF(BetTable[Outcome2]="Win",BetTable[WBA2-Commission],IF(BetTable[Outcome2]="Win Half Stake",(BetTable[S2]/2)+BetTable[WBA2-Commission]/2,IF(BetTable[Outcome2]="Lose Half Stake",BetTable[S2]/2,IF(BetTable[Outcome2]="Lose",0,IF(BetTable[Outcome2]="Void",BetTable[S2],)))))</f>
        <v>0</v>
      </c>
      <c r="AH1096" s="164">
        <f>IF(BetTable[Outcome3]="Win",BetTable[WBA3-Commission],IF(BetTable[Outcome3]="Win Half Stake",(BetTable[S3]/2)+BetTable[WBA3-Commission]/2,IF(BetTable[Outcome3]="Lose Half Stake",BetTable[S3]/2,IF(BetTable[Outcome3]="Lose",0,IF(BetTable[Outcome3]="Void",BetTable[S3],)))))</f>
        <v>0</v>
      </c>
      <c r="AI1096" s="168">
        <f>IF(BetTable[Outcome]="",AI1095,BetTable[Result]+AI1095)</f>
        <v>2294.7117499999995</v>
      </c>
      <c r="AJ1096" s="160"/>
    </row>
    <row r="1097" spans="1:36" x14ac:dyDescent="0.2">
      <c r="A1097" s="159" t="s">
        <v>2601</v>
      </c>
      <c r="B1097" s="160" t="s">
        <v>8</v>
      </c>
      <c r="C1097" s="161" t="s">
        <v>91</v>
      </c>
      <c r="D1097" s="161"/>
      <c r="E1097" s="161"/>
      <c r="F1097" s="162"/>
      <c r="G1097" s="162"/>
      <c r="H1097" s="162"/>
      <c r="I1097" s="160" t="s">
        <v>2616</v>
      </c>
      <c r="J1097" s="163">
        <v>2.25</v>
      </c>
      <c r="K1097" s="163"/>
      <c r="L1097" s="163"/>
      <c r="M1097" s="164">
        <v>23</v>
      </c>
      <c r="N1097" s="164"/>
      <c r="O1097" s="164"/>
      <c r="P1097" s="159" t="s">
        <v>435</v>
      </c>
      <c r="Q1097" s="159" t="s">
        <v>458</v>
      </c>
      <c r="R1097" s="159" t="s">
        <v>2736</v>
      </c>
      <c r="S1097" s="165">
        <v>1.8547013983345201E-2</v>
      </c>
      <c r="T1097" s="166" t="s">
        <v>382</v>
      </c>
      <c r="U1097" s="166"/>
      <c r="V1097" s="166"/>
      <c r="W1097" s="167">
        <f>IF(BetTable[Sport]="","",BetTable[Stake]+BetTable[S2]+BetTable[S3])</f>
        <v>23</v>
      </c>
      <c r="X1097" s="164">
        <f>IF(BetTable[Odds]="","",(BetTable[WBA1-Commission])-BetTable[TS])</f>
        <v>28.75</v>
      </c>
      <c r="Y1097" s="168">
        <f>IF(BetTable[Outcome]="","",BetTable[WBA1]+BetTable[WBA2]+BetTable[WBA3]-BetTable[TS])</f>
        <v>-23</v>
      </c>
      <c r="Z1097" s="164">
        <f>(((BetTable[Odds]-1)*BetTable[Stake])*(1-(BetTable[Comm %]))+BetTable[Stake])</f>
        <v>51.75</v>
      </c>
      <c r="AA1097" s="164">
        <f>(((BetTable[O2]-1)*BetTable[S2])*(1-(BetTable[C% 2]))+BetTable[S2])</f>
        <v>0</v>
      </c>
      <c r="AB1097" s="164">
        <f>(((BetTable[O3]-1)*BetTable[S3])*(1-(BetTable[C% 3]))+BetTable[S3])</f>
        <v>0</v>
      </c>
      <c r="AC1097" s="165">
        <f>IFERROR(IF(BetTable[Sport]="","",BetTable[R1]/BetTable[TS]),"")</f>
        <v>1.25</v>
      </c>
      <c r="AD1097" s="165" t="str">
        <f>IF(BetTable[O2]="","",#REF!/BetTable[TS])</f>
        <v/>
      </c>
      <c r="AE1097" s="165" t="str">
        <f>IFERROR(IF(BetTable[Sport]="","",#REF!/BetTable[TS]),"")</f>
        <v/>
      </c>
      <c r="AF1097" s="164">
        <f>IF(BetTable[Outcome]="Win",BetTable[WBA1-Commission],IF(BetTable[Outcome]="Win Half Stake",(BetTable[Stake]/2)+BetTable[WBA1-Commission]/2,IF(BetTable[Outcome]="Lose Half Stake",BetTable[Stake]/2,IF(BetTable[Outcome]="Lose",0,IF(BetTable[Outcome]="Void",BetTable[Stake],)))))</f>
        <v>0</v>
      </c>
      <c r="AG1097" s="164">
        <f>IF(BetTable[Outcome2]="Win",BetTable[WBA2-Commission],IF(BetTable[Outcome2]="Win Half Stake",(BetTable[S2]/2)+BetTable[WBA2-Commission]/2,IF(BetTable[Outcome2]="Lose Half Stake",BetTable[S2]/2,IF(BetTable[Outcome2]="Lose",0,IF(BetTable[Outcome2]="Void",BetTable[S2],)))))</f>
        <v>0</v>
      </c>
      <c r="AH1097" s="164">
        <f>IF(BetTable[Outcome3]="Win",BetTable[WBA3-Commission],IF(BetTable[Outcome3]="Win Half Stake",(BetTable[S3]/2)+BetTable[WBA3-Commission]/2,IF(BetTable[Outcome3]="Lose Half Stake",BetTable[S3]/2,IF(BetTable[Outcome3]="Lose",0,IF(BetTable[Outcome3]="Void",BetTable[S3],)))))</f>
        <v>0</v>
      </c>
      <c r="AI1097" s="168">
        <f>IF(BetTable[Outcome]="",AI1096,BetTable[Result]+AI1096)</f>
        <v>2271.7117499999995</v>
      </c>
      <c r="AJ1097" s="160"/>
    </row>
    <row r="1098" spans="1:36" x14ac:dyDescent="0.2">
      <c r="A1098" s="159" t="s">
        <v>2601</v>
      </c>
      <c r="B1098" s="160" t="s">
        <v>7</v>
      </c>
      <c r="C1098" s="161" t="s">
        <v>91</v>
      </c>
      <c r="D1098" s="161"/>
      <c r="E1098" s="161"/>
      <c r="F1098" s="162"/>
      <c r="G1098" s="162"/>
      <c r="H1098" s="162"/>
      <c r="I1098" s="160" t="s">
        <v>2737</v>
      </c>
      <c r="J1098" s="163">
        <v>2.08</v>
      </c>
      <c r="K1098" s="163"/>
      <c r="L1098" s="163"/>
      <c r="M1098" s="164">
        <v>30</v>
      </c>
      <c r="N1098" s="164"/>
      <c r="O1098" s="164"/>
      <c r="P1098" s="159" t="s">
        <v>400</v>
      </c>
      <c r="Q1098" s="159" t="s">
        <v>621</v>
      </c>
      <c r="R1098" s="159" t="s">
        <v>2738</v>
      </c>
      <c r="S1098" s="165">
        <v>2.0762529660517001E-2</v>
      </c>
      <c r="T1098" s="166" t="s">
        <v>372</v>
      </c>
      <c r="U1098" s="166"/>
      <c r="V1098" s="166"/>
      <c r="W1098" s="167">
        <f>IF(BetTable[Sport]="","",BetTable[Stake]+BetTable[S2]+BetTable[S3])</f>
        <v>30</v>
      </c>
      <c r="X1098" s="164">
        <f>IF(BetTable[Odds]="","",(BetTable[WBA1-Commission])-BetTable[TS])</f>
        <v>32.400000000000006</v>
      </c>
      <c r="Y1098" s="168">
        <f>IF(BetTable[Outcome]="","",BetTable[WBA1]+BetTable[WBA2]+BetTable[WBA3]-BetTable[TS])</f>
        <v>32.400000000000006</v>
      </c>
      <c r="Z1098" s="164">
        <f>(((BetTable[Odds]-1)*BetTable[Stake])*(1-(BetTable[Comm %]))+BetTable[Stake])</f>
        <v>62.400000000000006</v>
      </c>
      <c r="AA1098" s="164">
        <f>(((BetTable[O2]-1)*BetTable[S2])*(1-(BetTable[C% 2]))+BetTable[S2])</f>
        <v>0</v>
      </c>
      <c r="AB1098" s="164">
        <f>(((BetTable[O3]-1)*BetTable[S3])*(1-(BetTable[C% 3]))+BetTable[S3])</f>
        <v>0</v>
      </c>
      <c r="AC1098" s="165">
        <f>IFERROR(IF(BetTable[Sport]="","",BetTable[R1]/BetTable[TS]),"")</f>
        <v>1.0800000000000003</v>
      </c>
      <c r="AD1098" s="165" t="str">
        <f>IF(BetTable[O2]="","",#REF!/BetTable[TS])</f>
        <v/>
      </c>
      <c r="AE1098" s="165" t="str">
        <f>IFERROR(IF(BetTable[Sport]="","",#REF!/BetTable[TS]),"")</f>
        <v/>
      </c>
      <c r="AF1098" s="164">
        <f>IF(BetTable[Outcome]="Win",BetTable[WBA1-Commission],IF(BetTable[Outcome]="Win Half Stake",(BetTable[Stake]/2)+BetTable[WBA1-Commission]/2,IF(BetTable[Outcome]="Lose Half Stake",BetTable[Stake]/2,IF(BetTable[Outcome]="Lose",0,IF(BetTable[Outcome]="Void",BetTable[Stake],)))))</f>
        <v>62.400000000000006</v>
      </c>
      <c r="AG1098" s="164">
        <f>IF(BetTable[Outcome2]="Win",BetTable[WBA2-Commission],IF(BetTable[Outcome2]="Win Half Stake",(BetTable[S2]/2)+BetTable[WBA2-Commission]/2,IF(BetTable[Outcome2]="Lose Half Stake",BetTable[S2]/2,IF(BetTable[Outcome2]="Lose",0,IF(BetTable[Outcome2]="Void",BetTable[S2],)))))</f>
        <v>0</v>
      </c>
      <c r="AH1098" s="164">
        <f>IF(BetTable[Outcome3]="Win",BetTable[WBA3-Commission],IF(BetTable[Outcome3]="Win Half Stake",(BetTable[S3]/2)+BetTable[WBA3-Commission]/2,IF(BetTable[Outcome3]="Lose Half Stake",BetTable[S3]/2,IF(BetTable[Outcome3]="Lose",0,IF(BetTable[Outcome3]="Void",BetTable[S3],)))))</f>
        <v>0</v>
      </c>
      <c r="AI1098" s="168">
        <f>IF(BetTable[Outcome]="",AI1097,BetTable[Result]+AI1097)</f>
        <v>2304.1117499999996</v>
      </c>
      <c r="AJ1098" s="160"/>
    </row>
    <row r="1099" spans="1:36" x14ac:dyDescent="0.2">
      <c r="A1099" s="159" t="s">
        <v>2601</v>
      </c>
      <c r="B1099" s="160" t="s">
        <v>200</v>
      </c>
      <c r="C1099" s="161" t="s">
        <v>1714</v>
      </c>
      <c r="D1099" s="161"/>
      <c r="E1099" s="161"/>
      <c r="F1099" s="162"/>
      <c r="G1099" s="162"/>
      <c r="H1099" s="162"/>
      <c r="I1099" s="160" t="s">
        <v>2730</v>
      </c>
      <c r="J1099" s="163">
        <v>1.92</v>
      </c>
      <c r="K1099" s="163"/>
      <c r="L1099" s="163"/>
      <c r="M1099" s="164">
        <v>39</v>
      </c>
      <c r="N1099" s="164"/>
      <c r="O1099" s="164"/>
      <c r="P1099" s="159" t="s">
        <v>435</v>
      </c>
      <c r="Q1099" s="159" t="s">
        <v>491</v>
      </c>
      <c r="R1099" s="159" t="s">
        <v>2739</v>
      </c>
      <c r="S1099" s="165">
        <v>2.3288263495436501E-2</v>
      </c>
      <c r="T1099" s="166" t="s">
        <v>382</v>
      </c>
      <c r="U1099" s="166"/>
      <c r="V1099" s="166"/>
      <c r="W1099" s="167">
        <f>IF(BetTable[Sport]="","",BetTable[Stake]+BetTable[S2]+BetTable[S3])</f>
        <v>39</v>
      </c>
      <c r="X1099" s="164">
        <f>IF(BetTable[Odds]="","",(BetTable[WBA1-Commission])-BetTable[TS])</f>
        <v>35.879999999999995</v>
      </c>
      <c r="Y1099" s="168">
        <f>IF(BetTable[Outcome]="","",BetTable[WBA1]+BetTable[WBA2]+BetTable[WBA3]-BetTable[TS])</f>
        <v>-39</v>
      </c>
      <c r="Z1099" s="164">
        <f>(((BetTable[Odds]-1)*BetTable[Stake])*(1-(BetTable[Comm %]))+BetTable[Stake])</f>
        <v>74.88</v>
      </c>
      <c r="AA1099" s="164">
        <f>(((BetTable[O2]-1)*BetTable[S2])*(1-(BetTable[C% 2]))+BetTable[S2])</f>
        <v>0</v>
      </c>
      <c r="AB1099" s="164">
        <f>(((BetTable[O3]-1)*BetTable[S3])*(1-(BetTable[C% 3]))+BetTable[S3])</f>
        <v>0</v>
      </c>
      <c r="AC1099" s="165">
        <f>IFERROR(IF(BetTable[Sport]="","",BetTable[R1]/BetTable[TS]),"")</f>
        <v>0.91999999999999993</v>
      </c>
      <c r="AD1099" s="165" t="str">
        <f>IF(BetTable[O2]="","",#REF!/BetTable[TS])</f>
        <v/>
      </c>
      <c r="AE1099" s="165" t="str">
        <f>IFERROR(IF(BetTable[Sport]="","",#REF!/BetTable[TS]),"")</f>
        <v/>
      </c>
      <c r="AF1099" s="164">
        <f>IF(BetTable[Outcome]="Win",BetTable[WBA1-Commission],IF(BetTable[Outcome]="Win Half Stake",(BetTable[Stake]/2)+BetTable[WBA1-Commission]/2,IF(BetTable[Outcome]="Lose Half Stake",BetTable[Stake]/2,IF(BetTable[Outcome]="Lose",0,IF(BetTable[Outcome]="Void",BetTable[Stake],)))))</f>
        <v>0</v>
      </c>
      <c r="AG1099" s="164">
        <f>IF(BetTable[Outcome2]="Win",BetTable[WBA2-Commission],IF(BetTable[Outcome2]="Win Half Stake",(BetTable[S2]/2)+BetTable[WBA2-Commission]/2,IF(BetTable[Outcome2]="Lose Half Stake",BetTable[S2]/2,IF(BetTable[Outcome2]="Lose",0,IF(BetTable[Outcome2]="Void",BetTable[S2],)))))</f>
        <v>0</v>
      </c>
      <c r="AH1099" s="164">
        <f>IF(BetTable[Outcome3]="Win",BetTable[WBA3-Commission],IF(BetTable[Outcome3]="Win Half Stake",(BetTable[S3]/2)+BetTable[WBA3-Commission]/2,IF(BetTable[Outcome3]="Lose Half Stake",BetTable[S3]/2,IF(BetTable[Outcome3]="Lose",0,IF(BetTable[Outcome3]="Void",BetTable[S3],)))))</f>
        <v>0</v>
      </c>
      <c r="AI1099" s="168">
        <f>IF(BetTable[Outcome]="",AI1098,BetTable[Result]+AI1098)</f>
        <v>2265.1117499999996</v>
      </c>
      <c r="AJ1099" s="160"/>
    </row>
    <row r="1100" spans="1:36" x14ac:dyDescent="0.2">
      <c r="A1100" s="159" t="s">
        <v>2601</v>
      </c>
      <c r="B1100" s="160" t="s">
        <v>200</v>
      </c>
      <c r="C1100" s="161" t="s">
        <v>1714</v>
      </c>
      <c r="D1100" s="161"/>
      <c r="E1100" s="161"/>
      <c r="F1100" s="162"/>
      <c r="G1100" s="162"/>
      <c r="H1100" s="162"/>
      <c r="I1100" s="160" t="s">
        <v>2740</v>
      </c>
      <c r="J1100" s="163">
        <v>1.77</v>
      </c>
      <c r="K1100" s="163"/>
      <c r="L1100" s="163"/>
      <c r="M1100" s="164">
        <v>56</v>
      </c>
      <c r="N1100" s="164"/>
      <c r="O1100" s="164"/>
      <c r="P1100" s="159" t="s">
        <v>448</v>
      </c>
      <c r="Q1100" s="159" t="s">
        <v>485</v>
      </c>
      <c r="R1100" s="159" t="s">
        <v>2741</v>
      </c>
      <c r="S1100" s="165">
        <v>2.8105488125504799E-2</v>
      </c>
      <c r="T1100" s="166" t="s">
        <v>372</v>
      </c>
      <c r="U1100" s="166"/>
      <c r="V1100" s="166"/>
      <c r="W1100" s="167">
        <f>IF(BetTable[Sport]="","",BetTable[Stake]+BetTable[S2]+BetTable[S3])</f>
        <v>56</v>
      </c>
      <c r="X1100" s="164">
        <f>IF(BetTable[Odds]="","",(BetTable[WBA1-Commission])-BetTable[TS])</f>
        <v>43.120000000000005</v>
      </c>
      <c r="Y1100" s="168">
        <f>IF(BetTable[Outcome]="","",BetTable[WBA1]+BetTable[WBA2]+BetTable[WBA3]-BetTable[TS])</f>
        <v>43.120000000000005</v>
      </c>
      <c r="Z1100" s="164">
        <f>(((BetTable[Odds]-1)*BetTable[Stake])*(1-(BetTable[Comm %]))+BetTable[Stake])</f>
        <v>99.12</v>
      </c>
      <c r="AA1100" s="164">
        <f>(((BetTable[O2]-1)*BetTable[S2])*(1-(BetTable[C% 2]))+BetTable[S2])</f>
        <v>0</v>
      </c>
      <c r="AB1100" s="164">
        <f>(((BetTable[O3]-1)*BetTable[S3])*(1-(BetTable[C% 3]))+BetTable[S3])</f>
        <v>0</v>
      </c>
      <c r="AC1100" s="165">
        <f>IFERROR(IF(BetTable[Sport]="","",BetTable[R1]/BetTable[TS]),"")</f>
        <v>0.77000000000000013</v>
      </c>
      <c r="AD1100" s="165" t="str">
        <f>IF(BetTable[O2]="","",#REF!/BetTable[TS])</f>
        <v/>
      </c>
      <c r="AE1100" s="165" t="str">
        <f>IFERROR(IF(BetTable[Sport]="","",#REF!/BetTable[TS]),"")</f>
        <v/>
      </c>
      <c r="AF1100" s="164">
        <f>IF(BetTable[Outcome]="Win",BetTable[WBA1-Commission],IF(BetTable[Outcome]="Win Half Stake",(BetTable[Stake]/2)+BetTable[WBA1-Commission]/2,IF(BetTable[Outcome]="Lose Half Stake",BetTable[Stake]/2,IF(BetTable[Outcome]="Lose",0,IF(BetTable[Outcome]="Void",BetTable[Stake],)))))</f>
        <v>99.12</v>
      </c>
      <c r="AG1100" s="164">
        <f>IF(BetTable[Outcome2]="Win",BetTable[WBA2-Commission],IF(BetTable[Outcome2]="Win Half Stake",(BetTable[S2]/2)+BetTable[WBA2-Commission]/2,IF(BetTable[Outcome2]="Lose Half Stake",BetTable[S2]/2,IF(BetTable[Outcome2]="Lose",0,IF(BetTable[Outcome2]="Void",BetTable[S2],)))))</f>
        <v>0</v>
      </c>
      <c r="AH1100" s="164">
        <f>IF(BetTable[Outcome3]="Win",BetTable[WBA3-Commission],IF(BetTable[Outcome3]="Win Half Stake",(BetTable[S3]/2)+BetTable[WBA3-Commission]/2,IF(BetTable[Outcome3]="Lose Half Stake",BetTable[S3]/2,IF(BetTable[Outcome3]="Lose",0,IF(BetTable[Outcome3]="Void",BetTable[S3],)))))</f>
        <v>0</v>
      </c>
      <c r="AI1100" s="168">
        <f>IF(BetTable[Outcome]="",AI1099,BetTable[Result]+AI1099)</f>
        <v>2308.2317499999995</v>
      </c>
      <c r="AJ1100" s="160"/>
    </row>
    <row r="1101" spans="1:36" x14ac:dyDescent="0.2">
      <c r="A1101" s="159" t="s">
        <v>2601</v>
      </c>
      <c r="B1101" s="160" t="s">
        <v>7</v>
      </c>
      <c r="C1101" s="161" t="s">
        <v>1714</v>
      </c>
      <c r="D1101" s="161"/>
      <c r="E1101" s="161"/>
      <c r="F1101" s="162"/>
      <c r="G1101" s="162"/>
      <c r="H1101" s="162"/>
      <c r="I1101" s="160" t="s">
        <v>2742</v>
      </c>
      <c r="J1101" s="163">
        <v>2.0299999999999998</v>
      </c>
      <c r="K1101" s="163"/>
      <c r="L1101" s="163"/>
      <c r="M1101" s="164">
        <v>37</v>
      </c>
      <c r="N1101" s="164"/>
      <c r="O1101" s="164"/>
      <c r="P1101" s="159" t="s">
        <v>2743</v>
      </c>
      <c r="Q1101" s="159" t="s">
        <v>659</v>
      </c>
      <c r="R1101" s="159" t="s">
        <v>2744</v>
      </c>
      <c r="S1101" s="165">
        <v>2.43863805803015E-2</v>
      </c>
      <c r="T1101" s="166" t="s">
        <v>382</v>
      </c>
      <c r="U1101" s="166"/>
      <c r="V1101" s="166"/>
      <c r="W1101" s="167">
        <f>IF(BetTable[Sport]="","",BetTable[Stake]+BetTable[S2]+BetTable[S3])</f>
        <v>37</v>
      </c>
      <c r="X1101" s="164">
        <f>IF(BetTable[Odds]="","",(BetTable[WBA1-Commission])-BetTable[TS])</f>
        <v>38.109999999999985</v>
      </c>
      <c r="Y1101" s="168">
        <f>IF(BetTable[Outcome]="","",BetTable[WBA1]+BetTable[WBA2]+BetTable[WBA3]-BetTable[TS])</f>
        <v>-37</v>
      </c>
      <c r="Z1101" s="164">
        <f>(((BetTable[Odds]-1)*BetTable[Stake])*(1-(BetTable[Comm %]))+BetTable[Stake])</f>
        <v>75.109999999999985</v>
      </c>
      <c r="AA1101" s="164">
        <f>(((BetTable[O2]-1)*BetTable[S2])*(1-(BetTable[C% 2]))+BetTable[S2])</f>
        <v>0</v>
      </c>
      <c r="AB1101" s="164">
        <f>(((BetTable[O3]-1)*BetTable[S3])*(1-(BetTable[C% 3]))+BetTable[S3])</f>
        <v>0</v>
      </c>
      <c r="AC1101" s="165">
        <f>IFERROR(IF(BetTable[Sport]="","",BetTable[R1]/BetTable[TS]),"")</f>
        <v>1.0299999999999996</v>
      </c>
      <c r="AD1101" s="165" t="str">
        <f>IF(BetTable[O2]="","",#REF!/BetTable[TS])</f>
        <v/>
      </c>
      <c r="AE1101" s="165" t="str">
        <f>IFERROR(IF(BetTable[Sport]="","",#REF!/BetTable[TS]),"")</f>
        <v/>
      </c>
      <c r="AF1101" s="164">
        <f>IF(BetTable[Outcome]="Win",BetTable[WBA1-Commission],IF(BetTable[Outcome]="Win Half Stake",(BetTable[Stake]/2)+BetTable[WBA1-Commission]/2,IF(BetTable[Outcome]="Lose Half Stake",BetTable[Stake]/2,IF(BetTable[Outcome]="Lose",0,IF(BetTable[Outcome]="Void",BetTable[Stake],)))))</f>
        <v>0</v>
      </c>
      <c r="AG1101" s="164">
        <f>IF(BetTable[Outcome2]="Win",BetTable[WBA2-Commission],IF(BetTable[Outcome2]="Win Half Stake",(BetTable[S2]/2)+BetTable[WBA2-Commission]/2,IF(BetTable[Outcome2]="Lose Half Stake",BetTable[S2]/2,IF(BetTable[Outcome2]="Lose",0,IF(BetTable[Outcome2]="Void",BetTable[S2],)))))</f>
        <v>0</v>
      </c>
      <c r="AH1101" s="164">
        <f>IF(BetTable[Outcome3]="Win",BetTable[WBA3-Commission],IF(BetTable[Outcome3]="Win Half Stake",(BetTable[S3]/2)+BetTable[WBA3-Commission]/2,IF(BetTable[Outcome3]="Lose Half Stake",BetTable[S3]/2,IF(BetTable[Outcome3]="Lose",0,IF(BetTable[Outcome3]="Void",BetTable[S3],)))))</f>
        <v>0</v>
      </c>
      <c r="AI1101" s="168">
        <f>IF(BetTable[Outcome]="",AI1100,BetTable[Result]+AI1100)</f>
        <v>2271.2317499999995</v>
      </c>
      <c r="AJ1101" s="160"/>
    </row>
    <row r="1102" spans="1:36" x14ac:dyDescent="0.2">
      <c r="A1102" s="159" t="s">
        <v>2601</v>
      </c>
      <c r="B1102" s="160" t="s">
        <v>200</v>
      </c>
      <c r="C1102" s="161" t="s">
        <v>1714</v>
      </c>
      <c r="D1102" s="161"/>
      <c r="E1102" s="161"/>
      <c r="F1102" s="162"/>
      <c r="G1102" s="162"/>
      <c r="H1102" s="162"/>
      <c r="I1102" s="160" t="s">
        <v>2745</v>
      </c>
      <c r="J1102" s="163">
        <v>1.86</v>
      </c>
      <c r="K1102" s="163"/>
      <c r="L1102" s="163"/>
      <c r="M1102" s="164">
        <v>33</v>
      </c>
      <c r="N1102" s="164"/>
      <c r="O1102" s="164"/>
      <c r="P1102" s="159" t="s">
        <v>688</v>
      </c>
      <c r="Q1102" s="159" t="s">
        <v>488</v>
      </c>
      <c r="R1102" s="159" t="s">
        <v>2746</v>
      </c>
      <c r="S1102" s="165">
        <v>1.83783599692144E-2</v>
      </c>
      <c r="T1102" s="166" t="s">
        <v>382</v>
      </c>
      <c r="U1102" s="166"/>
      <c r="V1102" s="166"/>
      <c r="W1102" s="167">
        <f>IF(BetTable[Sport]="","",BetTable[Stake]+BetTable[S2]+BetTable[S3])</f>
        <v>33</v>
      </c>
      <c r="X1102" s="164">
        <f>IF(BetTable[Odds]="","",(BetTable[WBA1-Commission])-BetTable[TS])</f>
        <v>28.380000000000003</v>
      </c>
      <c r="Y1102" s="168">
        <f>IF(BetTable[Outcome]="","",BetTable[WBA1]+BetTable[WBA2]+BetTable[WBA3]-BetTable[TS])</f>
        <v>-33</v>
      </c>
      <c r="Z1102" s="164">
        <f>(((BetTable[Odds]-1)*BetTable[Stake])*(1-(BetTable[Comm %]))+BetTable[Stake])</f>
        <v>61.38</v>
      </c>
      <c r="AA1102" s="164">
        <f>(((BetTable[O2]-1)*BetTable[S2])*(1-(BetTable[C% 2]))+BetTable[S2])</f>
        <v>0</v>
      </c>
      <c r="AB1102" s="164">
        <f>(((BetTable[O3]-1)*BetTable[S3])*(1-(BetTable[C% 3]))+BetTable[S3])</f>
        <v>0</v>
      </c>
      <c r="AC1102" s="165">
        <f>IFERROR(IF(BetTable[Sport]="","",BetTable[R1]/BetTable[TS]),"")</f>
        <v>0.8600000000000001</v>
      </c>
      <c r="AD1102" s="165" t="str">
        <f>IF(BetTable[O2]="","",#REF!/BetTable[TS])</f>
        <v/>
      </c>
      <c r="AE1102" s="165" t="str">
        <f>IFERROR(IF(BetTable[Sport]="","",#REF!/BetTable[TS]),"")</f>
        <v/>
      </c>
      <c r="AF1102" s="164">
        <f>IF(BetTable[Outcome]="Win",BetTable[WBA1-Commission],IF(BetTable[Outcome]="Win Half Stake",(BetTable[Stake]/2)+BetTable[WBA1-Commission]/2,IF(BetTable[Outcome]="Lose Half Stake",BetTable[Stake]/2,IF(BetTable[Outcome]="Lose",0,IF(BetTable[Outcome]="Void",BetTable[Stake],)))))</f>
        <v>0</v>
      </c>
      <c r="AG1102" s="164">
        <f>IF(BetTable[Outcome2]="Win",BetTable[WBA2-Commission],IF(BetTable[Outcome2]="Win Half Stake",(BetTable[S2]/2)+BetTable[WBA2-Commission]/2,IF(BetTable[Outcome2]="Lose Half Stake",BetTable[S2]/2,IF(BetTable[Outcome2]="Lose",0,IF(BetTable[Outcome2]="Void",BetTable[S2],)))))</f>
        <v>0</v>
      </c>
      <c r="AH1102" s="164">
        <f>IF(BetTable[Outcome3]="Win",BetTable[WBA3-Commission],IF(BetTable[Outcome3]="Win Half Stake",(BetTable[S3]/2)+BetTable[WBA3-Commission]/2,IF(BetTable[Outcome3]="Lose Half Stake",BetTable[S3]/2,IF(BetTable[Outcome3]="Lose",0,IF(BetTable[Outcome3]="Void",BetTable[S3],)))))</f>
        <v>0</v>
      </c>
      <c r="AI1102" s="168">
        <f>IF(BetTable[Outcome]="",AI1101,BetTable[Result]+AI1101)</f>
        <v>2238.2317499999995</v>
      </c>
      <c r="AJ1102" s="160"/>
    </row>
    <row r="1103" spans="1:36" x14ac:dyDescent="0.2">
      <c r="A1103" s="159" t="s">
        <v>2601</v>
      </c>
      <c r="B1103" s="160" t="s">
        <v>200</v>
      </c>
      <c r="C1103" s="161" t="s">
        <v>1714</v>
      </c>
      <c r="D1103" s="161"/>
      <c r="E1103" s="161"/>
      <c r="F1103" s="162"/>
      <c r="G1103" s="162"/>
      <c r="H1103" s="162"/>
      <c r="I1103" s="160" t="s">
        <v>2740</v>
      </c>
      <c r="J1103" s="163">
        <v>1.85</v>
      </c>
      <c r="K1103" s="163"/>
      <c r="L1103" s="163"/>
      <c r="M1103" s="164">
        <v>53</v>
      </c>
      <c r="N1103" s="164"/>
      <c r="O1103" s="164"/>
      <c r="P1103" s="159" t="s">
        <v>388</v>
      </c>
      <c r="Q1103" s="159" t="s">
        <v>485</v>
      </c>
      <c r="R1103" s="159" t="s">
        <v>2747</v>
      </c>
      <c r="S1103" s="165">
        <v>2.9378489174955801E-2</v>
      </c>
      <c r="T1103" s="166" t="s">
        <v>382</v>
      </c>
      <c r="U1103" s="166"/>
      <c r="V1103" s="166"/>
      <c r="W1103" s="167">
        <f>IF(BetTable[Sport]="","",BetTable[Stake]+BetTable[S2]+BetTable[S3])</f>
        <v>53</v>
      </c>
      <c r="X1103" s="164">
        <f>IF(BetTable[Odds]="","",(BetTable[WBA1-Commission])-BetTable[TS])</f>
        <v>45.050000000000011</v>
      </c>
      <c r="Y1103" s="168">
        <f>IF(BetTable[Outcome]="","",BetTable[WBA1]+BetTable[WBA2]+BetTable[WBA3]-BetTable[TS])</f>
        <v>-53</v>
      </c>
      <c r="Z1103" s="164">
        <f>(((BetTable[Odds]-1)*BetTable[Stake])*(1-(BetTable[Comm %]))+BetTable[Stake])</f>
        <v>98.050000000000011</v>
      </c>
      <c r="AA1103" s="164">
        <f>(((BetTable[O2]-1)*BetTable[S2])*(1-(BetTable[C% 2]))+BetTable[S2])</f>
        <v>0</v>
      </c>
      <c r="AB1103" s="164">
        <f>(((BetTable[O3]-1)*BetTable[S3])*(1-(BetTable[C% 3]))+BetTable[S3])</f>
        <v>0</v>
      </c>
      <c r="AC1103" s="165">
        <f>IFERROR(IF(BetTable[Sport]="","",BetTable[R1]/BetTable[TS]),"")</f>
        <v>0.8500000000000002</v>
      </c>
      <c r="AD1103" s="165" t="str">
        <f>IF(BetTable[O2]="","",#REF!/BetTable[TS])</f>
        <v/>
      </c>
      <c r="AE1103" s="165" t="str">
        <f>IFERROR(IF(BetTable[Sport]="","",#REF!/BetTable[TS]),"")</f>
        <v/>
      </c>
      <c r="AF1103" s="164">
        <f>IF(BetTable[Outcome]="Win",BetTable[WBA1-Commission],IF(BetTable[Outcome]="Win Half Stake",(BetTable[Stake]/2)+BetTable[WBA1-Commission]/2,IF(BetTable[Outcome]="Lose Half Stake",BetTable[Stake]/2,IF(BetTable[Outcome]="Lose",0,IF(BetTable[Outcome]="Void",BetTable[Stake],)))))</f>
        <v>0</v>
      </c>
      <c r="AG1103" s="164">
        <f>IF(BetTable[Outcome2]="Win",BetTable[WBA2-Commission],IF(BetTable[Outcome2]="Win Half Stake",(BetTable[S2]/2)+BetTable[WBA2-Commission]/2,IF(BetTable[Outcome2]="Lose Half Stake",BetTable[S2]/2,IF(BetTable[Outcome2]="Lose",0,IF(BetTable[Outcome2]="Void",BetTable[S2],)))))</f>
        <v>0</v>
      </c>
      <c r="AH1103" s="164">
        <f>IF(BetTable[Outcome3]="Win",BetTable[WBA3-Commission],IF(BetTable[Outcome3]="Win Half Stake",(BetTable[S3]/2)+BetTable[WBA3-Commission]/2,IF(BetTable[Outcome3]="Lose Half Stake",BetTable[S3]/2,IF(BetTable[Outcome3]="Lose",0,IF(BetTable[Outcome3]="Void",BetTable[S3],)))))</f>
        <v>0</v>
      </c>
      <c r="AI1103" s="168">
        <f>IF(BetTable[Outcome]="",AI1102,BetTable[Result]+AI1102)</f>
        <v>2185.2317499999995</v>
      </c>
      <c r="AJ1103" s="160"/>
    </row>
    <row r="1104" spans="1:36" x14ac:dyDescent="0.2">
      <c r="A1104" s="159" t="s">
        <v>2601</v>
      </c>
      <c r="B1104" s="160" t="s">
        <v>200</v>
      </c>
      <c r="C1104" s="161" t="s">
        <v>1714</v>
      </c>
      <c r="D1104" s="161"/>
      <c r="E1104" s="161"/>
      <c r="F1104" s="162"/>
      <c r="G1104" s="162"/>
      <c r="H1104" s="162"/>
      <c r="I1104" s="160" t="s">
        <v>2748</v>
      </c>
      <c r="J1104" s="163">
        <v>2.0099999999999998</v>
      </c>
      <c r="K1104" s="163"/>
      <c r="L1104" s="163"/>
      <c r="M1104" s="164">
        <v>35</v>
      </c>
      <c r="N1104" s="164"/>
      <c r="O1104" s="164"/>
      <c r="P1104" s="159" t="s">
        <v>1572</v>
      </c>
      <c r="Q1104" s="159" t="s">
        <v>491</v>
      </c>
      <c r="R1104" s="159" t="s">
        <v>2749</v>
      </c>
      <c r="S1104" s="165">
        <v>2.3064161344050101E-2</v>
      </c>
      <c r="T1104" s="166" t="s">
        <v>382</v>
      </c>
      <c r="U1104" s="166"/>
      <c r="V1104" s="166"/>
      <c r="W1104" s="167">
        <f>IF(BetTable[Sport]="","",BetTable[Stake]+BetTable[S2]+BetTable[S3])</f>
        <v>35</v>
      </c>
      <c r="X1104" s="164">
        <f>IF(BetTable[Odds]="","",(BetTable[WBA1-Commission])-BetTable[TS])</f>
        <v>35.349999999999994</v>
      </c>
      <c r="Y1104" s="168">
        <f>IF(BetTable[Outcome]="","",BetTable[WBA1]+BetTable[WBA2]+BetTable[WBA3]-BetTable[TS])</f>
        <v>-35</v>
      </c>
      <c r="Z1104" s="164">
        <f>(((BetTable[Odds]-1)*BetTable[Stake])*(1-(BetTable[Comm %]))+BetTable[Stake])</f>
        <v>70.349999999999994</v>
      </c>
      <c r="AA1104" s="164">
        <f>(((BetTable[O2]-1)*BetTable[S2])*(1-(BetTable[C% 2]))+BetTable[S2])</f>
        <v>0</v>
      </c>
      <c r="AB1104" s="164">
        <f>(((BetTable[O3]-1)*BetTable[S3])*(1-(BetTable[C% 3]))+BetTable[S3])</f>
        <v>0</v>
      </c>
      <c r="AC1104" s="165">
        <f>IFERROR(IF(BetTable[Sport]="","",BetTable[R1]/BetTable[TS]),"")</f>
        <v>1.0099999999999998</v>
      </c>
      <c r="AD1104" s="165" t="str">
        <f>IF(BetTable[O2]="","",#REF!/BetTable[TS])</f>
        <v/>
      </c>
      <c r="AE1104" s="165" t="str">
        <f>IFERROR(IF(BetTable[Sport]="","",#REF!/BetTable[TS]),"")</f>
        <v/>
      </c>
      <c r="AF1104" s="164">
        <f>IF(BetTable[Outcome]="Win",BetTable[WBA1-Commission],IF(BetTable[Outcome]="Win Half Stake",(BetTable[Stake]/2)+BetTable[WBA1-Commission]/2,IF(BetTable[Outcome]="Lose Half Stake",BetTable[Stake]/2,IF(BetTable[Outcome]="Lose",0,IF(BetTable[Outcome]="Void",BetTable[Stake],)))))</f>
        <v>0</v>
      </c>
      <c r="AG1104" s="164">
        <f>IF(BetTable[Outcome2]="Win",BetTable[WBA2-Commission],IF(BetTable[Outcome2]="Win Half Stake",(BetTable[S2]/2)+BetTable[WBA2-Commission]/2,IF(BetTable[Outcome2]="Lose Half Stake",BetTable[S2]/2,IF(BetTable[Outcome2]="Lose",0,IF(BetTable[Outcome2]="Void",BetTable[S2],)))))</f>
        <v>0</v>
      </c>
      <c r="AH1104" s="164">
        <f>IF(BetTable[Outcome3]="Win",BetTable[WBA3-Commission],IF(BetTable[Outcome3]="Win Half Stake",(BetTable[S3]/2)+BetTable[WBA3-Commission]/2,IF(BetTable[Outcome3]="Lose Half Stake",BetTable[S3]/2,IF(BetTable[Outcome3]="Lose",0,IF(BetTable[Outcome3]="Void",BetTable[S3],)))))</f>
        <v>0</v>
      </c>
      <c r="AI1104" s="168">
        <f>IF(BetTable[Outcome]="",AI1103,BetTable[Result]+AI1103)</f>
        <v>2150.2317499999995</v>
      </c>
      <c r="AJ1104" s="160"/>
    </row>
    <row r="1105" spans="1:36" x14ac:dyDescent="0.2">
      <c r="A1105" s="159" t="s">
        <v>2601</v>
      </c>
      <c r="B1105" s="160" t="s">
        <v>200</v>
      </c>
      <c r="C1105" s="161" t="s">
        <v>1714</v>
      </c>
      <c r="D1105" s="161"/>
      <c r="E1105" s="161"/>
      <c r="F1105" s="162"/>
      <c r="G1105" s="162"/>
      <c r="H1105" s="162"/>
      <c r="I1105" s="160" t="s">
        <v>2750</v>
      </c>
      <c r="J1105" s="163">
        <v>1.92</v>
      </c>
      <c r="K1105" s="163"/>
      <c r="L1105" s="163"/>
      <c r="M1105" s="164">
        <v>40</v>
      </c>
      <c r="N1105" s="164"/>
      <c r="O1105" s="164"/>
      <c r="P1105" s="159" t="s">
        <v>1501</v>
      </c>
      <c r="Q1105" s="159" t="s">
        <v>491</v>
      </c>
      <c r="R1105" s="159" t="s">
        <v>2751</v>
      </c>
      <c r="S1105" s="165">
        <v>2.3699843668577299E-2</v>
      </c>
      <c r="T1105" s="166" t="s">
        <v>382</v>
      </c>
      <c r="U1105" s="166"/>
      <c r="V1105" s="166"/>
      <c r="W1105" s="167">
        <f>IF(BetTable[Sport]="","",BetTable[Stake]+BetTable[S2]+BetTable[S3])</f>
        <v>40</v>
      </c>
      <c r="X1105" s="164">
        <f>IF(BetTable[Odds]="","",(BetTable[WBA1-Commission])-BetTable[TS])</f>
        <v>36.799999999999997</v>
      </c>
      <c r="Y1105" s="168">
        <f>IF(BetTable[Outcome]="","",BetTable[WBA1]+BetTable[WBA2]+BetTable[WBA3]-BetTable[TS])</f>
        <v>-40</v>
      </c>
      <c r="Z1105" s="164">
        <f>(((BetTable[Odds]-1)*BetTable[Stake])*(1-(BetTable[Comm %]))+BetTable[Stake])</f>
        <v>76.8</v>
      </c>
      <c r="AA1105" s="164">
        <f>(((BetTable[O2]-1)*BetTable[S2])*(1-(BetTable[C% 2]))+BetTable[S2])</f>
        <v>0</v>
      </c>
      <c r="AB1105" s="164">
        <f>(((BetTable[O3]-1)*BetTable[S3])*(1-(BetTable[C% 3]))+BetTable[S3])</f>
        <v>0</v>
      </c>
      <c r="AC1105" s="165">
        <f>IFERROR(IF(BetTable[Sport]="","",BetTable[R1]/BetTable[TS]),"")</f>
        <v>0.91999999999999993</v>
      </c>
      <c r="AD1105" s="165" t="str">
        <f>IF(BetTable[O2]="","",#REF!/BetTable[TS])</f>
        <v/>
      </c>
      <c r="AE1105" s="165" t="str">
        <f>IFERROR(IF(BetTable[Sport]="","",#REF!/BetTable[TS]),"")</f>
        <v/>
      </c>
      <c r="AF1105" s="164">
        <f>IF(BetTable[Outcome]="Win",BetTable[WBA1-Commission],IF(BetTable[Outcome]="Win Half Stake",(BetTable[Stake]/2)+BetTable[WBA1-Commission]/2,IF(BetTable[Outcome]="Lose Half Stake",BetTable[Stake]/2,IF(BetTable[Outcome]="Lose",0,IF(BetTable[Outcome]="Void",BetTable[Stake],)))))</f>
        <v>0</v>
      </c>
      <c r="AG1105" s="164">
        <f>IF(BetTable[Outcome2]="Win",BetTable[WBA2-Commission],IF(BetTable[Outcome2]="Win Half Stake",(BetTable[S2]/2)+BetTable[WBA2-Commission]/2,IF(BetTable[Outcome2]="Lose Half Stake",BetTable[S2]/2,IF(BetTable[Outcome2]="Lose",0,IF(BetTable[Outcome2]="Void",BetTable[S2],)))))</f>
        <v>0</v>
      </c>
      <c r="AH1105" s="164">
        <f>IF(BetTable[Outcome3]="Win",BetTable[WBA3-Commission],IF(BetTable[Outcome3]="Win Half Stake",(BetTable[S3]/2)+BetTable[WBA3-Commission]/2,IF(BetTable[Outcome3]="Lose Half Stake",BetTable[S3]/2,IF(BetTable[Outcome3]="Lose",0,IF(BetTable[Outcome3]="Void",BetTable[S3],)))))</f>
        <v>0</v>
      </c>
      <c r="AI1105" s="168">
        <f>IF(BetTable[Outcome]="",AI1104,BetTable[Result]+AI1104)</f>
        <v>2110.2317499999995</v>
      </c>
      <c r="AJ1105" s="160"/>
    </row>
    <row r="1106" spans="1:36" x14ac:dyDescent="0.2">
      <c r="A1106" s="159" t="s">
        <v>2601</v>
      </c>
      <c r="B1106" s="160" t="s">
        <v>7</v>
      </c>
      <c r="C1106" s="161" t="s">
        <v>1714</v>
      </c>
      <c r="D1106" s="161"/>
      <c r="E1106" s="161"/>
      <c r="F1106" s="162"/>
      <c r="G1106" s="162"/>
      <c r="H1106" s="162"/>
      <c r="I1106" s="160" t="s">
        <v>2752</v>
      </c>
      <c r="J1106" s="163">
        <v>2.12</v>
      </c>
      <c r="K1106" s="163"/>
      <c r="L1106" s="163"/>
      <c r="M1106" s="164">
        <v>34</v>
      </c>
      <c r="N1106" s="164"/>
      <c r="O1106" s="164"/>
      <c r="P1106" s="159" t="s">
        <v>2753</v>
      </c>
      <c r="Q1106" s="159" t="s">
        <v>659</v>
      </c>
      <c r="R1106" s="159" t="s">
        <v>2754</v>
      </c>
      <c r="S1106" s="165">
        <v>3.3159751249998301E-2</v>
      </c>
      <c r="T1106" s="166" t="s">
        <v>372</v>
      </c>
      <c r="U1106" s="166"/>
      <c r="V1106" s="166"/>
      <c r="W1106" s="167">
        <f>IF(BetTable[Sport]="","",BetTable[Stake]+BetTable[S2]+BetTable[S3])</f>
        <v>34</v>
      </c>
      <c r="X1106" s="164">
        <f>IF(BetTable[Odds]="","",(BetTable[WBA1-Commission])-BetTable[TS])</f>
        <v>38.080000000000013</v>
      </c>
      <c r="Y1106" s="168">
        <f>IF(BetTable[Outcome]="","",BetTable[WBA1]+BetTable[WBA2]+BetTable[WBA3]-BetTable[TS])</f>
        <v>38.080000000000013</v>
      </c>
      <c r="Z1106" s="164">
        <f>(((BetTable[Odds]-1)*BetTable[Stake])*(1-(BetTable[Comm %]))+BetTable[Stake])</f>
        <v>72.080000000000013</v>
      </c>
      <c r="AA1106" s="164">
        <f>(((BetTable[O2]-1)*BetTable[S2])*(1-(BetTable[C% 2]))+BetTable[S2])</f>
        <v>0</v>
      </c>
      <c r="AB1106" s="164">
        <f>(((BetTable[O3]-1)*BetTable[S3])*(1-(BetTable[C% 3]))+BetTable[S3])</f>
        <v>0</v>
      </c>
      <c r="AC1106" s="165">
        <f>IFERROR(IF(BetTable[Sport]="","",BetTable[R1]/BetTable[TS]),"")</f>
        <v>1.1200000000000003</v>
      </c>
      <c r="AD1106" s="165" t="str">
        <f>IF(BetTable[O2]="","",#REF!/BetTable[TS])</f>
        <v/>
      </c>
      <c r="AE1106" s="165" t="str">
        <f>IFERROR(IF(BetTable[Sport]="","",#REF!/BetTable[TS]),"")</f>
        <v/>
      </c>
      <c r="AF1106" s="164">
        <f>IF(BetTable[Outcome]="Win",BetTable[WBA1-Commission],IF(BetTable[Outcome]="Win Half Stake",(BetTable[Stake]/2)+BetTable[WBA1-Commission]/2,IF(BetTable[Outcome]="Lose Half Stake",BetTable[Stake]/2,IF(BetTable[Outcome]="Lose",0,IF(BetTable[Outcome]="Void",BetTable[Stake],)))))</f>
        <v>72.080000000000013</v>
      </c>
      <c r="AG1106" s="164">
        <f>IF(BetTable[Outcome2]="Win",BetTable[WBA2-Commission],IF(BetTable[Outcome2]="Win Half Stake",(BetTable[S2]/2)+BetTable[WBA2-Commission]/2,IF(BetTable[Outcome2]="Lose Half Stake",BetTable[S2]/2,IF(BetTable[Outcome2]="Lose",0,IF(BetTable[Outcome2]="Void",BetTable[S2],)))))</f>
        <v>0</v>
      </c>
      <c r="AH1106" s="164">
        <f>IF(BetTable[Outcome3]="Win",BetTable[WBA3-Commission],IF(BetTable[Outcome3]="Win Half Stake",(BetTable[S3]/2)+BetTable[WBA3-Commission]/2,IF(BetTable[Outcome3]="Lose Half Stake",BetTable[S3]/2,IF(BetTable[Outcome3]="Lose",0,IF(BetTable[Outcome3]="Void",BetTable[S3],)))))</f>
        <v>0</v>
      </c>
      <c r="AI1106" s="168">
        <f>IF(BetTable[Outcome]="",AI1105,BetTable[Result]+AI1105)</f>
        <v>2148.3117499999994</v>
      </c>
      <c r="AJ1106" s="160"/>
    </row>
    <row r="1107" spans="1:36" x14ac:dyDescent="0.2">
      <c r="A1107" s="159" t="s">
        <v>2601</v>
      </c>
      <c r="B1107" s="160" t="s">
        <v>7</v>
      </c>
      <c r="C1107" s="161" t="s">
        <v>1714</v>
      </c>
      <c r="D1107" s="161"/>
      <c r="E1107" s="161"/>
      <c r="F1107" s="162"/>
      <c r="G1107" s="162"/>
      <c r="H1107" s="162"/>
      <c r="I1107" s="160" t="s">
        <v>2742</v>
      </c>
      <c r="J1107" s="163">
        <v>1.95</v>
      </c>
      <c r="K1107" s="163"/>
      <c r="L1107" s="163"/>
      <c r="M1107" s="164">
        <v>29</v>
      </c>
      <c r="N1107" s="164"/>
      <c r="O1107" s="164"/>
      <c r="P1107" s="159" t="s">
        <v>1058</v>
      </c>
      <c r="Q1107" s="159" t="s">
        <v>659</v>
      </c>
      <c r="R1107" s="159" t="s">
        <v>2755</v>
      </c>
      <c r="S1107" s="165">
        <v>1.7676988866198E-2</v>
      </c>
      <c r="T1107" s="166" t="s">
        <v>382</v>
      </c>
      <c r="U1107" s="166"/>
      <c r="V1107" s="166"/>
      <c r="W1107" s="167">
        <f>IF(BetTable[Sport]="","",BetTable[Stake]+BetTable[S2]+BetTable[S3])</f>
        <v>29</v>
      </c>
      <c r="X1107" s="164">
        <f>IF(BetTable[Odds]="","",(BetTable[WBA1-Commission])-BetTable[TS])</f>
        <v>27.549999999999997</v>
      </c>
      <c r="Y1107" s="168">
        <f>IF(BetTable[Outcome]="","",BetTable[WBA1]+BetTable[WBA2]+BetTable[WBA3]-BetTable[TS])</f>
        <v>-29</v>
      </c>
      <c r="Z1107" s="164">
        <f>(((BetTable[Odds]-1)*BetTable[Stake])*(1-(BetTable[Comm %]))+BetTable[Stake])</f>
        <v>56.55</v>
      </c>
      <c r="AA1107" s="164">
        <f>(((BetTable[O2]-1)*BetTable[S2])*(1-(BetTable[C% 2]))+BetTable[S2])</f>
        <v>0</v>
      </c>
      <c r="AB1107" s="164">
        <f>(((BetTable[O3]-1)*BetTable[S3])*(1-(BetTable[C% 3]))+BetTable[S3])</f>
        <v>0</v>
      </c>
      <c r="AC1107" s="165">
        <f>IFERROR(IF(BetTable[Sport]="","",BetTable[R1]/BetTable[TS]),"")</f>
        <v>0.95</v>
      </c>
      <c r="AD1107" s="165" t="str">
        <f>IF(BetTable[O2]="","",#REF!/BetTable[TS])</f>
        <v/>
      </c>
      <c r="AE1107" s="165" t="str">
        <f>IFERROR(IF(BetTable[Sport]="","",#REF!/BetTable[TS]),"")</f>
        <v/>
      </c>
      <c r="AF1107" s="164">
        <f>IF(BetTable[Outcome]="Win",BetTable[WBA1-Commission],IF(BetTable[Outcome]="Win Half Stake",(BetTable[Stake]/2)+BetTable[WBA1-Commission]/2,IF(BetTable[Outcome]="Lose Half Stake",BetTable[Stake]/2,IF(BetTable[Outcome]="Lose",0,IF(BetTable[Outcome]="Void",BetTable[Stake],)))))</f>
        <v>0</v>
      </c>
      <c r="AG1107" s="164">
        <f>IF(BetTable[Outcome2]="Win",BetTable[WBA2-Commission],IF(BetTable[Outcome2]="Win Half Stake",(BetTable[S2]/2)+BetTable[WBA2-Commission]/2,IF(BetTable[Outcome2]="Lose Half Stake",BetTable[S2]/2,IF(BetTable[Outcome2]="Lose",0,IF(BetTable[Outcome2]="Void",BetTable[S2],)))))</f>
        <v>0</v>
      </c>
      <c r="AH1107" s="164">
        <f>IF(BetTable[Outcome3]="Win",BetTable[WBA3-Commission],IF(BetTable[Outcome3]="Win Half Stake",(BetTable[S3]/2)+BetTable[WBA3-Commission]/2,IF(BetTable[Outcome3]="Lose Half Stake",BetTable[S3]/2,IF(BetTable[Outcome3]="Lose",0,IF(BetTable[Outcome3]="Void",BetTable[S3],)))))</f>
        <v>0</v>
      </c>
      <c r="AI1107" s="168">
        <f>IF(BetTable[Outcome]="",AI1106,BetTable[Result]+AI1106)</f>
        <v>2119.3117499999994</v>
      </c>
      <c r="AJ1107" s="160"/>
    </row>
    <row r="1108" spans="1:36" x14ac:dyDescent="0.2">
      <c r="A1108" s="159" t="s">
        <v>2601</v>
      </c>
      <c r="B1108" s="160" t="s">
        <v>200</v>
      </c>
      <c r="C1108" s="161" t="s">
        <v>1714</v>
      </c>
      <c r="D1108" s="161"/>
      <c r="E1108" s="161"/>
      <c r="F1108" s="162"/>
      <c r="G1108" s="162"/>
      <c r="H1108" s="162"/>
      <c r="I1108" s="160" t="s">
        <v>2709</v>
      </c>
      <c r="J1108" s="163">
        <v>1.81</v>
      </c>
      <c r="K1108" s="163"/>
      <c r="L1108" s="163"/>
      <c r="M1108" s="164">
        <v>33</v>
      </c>
      <c r="N1108" s="164"/>
      <c r="O1108" s="164"/>
      <c r="P1108" s="159" t="s">
        <v>351</v>
      </c>
      <c r="Q1108" s="159" t="s">
        <v>503</v>
      </c>
      <c r="R1108" s="159" t="s">
        <v>2756</v>
      </c>
      <c r="S1108" s="165">
        <v>1.72316723763534E-2</v>
      </c>
      <c r="T1108" s="166" t="s">
        <v>372</v>
      </c>
      <c r="U1108" s="166"/>
      <c r="V1108" s="166"/>
      <c r="W1108" s="167">
        <f>IF(BetTable[Sport]="","",BetTable[Stake]+BetTable[S2]+BetTable[S3])</f>
        <v>33</v>
      </c>
      <c r="X1108" s="164">
        <f>IF(BetTable[Odds]="","",(BetTable[WBA1-Commission])-BetTable[TS])</f>
        <v>26.730000000000004</v>
      </c>
      <c r="Y1108" s="168">
        <f>IF(BetTable[Outcome]="","",BetTable[WBA1]+BetTable[WBA2]+BetTable[WBA3]-BetTable[TS])</f>
        <v>26.730000000000004</v>
      </c>
      <c r="Z1108" s="164">
        <f>(((BetTable[Odds]-1)*BetTable[Stake])*(1-(BetTable[Comm %]))+BetTable[Stake])</f>
        <v>59.730000000000004</v>
      </c>
      <c r="AA1108" s="164">
        <f>(((BetTable[O2]-1)*BetTable[S2])*(1-(BetTable[C% 2]))+BetTable[S2])</f>
        <v>0</v>
      </c>
      <c r="AB1108" s="164">
        <f>(((BetTable[O3]-1)*BetTable[S3])*(1-(BetTable[C% 3]))+BetTable[S3])</f>
        <v>0</v>
      </c>
      <c r="AC1108" s="165">
        <f>IFERROR(IF(BetTable[Sport]="","",BetTable[R1]/BetTable[TS]),"")</f>
        <v>0.81000000000000016</v>
      </c>
      <c r="AD1108" s="165" t="str">
        <f>IF(BetTable[O2]="","",#REF!/BetTable[TS])</f>
        <v/>
      </c>
      <c r="AE1108" s="165" t="str">
        <f>IFERROR(IF(BetTable[Sport]="","",#REF!/BetTable[TS]),"")</f>
        <v/>
      </c>
      <c r="AF1108" s="164">
        <f>IF(BetTable[Outcome]="Win",BetTable[WBA1-Commission],IF(BetTable[Outcome]="Win Half Stake",(BetTable[Stake]/2)+BetTable[WBA1-Commission]/2,IF(BetTable[Outcome]="Lose Half Stake",BetTable[Stake]/2,IF(BetTable[Outcome]="Lose",0,IF(BetTable[Outcome]="Void",BetTable[Stake],)))))</f>
        <v>59.730000000000004</v>
      </c>
      <c r="AG1108" s="164">
        <f>IF(BetTable[Outcome2]="Win",BetTable[WBA2-Commission],IF(BetTable[Outcome2]="Win Half Stake",(BetTable[S2]/2)+BetTable[WBA2-Commission]/2,IF(BetTable[Outcome2]="Lose Half Stake",BetTable[S2]/2,IF(BetTable[Outcome2]="Lose",0,IF(BetTable[Outcome2]="Void",BetTable[S2],)))))</f>
        <v>0</v>
      </c>
      <c r="AH1108" s="164">
        <f>IF(BetTable[Outcome3]="Win",BetTable[WBA3-Commission],IF(BetTable[Outcome3]="Win Half Stake",(BetTable[S3]/2)+BetTable[WBA3-Commission]/2,IF(BetTable[Outcome3]="Lose Half Stake",BetTable[S3]/2,IF(BetTable[Outcome3]="Lose",0,IF(BetTable[Outcome3]="Void",BetTable[S3],)))))</f>
        <v>0</v>
      </c>
      <c r="AI1108" s="168">
        <f>IF(BetTable[Outcome]="",AI1107,BetTable[Result]+AI1107)</f>
        <v>2146.0417499999994</v>
      </c>
      <c r="AJ1108" s="160"/>
    </row>
    <row r="1109" spans="1:36" x14ac:dyDescent="0.2">
      <c r="A1109" s="159" t="s">
        <v>2601</v>
      </c>
      <c r="B1109" s="160" t="s">
        <v>7</v>
      </c>
      <c r="C1109" s="161" t="s">
        <v>91</v>
      </c>
      <c r="D1109" s="161"/>
      <c r="E1109" s="161"/>
      <c r="F1109" s="162"/>
      <c r="G1109" s="162"/>
      <c r="H1109" s="162"/>
      <c r="I1109" s="160" t="s">
        <v>2695</v>
      </c>
      <c r="J1109" s="163">
        <v>1.86</v>
      </c>
      <c r="K1109" s="163"/>
      <c r="L1109" s="163"/>
      <c r="M1109" s="164">
        <v>39</v>
      </c>
      <c r="N1109" s="164"/>
      <c r="O1109" s="164"/>
      <c r="P1109" s="159" t="s">
        <v>2757</v>
      </c>
      <c r="Q1109" s="159" t="s">
        <v>503</v>
      </c>
      <c r="R1109" s="159" t="s">
        <v>2758</v>
      </c>
      <c r="S1109" s="165">
        <v>2.1805399060860799E-2</v>
      </c>
      <c r="T1109" s="166" t="s">
        <v>382</v>
      </c>
      <c r="U1109" s="166"/>
      <c r="V1109" s="166"/>
      <c r="W1109" s="167">
        <f>IF(BetTable[Sport]="","",BetTable[Stake]+BetTable[S2]+BetTable[S3])</f>
        <v>39</v>
      </c>
      <c r="X1109" s="164">
        <f>IF(BetTable[Odds]="","",(BetTable[WBA1-Commission])-BetTable[TS])</f>
        <v>33.540000000000006</v>
      </c>
      <c r="Y1109" s="168">
        <f>IF(BetTable[Outcome]="","",BetTable[WBA1]+BetTable[WBA2]+BetTable[WBA3]-BetTable[TS])</f>
        <v>-39</v>
      </c>
      <c r="Z1109" s="164">
        <f>(((BetTable[Odds]-1)*BetTable[Stake])*(1-(BetTable[Comm %]))+BetTable[Stake])</f>
        <v>72.540000000000006</v>
      </c>
      <c r="AA1109" s="164">
        <f>(((BetTable[O2]-1)*BetTable[S2])*(1-(BetTable[C% 2]))+BetTable[S2])</f>
        <v>0</v>
      </c>
      <c r="AB1109" s="164">
        <f>(((BetTable[O3]-1)*BetTable[S3])*(1-(BetTable[C% 3]))+BetTable[S3])</f>
        <v>0</v>
      </c>
      <c r="AC1109" s="165">
        <f>IFERROR(IF(BetTable[Sport]="","",BetTable[R1]/BetTable[TS]),"")</f>
        <v>0.86000000000000021</v>
      </c>
      <c r="AD1109" s="165" t="str">
        <f>IF(BetTable[O2]="","",#REF!/BetTable[TS])</f>
        <v/>
      </c>
      <c r="AE1109" s="165" t="str">
        <f>IFERROR(IF(BetTable[Sport]="","",#REF!/BetTable[TS]),"")</f>
        <v/>
      </c>
      <c r="AF1109" s="164">
        <f>IF(BetTable[Outcome]="Win",BetTable[WBA1-Commission],IF(BetTable[Outcome]="Win Half Stake",(BetTable[Stake]/2)+BetTable[WBA1-Commission]/2,IF(BetTable[Outcome]="Lose Half Stake",BetTable[Stake]/2,IF(BetTable[Outcome]="Lose",0,IF(BetTable[Outcome]="Void",BetTable[Stake],)))))</f>
        <v>0</v>
      </c>
      <c r="AG1109" s="164">
        <f>IF(BetTable[Outcome2]="Win",BetTable[WBA2-Commission],IF(BetTable[Outcome2]="Win Half Stake",(BetTable[S2]/2)+BetTable[WBA2-Commission]/2,IF(BetTable[Outcome2]="Lose Half Stake",BetTable[S2]/2,IF(BetTable[Outcome2]="Lose",0,IF(BetTable[Outcome2]="Void",BetTable[S2],)))))</f>
        <v>0</v>
      </c>
      <c r="AH1109" s="164">
        <f>IF(BetTable[Outcome3]="Win",BetTable[WBA3-Commission],IF(BetTable[Outcome3]="Win Half Stake",(BetTable[S3]/2)+BetTable[WBA3-Commission]/2,IF(BetTable[Outcome3]="Lose Half Stake",BetTable[S3]/2,IF(BetTable[Outcome3]="Lose",0,IF(BetTable[Outcome3]="Void",BetTable[S3],)))))</f>
        <v>0</v>
      </c>
      <c r="AI1109" s="168">
        <f>IF(BetTable[Outcome]="",AI1108,BetTable[Result]+AI1108)</f>
        <v>2107.0417499999994</v>
      </c>
      <c r="AJ1109" s="160"/>
    </row>
    <row r="1110" spans="1:36" x14ac:dyDescent="0.2">
      <c r="A1110" s="159" t="s">
        <v>2601</v>
      </c>
      <c r="B1110" s="160" t="s">
        <v>200</v>
      </c>
      <c r="C1110" s="161" t="s">
        <v>1714</v>
      </c>
      <c r="D1110" s="161"/>
      <c r="E1110" s="161"/>
      <c r="F1110" s="162"/>
      <c r="G1110" s="162"/>
      <c r="H1110" s="162"/>
      <c r="I1110" s="160" t="s">
        <v>2750</v>
      </c>
      <c r="J1110" s="163">
        <v>1.81</v>
      </c>
      <c r="K1110" s="163"/>
      <c r="L1110" s="163"/>
      <c r="M1110" s="164">
        <v>52</v>
      </c>
      <c r="N1110" s="164"/>
      <c r="O1110" s="164"/>
      <c r="P1110" s="159" t="s">
        <v>1572</v>
      </c>
      <c r="Q1110" s="159" t="s">
        <v>491</v>
      </c>
      <c r="R1110" s="159" t="s">
        <v>2759</v>
      </c>
      <c r="S1110" s="165">
        <v>2.7068681444032398E-2</v>
      </c>
      <c r="T1110" s="166" t="s">
        <v>372</v>
      </c>
      <c r="U1110" s="166"/>
      <c r="V1110" s="166"/>
      <c r="W1110" s="167">
        <f>IF(BetTable[Sport]="","",BetTable[Stake]+BetTable[S2]+BetTable[S3])</f>
        <v>52</v>
      </c>
      <c r="X1110" s="164">
        <f>IF(BetTable[Odds]="","",(BetTable[WBA1-Commission])-BetTable[TS])</f>
        <v>42.120000000000005</v>
      </c>
      <c r="Y1110" s="168">
        <f>IF(BetTable[Outcome]="","",BetTable[WBA1]+BetTable[WBA2]+BetTable[WBA3]-BetTable[TS])</f>
        <v>42.120000000000005</v>
      </c>
      <c r="Z1110" s="164">
        <f>(((BetTable[Odds]-1)*BetTable[Stake])*(1-(BetTable[Comm %]))+BetTable[Stake])</f>
        <v>94.12</v>
      </c>
      <c r="AA1110" s="164">
        <f>(((BetTable[O2]-1)*BetTable[S2])*(1-(BetTable[C% 2]))+BetTable[S2])</f>
        <v>0</v>
      </c>
      <c r="AB1110" s="164">
        <f>(((BetTable[O3]-1)*BetTable[S3])*(1-(BetTable[C% 3]))+BetTable[S3])</f>
        <v>0</v>
      </c>
      <c r="AC1110" s="165">
        <f>IFERROR(IF(BetTable[Sport]="","",BetTable[R1]/BetTable[TS]),"")</f>
        <v>0.81</v>
      </c>
      <c r="AD1110" s="165" t="str">
        <f>IF(BetTable[O2]="","",#REF!/BetTable[TS])</f>
        <v/>
      </c>
      <c r="AE1110" s="165" t="str">
        <f>IFERROR(IF(BetTable[Sport]="","",#REF!/BetTable[TS]),"")</f>
        <v/>
      </c>
      <c r="AF1110" s="164">
        <f>IF(BetTable[Outcome]="Win",BetTable[WBA1-Commission],IF(BetTable[Outcome]="Win Half Stake",(BetTable[Stake]/2)+BetTable[WBA1-Commission]/2,IF(BetTable[Outcome]="Lose Half Stake",BetTable[Stake]/2,IF(BetTable[Outcome]="Lose",0,IF(BetTable[Outcome]="Void",BetTable[Stake],)))))</f>
        <v>94.12</v>
      </c>
      <c r="AG1110" s="164">
        <f>IF(BetTable[Outcome2]="Win",BetTable[WBA2-Commission],IF(BetTable[Outcome2]="Win Half Stake",(BetTable[S2]/2)+BetTable[WBA2-Commission]/2,IF(BetTable[Outcome2]="Lose Half Stake",BetTable[S2]/2,IF(BetTable[Outcome2]="Lose",0,IF(BetTable[Outcome2]="Void",BetTable[S2],)))))</f>
        <v>0</v>
      </c>
      <c r="AH1110" s="164">
        <f>IF(BetTable[Outcome3]="Win",BetTable[WBA3-Commission],IF(BetTable[Outcome3]="Win Half Stake",(BetTable[S3]/2)+BetTable[WBA3-Commission]/2,IF(BetTable[Outcome3]="Lose Half Stake",BetTable[S3]/2,IF(BetTable[Outcome3]="Lose",0,IF(BetTable[Outcome3]="Void",BetTable[S3],)))))</f>
        <v>0</v>
      </c>
      <c r="AI1110" s="168">
        <f>IF(BetTable[Outcome]="",AI1109,BetTable[Result]+AI1109)</f>
        <v>2149.1617499999993</v>
      </c>
      <c r="AJ1110" s="160"/>
    </row>
    <row r="1111" spans="1:36" x14ac:dyDescent="0.2">
      <c r="A1111" s="159" t="s">
        <v>2601</v>
      </c>
      <c r="B1111" s="160" t="s">
        <v>7</v>
      </c>
      <c r="C1111" s="161" t="s">
        <v>91</v>
      </c>
      <c r="D1111" s="161"/>
      <c r="E1111" s="161"/>
      <c r="F1111" s="162"/>
      <c r="G1111" s="162"/>
      <c r="H1111" s="162"/>
      <c r="I1111" s="160" t="s">
        <v>2760</v>
      </c>
      <c r="J1111" s="163">
        <v>1.9</v>
      </c>
      <c r="K1111" s="163"/>
      <c r="L1111" s="163"/>
      <c r="M1111" s="164">
        <v>28</v>
      </c>
      <c r="N1111" s="164"/>
      <c r="O1111" s="164"/>
      <c r="P1111" s="159" t="s">
        <v>1302</v>
      </c>
      <c r="Q1111" s="159" t="s">
        <v>485</v>
      </c>
      <c r="R1111" s="159" t="s">
        <v>2761</v>
      </c>
      <c r="S1111" s="165">
        <v>1.8840579710144901E-2</v>
      </c>
      <c r="T1111" s="166" t="s">
        <v>372</v>
      </c>
      <c r="U1111" s="166"/>
      <c r="V1111" s="166"/>
      <c r="W1111" s="167">
        <f>IF(BetTable[Sport]="","",BetTable[Stake]+BetTable[S2]+BetTable[S3])</f>
        <v>28</v>
      </c>
      <c r="X1111" s="164">
        <f>IF(BetTable[Odds]="","",(BetTable[WBA1-Commission])-BetTable[TS])</f>
        <v>25.199999999999996</v>
      </c>
      <c r="Y1111" s="168">
        <f>IF(BetTable[Outcome]="","",BetTable[WBA1]+BetTable[WBA2]+BetTable[WBA3]-BetTable[TS])</f>
        <v>25.199999999999996</v>
      </c>
      <c r="Z1111" s="164">
        <f>(((BetTable[Odds]-1)*BetTable[Stake])*(1-(BetTable[Comm %]))+BetTable[Stake])</f>
        <v>53.199999999999996</v>
      </c>
      <c r="AA1111" s="164">
        <f>(((BetTable[O2]-1)*BetTable[S2])*(1-(BetTable[C% 2]))+BetTable[S2])</f>
        <v>0</v>
      </c>
      <c r="AB1111" s="164">
        <f>(((BetTable[O3]-1)*BetTable[S3])*(1-(BetTable[C% 3]))+BetTable[S3])</f>
        <v>0</v>
      </c>
      <c r="AC1111" s="165">
        <f>IFERROR(IF(BetTable[Sport]="","",BetTable[R1]/BetTable[TS]),"")</f>
        <v>0.8999999999999998</v>
      </c>
      <c r="AD1111" s="165" t="str">
        <f>IF(BetTable[O2]="","",#REF!/BetTable[TS])</f>
        <v/>
      </c>
      <c r="AE1111" s="165" t="str">
        <f>IFERROR(IF(BetTable[Sport]="","",#REF!/BetTable[TS]),"")</f>
        <v/>
      </c>
      <c r="AF1111" s="164">
        <f>IF(BetTable[Outcome]="Win",BetTable[WBA1-Commission],IF(BetTable[Outcome]="Win Half Stake",(BetTable[Stake]/2)+BetTable[WBA1-Commission]/2,IF(BetTable[Outcome]="Lose Half Stake",BetTable[Stake]/2,IF(BetTable[Outcome]="Lose",0,IF(BetTable[Outcome]="Void",BetTable[Stake],)))))</f>
        <v>53.199999999999996</v>
      </c>
      <c r="AG1111" s="164">
        <f>IF(BetTable[Outcome2]="Win",BetTable[WBA2-Commission],IF(BetTable[Outcome2]="Win Half Stake",(BetTable[S2]/2)+BetTable[WBA2-Commission]/2,IF(BetTable[Outcome2]="Lose Half Stake",BetTable[S2]/2,IF(BetTable[Outcome2]="Lose",0,IF(BetTable[Outcome2]="Void",BetTable[S2],)))))</f>
        <v>0</v>
      </c>
      <c r="AH1111" s="164">
        <f>IF(BetTable[Outcome3]="Win",BetTable[WBA3-Commission],IF(BetTable[Outcome3]="Win Half Stake",(BetTable[S3]/2)+BetTable[WBA3-Commission]/2,IF(BetTable[Outcome3]="Lose Half Stake",BetTable[S3]/2,IF(BetTable[Outcome3]="Lose",0,IF(BetTable[Outcome3]="Void",BetTable[S3],)))))</f>
        <v>0</v>
      </c>
      <c r="AI1111" s="168">
        <f>IF(BetTable[Outcome]="",AI1110,BetTable[Result]+AI1110)</f>
        <v>2174.3617499999991</v>
      </c>
      <c r="AJ1111" s="160"/>
    </row>
    <row r="1112" spans="1:36" x14ac:dyDescent="0.2">
      <c r="A1112" s="159" t="s">
        <v>2601</v>
      </c>
      <c r="B1112" s="160" t="s">
        <v>7</v>
      </c>
      <c r="C1112" s="161" t="s">
        <v>1714</v>
      </c>
      <c r="D1112" s="161"/>
      <c r="E1112" s="161"/>
      <c r="F1112" s="162"/>
      <c r="G1112" s="162"/>
      <c r="H1112" s="162"/>
      <c r="I1112" s="160" t="s">
        <v>2742</v>
      </c>
      <c r="J1112" s="163">
        <v>1.85</v>
      </c>
      <c r="K1112" s="163"/>
      <c r="L1112" s="163"/>
      <c r="M1112" s="164">
        <v>38</v>
      </c>
      <c r="N1112" s="164"/>
      <c r="O1112" s="164"/>
      <c r="P1112" s="159" t="s">
        <v>1058</v>
      </c>
      <c r="Q1112" s="159" t="s">
        <v>659</v>
      </c>
      <c r="R1112" s="159" t="s">
        <v>2762</v>
      </c>
      <c r="S1112" s="165">
        <v>2.07612105467898E-2</v>
      </c>
      <c r="T1112" s="166" t="s">
        <v>382</v>
      </c>
      <c r="U1112" s="166"/>
      <c r="V1112" s="166"/>
      <c r="W1112" s="167">
        <f>IF(BetTable[Sport]="","",BetTable[Stake]+BetTable[S2]+BetTable[S3])</f>
        <v>38</v>
      </c>
      <c r="X1112" s="164">
        <f>IF(BetTable[Odds]="","",(BetTable[WBA1-Commission])-BetTable[TS])</f>
        <v>32.300000000000011</v>
      </c>
      <c r="Y1112" s="168">
        <f>IF(BetTable[Outcome]="","",BetTable[WBA1]+BetTable[WBA2]+BetTable[WBA3]-BetTable[TS])</f>
        <v>-38</v>
      </c>
      <c r="Z1112" s="164">
        <f>(((BetTable[Odds]-1)*BetTable[Stake])*(1-(BetTable[Comm %]))+BetTable[Stake])</f>
        <v>70.300000000000011</v>
      </c>
      <c r="AA1112" s="164">
        <f>(((BetTable[O2]-1)*BetTable[S2])*(1-(BetTable[C% 2]))+BetTable[S2])</f>
        <v>0</v>
      </c>
      <c r="AB1112" s="164">
        <f>(((BetTable[O3]-1)*BetTable[S3])*(1-(BetTable[C% 3]))+BetTable[S3])</f>
        <v>0</v>
      </c>
      <c r="AC1112" s="165">
        <f>IFERROR(IF(BetTable[Sport]="","",BetTable[R1]/BetTable[TS]),"")</f>
        <v>0.85000000000000031</v>
      </c>
      <c r="AD1112" s="165" t="str">
        <f>IF(BetTable[O2]="","",#REF!/BetTable[TS])</f>
        <v/>
      </c>
      <c r="AE1112" s="165" t="str">
        <f>IFERROR(IF(BetTable[Sport]="","",#REF!/BetTable[TS]),"")</f>
        <v/>
      </c>
      <c r="AF1112" s="164">
        <f>IF(BetTable[Outcome]="Win",BetTable[WBA1-Commission],IF(BetTable[Outcome]="Win Half Stake",(BetTable[Stake]/2)+BetTable[WBA1-Commission]/2,IF(BetTable[Outcome]="Lose Half Stake",BetTable[Stake]/2,IF(BetTable[Outcome]="Lose",0,IF(BetTable[Outcome]="Void",BetTable[Stake],)))))</f>
        <v>0</v>
      </c>
      <c r="AG1112" s="164">
        <f>IF(BetTable[Outcome2]="Win",BetTable[WBA2-Commission],IF(BetTable[Outcome2]="Win Half Stake",(BetTable[S2]/2)+BetTable[WBA2-Commission]/2,IF(BetTable[Outcome2]="Lose Half Stake",BetTable[S2]/2,IF(BetTable[Outcome2]="Lose",0,IF(BetTable[Outcome2]="Void",BetTable[S2],)))))</f>
        <v>0</v>
      </c>
      <c r="AH1112" s="164">
        <f>IF(BetTable[Outcome3]="Win",BetTable[WBA3-Commission],IF(BetTable[Outcome3]="Win Half Stake",(BetTable[S3]/2)+BetTable[WBA3-Commission]/2,IF(BetTable[Outcome3]="Lose Half Stake",BetTable[S3]/2,IF(BetTable[Outcome3]="Lose",0,IF(BetTable[Outcome3]="Void",BetTable[S3],)))))</f>
        <v>0</v>
      </c>
      <c r="AI1112" s="168">
        <f>IF(BetTable[Outcome]="",AI1111,BetTable[Result]+AI1111)</f>
        <v>2136.3617499999991</v>
      </c>
      <c r="AJ1112" s="160"/>
    </row>
    <row r="1113" spans="1:36" x14ac:dyDescent="0.2">
      <c r="A1113" s="159" t="s">
        <v>2601</v>
      </c>
      <c r="B1113" s="160" t="s">
        <v>200</v>
      </c>
      <c r="C1113" s="161" t="s">
        <v>1714</v>
      </c>
      <c r="D1113" s="161"/>
      <c r="E1113" s="161"/>
      <c r="F1113" s="162"/>
      <c r="G1113" s="162"/>
      <c r="H1113" s="162"/>
      <c r="I1113" s="160" t="s">
        <v>2763</v>
      </c>
      <c r="J1113" s="163">
        <v>1.76</v>
      </c>
      <c r="K1113" s="163"/>
      <c r="L1113" s="163"/>
      <c r="M1113" s="164">
        <v>51</v>
      </c>
      <c r="N1113" s="164"/>
      <c r="O1113" s="164"/>
      <c r="P1113" s="159" t="s">
        <v>409</v>
      </c>
      <c r="Q1113" s="159" t="s">
        <v>1132</v>
      </c>
      <c r="R1113" s="159" t="s">
        <v>2764</v>
      </c>
      <c r="S1113" s="165">
        <v>2.51374644786099E-2</v>
      </c>
      <c r="T1113" s="166" t="s">
        <v>382</v>
      </c>
      <c r="U1113" s="166"/>
      <c r="V1113" s="166"/>
      <c r="W1113" s="167">
        <f>IF(BetTable[Sport]="","",BetTable[Stake]+BetTable[S2]+BetTable[S3])</f>
        <v>51</v>
      </c>
      <c r="X1113" s="164">
        <f>IF(BetTable[Odds]="","",(BetTable[WBA1-Commission])-BetTable[TS])</f>
        <v>38.759999999999991</v>
      </c>
      <c r="Y1113" s="168">
        <f>IF(BetTable[Outcome]="","",BetTable[WBA1]+BetTable[WBA2]+BetTable[WBA3]-BetTable[TS])</f>
        <v>-51</v>
      </c>
      <c r="Z1113" s="164">
        <f>(((BetTable[Odds]-1)*BetTable[Stake])*(1-(BetTable[Comm %]))+BetTable[Stake])</f>
        <v>89.759999999999991</v>
      </c>
      <c r="AA1113" s="164">
        <f>(((BetTable[O2]-1)*BetTable[S2])*(1-(BetTable[C% 2]))+BetTable[S2])</f>
        <v>0</v>
      </c>
      <c r="AB1113" s="164">
        <f>(((BetTable[O3]-1)*BetTable[S3])*(1-(BetTable[C% 3]))+BetTable[S3])</f>
        <v>0</v>
      </c>
      <c r="AC1113" s="165">
        <f>IFERROR(IF(BetTable[Sport]="","",BetTable[R1]/BetTable[TS]),"")</f>
        <v>0.75999999999999979</v>
      </c>
      <c r="AD1113" s="165" t="str">
        <f>IF(BetTable[O2]="","",#REF!/BetTable[TS])</f>
        <v/>
      </c>
      <c r="AE1113" s="165" t="str">
        <f>IFERROR(IF(BetTable[Sport]="","",#REF!/BetTable[TS]),"")</f>
        <v/>
      </c>
      <c r="AF1113" s="164">
        <f>IF(BetTable[Outcome]="Win",BetTable[WBA1-Commission],IF(BetTable[Outcome]="Win Half Stake",(BetTable[Stake]/2)+BetTable[WBA1-Commission]/2,IF(BetTable[Outcome]="Lose Half Stake",BetTable[Stake]/2,IF(BetTable[Outcome]="Lose",0,IF(BetTable[Outcome]="Void",BetTable[Stake],)))))</f>
        <v>0</v>
      </c>
      <c r="AG1113" s="164">
        <f>IF(BetTable[Outcome2]="Win",BetTable[WBA2-Commission],IF(BetTable[Outcome2]="Win Half Stake",(BetTable[S2]/2)+BetTable[WBA2-Commission]/2,IF(BetTable[Outcome2]="Lose Half Stake",BetTable[S2]/2,IF(BetTable[Outcome2]="Lose",0,IF(BetTable[Outcome2]="Void",BetTable[S2],)))))</f>
        <v>0</v>
      </c>
      <c r="AH1113" s="164">
        <f>IF(BetTable[Outcome3]="Win",BetTable[WBA3-Commission],IF(BetTable[Outcome3]="Win Half Stake",(BetTable[S3]/2)+BetTable[WBA3-Commission]/2,IF(BetTable[Outcome3]="Lose Half Stake",BetTable[S3]/2,IF(BetTable[Outcome3]="Lose",0,IF(BetTable[Outcome3]="Void",BetTable[S3],)))))</f>
        <v>0</v>
      </c>
      <c r="AI1113" s="168">
        <f>IF(BetTable[Outcome]="",AI1112,BetTable[Result]+AI1112)</f>
        <v>2085.3617499999991</v>
      </c>
      <c r="AJ1113" s="160"/>
    </row>
    <row r="1114" spans="1:36" x14ac:dyDescent="0.2">
      <c r="A1114" s="159" t="s">
        <v>2601</v>
      </c>
      <c r="B1114" s="160" t="s">
        <v>7</v>
      </c>
      <c r="C1114" s="161" t="s">
        <v>91</v>
      </c>
      <c r="D1114" s="161"/>
      <c r="E1114" s="161"/>
      <c r="F1114" s="162"/>
      <c r="G1114" s="162"/>
      <c r="H1114" s="162"/>
      <c r="I1114" s="160" t="s">
        <v>2765</v>
      </c>
      <c r="J1114" s="163">
        <v>1.9</v>
      </c>
      <c r="K1114" s="163"/>
      <c r="L1114" s="163"/>
      <c r="M1114" s="164">
        <v>39</v>
      </c>
      <c r="N1114" s="164"/>
      <c r="O1114" s="164"/>
      <c r="P1114" s="159" t="s">
        <v>2766</v>
      </c>
      <c r="Q1114" s="159" t="s">
        <v>581</v>
      </c>
      <c r="R1114" s="159" t="s">
        <v>2767</v>
      </c>
      <c r="S1114" s="165">
        <v>2.2915482825094501E-2</v>
      </c>
      <c r="T1114" s="166" t="s">
        <v>372</v>
      </c>
      <c r="U1114" s="166"/>
      <c r="V1114" s="166"/>
      <c r="W1114" s="167">
        <f>IF(BetTable[Sport]="","",BetTable[Stake]+BetTable[S2]+BetTable[S3])</f>
        <v>39</v>
      </c>
      <c r="X1114" s="164">
        <f>IF(BetTable[Odds]="","",(BetTable[WBA1-Commission])-BetTable[TS])</f>
        <v>35.099999999999994</v>
      </c>
      <c r="Y1114" s="168">
        <f>IF(BetTable[Outcome]="","",BetTable[WBA1]+BetTable[WBA2]+BetTable[WBA3]-BetTable[TS])</f>
        <v>35.099999999999994</v>
      </c>
      <c r="Z1114" s="164">
        <f>(((BetTable[Odds]-1)*BetTable[Stake])*(1-(BetTable[Comm %]))+BetTable[Stake])</f>
        <v>74.099999999999994</v>
      </c>
      <c r="AA1114" s="164">
        <f>(((BetTable[O2]-1)*BetTable[S2])*(1-(BetTable[C% 2]))+BetTable[S2])</f>
        <v>0</v>
      </c>
      <c r="AB1114" s="164">
        <f>(((BetTable[O3]-1)*BetTable[S3])*(1-(BetTable[C% 3]))+BetTable[S3])</f>
        <v>0</v>
      </c>
      <c r="AC1114" s="165">
        <f>IFERROR(IF(BetTable[Sport]="","",BetTable[R1]/BetTable[TS]),"")</f>
        <v>0.8999999999999998</v>
      </c>
      <c r="AD1114" s="165" t="str">
        <f>IF(BetTable[O2]="","",#REF!/BetTable[TS])</f>
        <v/>
      </c>
      <c r="AE1114" s="165" t="str">
        <f>IFERROR(IF(BetTable[Sport]="","",#REF!/BetTable[TS]),"")</f>
        <v/>
      </c>
      <c r="AF1114" s="164">
        <f>IF(BetTable[Outcome]="Win",BetTable[WBA1-Commission],IF(BetTable[Outcome]="Win Half Stake",(BetTable[Stake]/2)+BetTable[WBA1-Commission]/2,IF(BetTable[Outcome]="Lose Half Stake",BetTable[Stake]/2,IF(BetTable[Outcome]="Lose",0,IF(BetTable[Outcome]="Void",BetTable[Stake],)))))</f>
        <v>74.099999999999994</v>
      </c>
      <c r="AG1114" s="164">
        <f>IF(BetTable[Outcome2]="Win",BetTable[WBA2-Commission],IF(BetTable[Outcome2]="Win Half Stake",(BetTable[S2]/2)+BetTable[WBA2-Commission]/2,IF(BetTable[Outcome2]="Lose Half Stake",BetTable[S2]/2,IF(BetTable[Outcome2]="Lose",0,IF(BetTable[Outcome2]="Void",BetTable[S2],)))))</f>
        <v>0</v>
      </c>
      <c r="AH1114" s="164">
        <f>IF(BetTable[Outcome3]="Win",BetTable[WBA3-Commission],IF(BetTable[Outcome3]="Win Half Stake",(BetTable[S3]/2)+BetTable[WBA3-Commission]/2,IF(BetTable[Outcome3]="Lose Half Stake",BetTable[S3]/2,IF(BetTable[Outcome3]="Lose",0,IF(BetTable[Outcome3]="Void",BetTable[S3],)))))</f>
        <v>0</v>
      </c>
      <c r="AI1114" s="168">
        <f>IF(BetTable[Outcome]="",AI1113,BetTable[Result]+AI1113)</f>
        <v>2120.461749999999</v>
      </c>
      <c r="AJ1114" s="160"/>
    </row>
    <row r="1115" spans="1:36" x14ac:dyDescent="0.2">
      <c r="A1115" s="159" t="s">
        <v>2601</v>
      </c>
      <c r="B1115" s="160" t="s">
        <v>7</v>
      </c>
      <c r="C1115" s="161" t="s">
        <v>91</v>
      </c>
      <c r="D1115" s="161"/>
      <c r="E1115" s="161"/>
      <c r="F1115" s="162"/>
      <c r="G1115" s="162"/>
      <c r="H1115" s="162"/>
      <c r="I1115" s="160" t="s">
        <v>2768</v>
      </c>
      <c r="J1115" s="163">
        <v>1.99</v>
      </c>
      <c r="K1115" s="163"/>
      <c r="L1115" s="163"/>
      <c r="M1115" s="164">
        <v>45</v>
      </c>
      <c r="N1115" s="164"/>
      <c r="O1115" s="164"/>
      <c r="P1115" s="159" t="s">
        <v>1732</v>
      </c>
      <c r="Q1115" s="159" t="s">
        <v>2769</v>
      </c>
      <c r="R1115" s="159" t="s">
        <v>2770</v>
      </c>
      <c r="S1115" s="165">
        <v>2.8724103236970899E-2</v>
      </c>
      <c r="T1115" s="166" t="s">
        <v>372</v>
      </c>
      <c r="U1115" s="166"/>
      <c r="V1115" s="166"/>
      <c r="W1115" s="167">
        <f>IF(BetTable[Sport]="","",BetTable[Stake]+BetTable[S2]+BetTable[S3])</f>
        <v>45</v>
      </c>
      <c r="X1115" s="164">
        <f>IF(BetTable[Odds]="","",(BetTable[WBA1-Commission])-BetTable[TS])</f>
        <v>44.55</v>
      </c>
      <c r="Y1115" s="168">
        <f>IF(BetTable[Outcome]="","",BetTable[WBA1]+BetTable[WBA2]+BetTable[WBA3]-BetTable[TS])</f>
        <v>44.55</v>
      </c>
      <c r="Z1115" s="164">
        <f>(((BetTable[Odds]-1)*BetTable[Stake])*(1-(BetTable[Comm %]))+BetTable[Stake])</f>
        <v>89.55</v>
      </c>
      <c r="AA1115" s="164">
        <f>(((BetTable[O2]-1)*BetTable[S2])*(1-(BetTable[C% 2]))+BetTable[S2])</f>
        <v>0</v>
      </c>
      <c r="AB1115" s="164">
        <f>(((BetTable[O3]-1)*BetTable[S3])*(1-(BetTable[C% 3]))+BetTable[S3])</f>
        <v>0</v>
      </c>
      <c r="AC1115" s="165">
        <f>IFERROR(IF(BetTable[Sport]="","",BetTable[R1]/BetTable[TS]),"")</f>
        <v>0.99</v>
      </c>
      <c r="AD1115" s="165" t="str">
        <f>IF(BetTable[O2]="","",#REF!/BetTable[TS])</f>
        <v/>
      </c>
      <c r="AE1115" s="165" t="str">
        <f>IFERROR(IF(BetTable[Sport]="","",#REF!/BetTable[TS]),"")</f>
        <v/>
      </c>
      <c r="AF1115" s="164">
        <f>IF(BetTable[Outcome]="Win",BetTable[WBA1-Commission],IF(BetTable[Outcome]="Win Half Stake",(BetTable[Stake]/2)+BetTable[WBA1-Commission]/2,IF(BetTable[Outcome]="Lose Half Stake",BetTable[Stake]/2,IF(BetTable[Outcome]="Lose",0,IF(BetTable[Outcome]="Void",BetTable[Stake],)))))</f>
        <v>89.55</v>
      </c>
      <c r="AG1115" s="164">
        <f>IF(BetTable[Outcome2]="Win",BetTable[WBA2-Commission],IF(BetTable[Outcome2]="Win Half Stake",(BetTable[S2]/2)+BetTable[WBA2-Commission]/2,IF(BetTable[Outcome2]="Lose Half Stake",BetTable[S2]/2,IF(BetTable[Outcome2]="Lose",0,IF(BetTable[Outcome2]="Void",BetTable[S2],)))))</f>
        <v>0</v>
      </c>
      <c r="AH1115" s="164">
        <f>IF(BetTable[Outcome3]="Win",BetTable[WBA3-Commission],IF(BetTable[Outcome3]="Win Half Stake",(BetTable[S3]/2)+BetTable[WBA3-Commission]/2,IF(BetTable[Outcome3]="Lose Half Stake",BetTable[S3]/2,IF(BetTable[Outcome3]="Lose",0,IF(BetTable[Outcome3]="Void",BetTable[S3],)))))</f>
        <v>0</v>
      </c>
      <c r="AI1115" s="168">
        <f>IF(BetTable[Outcome]="",AI1114,BetTable[Result]+AI1114)</f>
        <v>2165.0117499999992</v>
      </c>
      <c r="AJ1115" s="160"/>
    </row>
    <row r="1116" spans="1:36" x14ac:dyDescent="0.2">
      <c r="A1116" s="159" t="s">
        <v>2601</v>
      </c>
      <c r="B1116" s="160" t="s">
        <v>8</v>
      </c>
      <c r="C1116" s="161" t="s">
        <v>91</v>
      </c>
      <c r="D1116" s="161"/>
      <c r="E1116" s="161"/>
      <c r="F1116" s="162"/>
      <c r="G1116" s="162"/>
      <c r="H1116" s="162"/>
      <c r="I1116" s="160" t="s">
        <v>2771</v>
      </c>
      <c r="J1116" s="163">
        <v>2.66</v>
      </c>
      <c r="K1116" s="163"/>
      <c r="L1116" s="163"/>
      <c r="M1116" s="164">
        <v>21</v>
      </c>
      <c r="N1116" s="164"/>
      <c r="O1116" s="164"/>
      <c r="P1116" s="159" t="s">
        <v>435</v>
      </c>
      <c r="Q1116" s="159" t="s">
        <v>2772</v>
      </c>
      <c r="R1116" s="159" t="s">
        <v>2773</v>
      </c>
      <c r="S1116" s="165">
        <v>2.3000596086278201E-2</v>
      </c>
      <c r="T1116" s="166" t="s">
        <v>382</v>
      </c>
      <c r="U1116" s="166"/>
      <c r="V1116" s="166"/>
      <c r="W1116" s="167">
        <f>IF(BetTable[Sport]="","",BetTable[Stake]+BetTable[S2]+BetTable[S3])</f>
        <v>21</v>
      </c>
      <c r="X1116" s="164">
        <f>IF(BetTable[Odds]="","",(BetTable[WBA1-Commission])-BetTable[TS])</f>
        <v>34.86</v>
      </c>
      <c r="Y1116" s="168">
        <f>IF(BetTable[Outcome]="","",BetTable[WBA1]+BetTable[WBA2]+BetTable[WBA3]-BetTable[TS])</f>
        <v>-21</v>
      </c>
      <c r="Z1116" s="164">
        <f>(((BetTable[Odds]-1)*BetTable[Stake])*(1-(BetTable[Comm %]))+BetTable[Stake])</f>
        <v>55.86</v>
      </c>
      <c r="AA1116" s="164">
        <f>(((BetTable[O2]-1)*BetTable[S2])*(1-(BetTable[C% 2]))+BetTable[S2])</f>
        <v>0</v>
      </c>
      <c r="AB1116" s="164">
        <f>(((BetTable[O3]-1)*BetTable[S3])*(1-(BetTable[C% 3]))+BetTable[S3])</f>
        <v>0</v>
      </c>
      <c r="AC1116" s="165">
        <f>IFERROR(IF(BetTable[Sport]="","",BetTable[R1]/BetTable[TS]),"")</f>
        <v>1.66</v>
      </c>
      <c r="AD1116" s="165" t="str">
        <f>IF(BetTable[O2]="","",#REF!/BetTable[TS])</f>
        <v/>
      </c>
      <c r="AE1116" s="165" t="str">
        <f>IFERROR(IF(BetTable[Sport]="","",#REF!/BetTable[TS]),"")</f>
        <v/>
      </c>
      <c r="AF1116" s="164">
        <f>IF(BetTable[Outcome]="Win",BetTable[WBA1-Commission],IF(BetTable[Outcome]="Win Half Stake",(BetTable[Stake]/2)+BetTable[WBA1-Commission]/2,IF(BetTable[Outcome]="Lose Half Stake",BetTable[Stake]/2,IF(BetTable[Outcome]="Lose",0,IF(BetTable[Outcome]="Void",BetTable[Stake],)))))</f>
        <v>0</v>
      </c>
      <c r="AG1116" s="164">
        <f>IF(BetTable[Outcome2]="Win",BetTable[WBA2-Commission],IF(BetTable[Outcome2]="Win Half Stake",(BetTable[S2]/2)+BetTable[WBA2-Commission]/2,IF(BetTable[Outcome2]="Lose Half Stake",BetTable[S2]/2,IF(BetTable[Outcome2]="Lose",0,IF(BetTable[Outcome2]="Void",BetTable[S2],)))))</f>
        <v>0</v>
      </c>
      <c r="AH1116" s="164">
        <f>IF(BetTable[Outcome3]="Win",BetTable[WBA3-Commission],IF(BetTable[Outcome3]="Win Half Stake",(BetTable[S3]/2)+BetTable[WBA3-Commission]/2,IF(BetTable[Outcome3]="Lose Half Stake",BetTable[S3]/2,IF(BetTable[Outcome3]="Lose",0,IF(BetTable[Outcome3]="Void",BetTable[S3],)))))</f>
        <v>0</v>
      </c>
      <c r="AI1116" s="168">
        <f>IF(BetTable[Outcome]="",AI1115,BetTable[Result]+AI1115)</f>
        <v>2144.0117499999992</v>
      </c>
      <c r="AJ1116" s="160"/>
    </row>
    <row r="1117" spans="1:36" x14ac:dyDescent="0.2">
      <c r="A1117" s="159" t="s">
        <v>2601</v>
      </c>
      <c r="B1117" s="160" t="s">
        <v>7</v>
      </c>
      <c r="C1117" s="161" t="s">
        <v>91</v>
      </c>
      <c r="D1117" s="161"/>
      <c r="E1117" s="161"/>
      <c r="F1117" s="162"/>
      <c r="G1117" s="162"/>
      <c r="H1117" s="162"/>
      <c r="I1117" s="160" t="s">
        <v>2774</v>
      </c>
      <c r="J1117" s="163">
        <v>1.86</v>
      </c>
      <c r="K1117" s="163"/>
      <c r="L1117" s="163"/>
      <c r="M1117" s="164">
        <v>44</v>
      </c>
      <c r="N1117" s="164"/>
      <c r="O1117" s="164"/>
      <c r="P1117" s="159" t="s">
        <v>1883</v>
      </c>
      <c r="Q1117" s="159" t="s">
        <v>503</v>
      </c>
      <c r="R1117" s="159" t="s">
        <v>2775</v>
      </c>
      <c r="S1117" s="165">
        <v>2.42385596543849E-2</v>
      </c>
      <c r="T1117" s="166" t="s">
        <v>382</v>
      </c>
      <c r="U1117" s="166"/>
      <c r="V1117" s="166"/>
      <c r="W1117" s="167">
        <f>IF(BetTable[Sport]="","",BetTable[Stake]+BetTable[S2]+BetTable[S3])</f>
        <v>44</v>
      </c>
      <c r="X1117" s="164">
        <f>IF(BetTable[Odds]="","",(BetTable[WBA1-Commission])-BetTable[TS])</f>
        <v>37.840000000000003</v>
      </c>
      <c r="Y1117" s="168">
        <f>IF(BetTable[Outcome]="","",BetTable[WBA1]+BetTable[WBA2]+BetTable[WBA3]-BetTable[TS])</f>
        <v>-44</v>
      </c>
      <c r="Z1117" s="164">
        <f>(((BetTable[Odds]-1)*BetTable[Stake])*(1-(BetTable[Comm %]))+BetTable[Stake])</f>
        <v>81.84</v>
      </c>
      <c r="AA1117" s="164">
        <f>(((BetTable[O2]-1)*BetTable[S2])*(1-(BetTable[C% 2]))+BetTable[S2])</f>
        <v>0</v>
      </c>
      <c r="AB1117" s="164">
        <f>(((BetTable[O3]-1)*BetTable[S3])*(1-(BetTable[C% 3]))+BetTable[S3])</f>
        <v>0</v>
      </c>
      <c r="AC1117" s="165">
        <f>IFERROR(IF(BetTable[Sport]="","",BetTable[R1]/BetTable[TS]),"")</f>
        <v>0.8600000000000001</v>
      </c>
      <c r="AD1117" s="165" t="str">
        <f>IF(BetTable[O2]="","",#REF!/BetTable[TS])</f>
        <v/>
      </c>
      <c r="AE1117" s="165" t="str">
        <f>IFERROR(IF(BetTable[Sport]="","",#REF!/BetTable[TS]),"")</f>
        <v/>
      </c>
      <c r="AF1117" s="164">
        <f>IF(BetTable[Outcome]="Win",BetTable[WBA1-Commission],IF(BetTable[Outcome]="Win Half Stake",(BetTable[Stake]/2)+BetTable[WBA1-Commission]/2,IF(BetTable[Outcome]="Lose Half Stake",BetTable[Stake]/2,IF(BetTable[Outcome]="Lose",0,IF(BetTable[Outcome]="Void",BetTable[Stake],)))))</f>
        <v>0</v>
      </c>
      <c r="AG1117" s="164">
        <f>IF(BetTable[Outcome2]="Win",BetTable[WBA2-Commission],IF(BetTable[Outcome2]="Win Half Stake",(BetTable[S2]/2)+BetTable[WBA2-Commission]/2,IF(BetTable[Outcome2]="Lose Half Stake",BetTable[S2]/2,IF(BetTable[Outcome2]="Lose",0,IF(BetTable[Outcome2]="Void",BetTable[S2],)))))</f>
        <v>0</v>
      </c>
      <c r="AH1117" s="164">
        <f>IF(BetTable[Outcome3]="Win",BetTable[WBA3-Commission],IF(BetTable[Outcome3]="Win Half Stake",(BetTable[S3]/2)+BetTable[WBA3-Commission]/2,IF(BetTable[Outcome3]="Lose Half Stake",BetTable[S3]/2,IF(BetTable[Outcome3]="Lose",0,IF(BetTable[Outcome3]="Void",BetTable[S3],)))))</f>
        <v>0</v>
      </c>
      <c r="AI1117" s="168">
        <f>IF(BetTable[Outcome]="",AI1116,BetTable[Result]+AI1116)</f>
        <v>2100.0117499999992</v>
      </c>
      <c r="AJ1117" s="160"/>
    </row>
    <row r="1118" spans="1:36" x14ac:dyDescent="0.2">
      <c r="A1118" s="159" t="s">
        <v>2601</v>
      </c>
      <c r="B1118" s="160" t="s">
        <v>200</v>
      </c>
      <c r="C1118" s="161" t="s">
        <v>1714</v>
      </c>
      <c r="D1118" s="161"/>
      <c r="E1118" s="161"/>
      <c r="F1118" s="162"/>
      <c r="G1118" s="162"/>
      <c r="H1118" s="162"/>
      <c r="I1118" s="160" t="s">
        <v>2776</v>
      </c>
      <c r="J1118" s="163">
        <v>1.88</v>
      </c>
      <c r="K1118" s="163"/>
      <c r="L1118" s="163"/>
      <c r="M1118" s="164">
        <v>29</v>
      </c>
      <c r="N1118" s="164"/>
      <c r="O1118" s="164"/>
      <c r="P1118" s="159" t="s">
        <v>448</v>
      </c>
      <c r="Q1118" s="159" t="s">
        <v>1132</v>
      </c>
      <c r="R1118" s="159" t="s">
        <v>2777</v>
      </c>
      <c r="S1118" s="165">
        <v>1.67625442337355E-2</v>
      </c>
      <c r="T1118" s="166" t="s">
        <v>372</v>
      </c>
      <c r="U1118" s="166"/>
      <c r="V1118" s="166"/>
      <c r="W1118" s="167">
        <f>IF(BetTable[Sport]="","",BetTable[Stake]+BetTable[S2]+BetTable[S3])</f>
        <v>29</v>
      </c>
      <c r="X1118" s="164">
        <f>IF(BetTable[Odds]="","",(BetTable[WBA1-Commission])-BetTable[TS])</f>
        <v>25.519999999999996</v>
      </c>
      <c r="Y1118" s="168">
        <f>IF(BetTable[Outcome]="","",BetTable[WBA1]+BetTable[WBA2]+BetTable[WBA3]-BetTable[TS])</f>
        <v>25.519999999999996</v>
      </c>
      <c r="Z1118" s="164">
        <f>(((BetTable[Odds]-1)*BetTable[Stake])*(1-(BetTable[Comm %]))+BetTable[Stake])</f>
        <v>54.519999999999996</v>
      </c>
      <c r="AA1118" s="164">
        <f>(((BetTable[O2]-1)*BetTable[S2])*(1-(BetTable[C% 2]))+BetTable[S2])</f>
        <v>0</v>
      </c>
      <c r="AB1118" s="164">
        <f>(((BetTable[O3]-1)*BetTable[S3])*(1-(BetTable[C% 3]))+BetTable[S3])</f>
        <v>0</v>
      </c>
      <c r="AC1118" s="165">
        <f>IFERROR(IF(BetTable[Sport]="","",BetTable[R1]/BetTable[TS]),"")</f>
        <v>0.87999999999999989</v>
      </c>
      <c r="AD1118" s="165" t="str">
        <f>IF(BetTable[O2]="","",#REF!/BetTable[TS])</f>
        <v/>
      </c>
      <c r="AE1118" s="165" t="str">
        <f>IFERROR(IF(BetTable[Sport]="","",#REF!/BetTable[TS]),"")</f>
        <v/>
      </c>
      <c r="AF1118" s="164">
        <f>IF(BetTable[Outcome]="Win",BetTable[WBA1-Commission],IF(BetTable[Outcome]="Win Half Stake",(BetTable[Stake]/2)+BetTable[WBA1-Commission]/2,IF(BetTable[Outcome]="Lose Half Stake",BetTable[Stake]/2,IF(BetTable[Outcome]="Lose",0,IF(BetTable[Outcome]="Void",BetTable[Stake],)))))</f>
        <v>54.519999999999996</v>
      </c>
      <c r="AG1118" s="164">
        <f>IF(BetTable[Outcome2]="Win",BetTable[WBA2-Commission],IF(BetTable[Outcome2]="Win Half Stake",(BetTable[S2]/2)+BetTable[WBA2-Commission]/2,IF(BetTable[Outcome2]="Lose Half Stake",BetTable[S2]/2,IF(BetTable[Outcome2]="Lose",0,IF(BetTable[Outcome2]="Void",BetTable[S2],)))))</f>
        <v>0</v>
      </c>
      <c r="AH1118" s="164">
        <f>IF(BetTable[Outcome3]="Win",BetTable[WBA3-Commission],IF(BetTable[Outcome3]="Win Half Stake",(BetTable[S3]/2)+BetTable[WBA3-Commission]/2,IF(BetTable[Outcome3]="Lose Half Stake",BetTable[S3]/2,IF(BetTable[Outcome3]="Lose",0,IF(BetTable[Outcome3]="Void",BetTable[S3],)))))</f>
        <v>0</v>
      </c>
      <c r="AI1118" s="168">
        <f>IF(BetTable[Outcome]="",AI1117,BetTable[Result]+AI1117)</f>
        <v>2125.5317499999992</v>
      </c>
      <c r="AJ1118" s="160"/>
    </row>
    <row r="1119" spans="1:36" x14ac:dyDescent="0.2">
      <c r="A1119" s="159" t="s">
        <v>2601</v>
      </c>
      <c r="B1119" s="160" t="s">
        <v>200</v>
      </c>
      <c r="C1119" s="161" t="s">
        <v>1714</v>
      </c>
      <c r="D1119" s="161"/>
      <c r="E1119" s="161"/>
      <c r="F1119" s="162"/>
      <c r="G1119" s="162"/>
      <c r="H1119" s="162"/>
      <c r="I1119" s="160" t="s">
        <v>2778</v>
      </c>
      <c r="J1119" s="163">
        <v>1.96</v>
      </c>
      <c r="K1119" s="163"/>
      <c r="L1119" s="163"/>
      <c r="M1119" s="164">
        <v>32</v>
      </c>
      <c r="N1119" s="164"/>
      <c r="O1119" s="164"/>
      <c r="P1119" s="159" t="s">
        <v>864</v>
      </c>
      <c r="Q1119" s="159" t="s">
        <v>1117</v>
      </c>
      <c r="R1119" s="159" t="s">
        <v>2779</v>
      </c>
      <c r="S1119" s="165">
        <v>1.9694402351784199E-2</v>
      </c>
      <c r="T1119" s="166" t="s">
        <v>382</v>
      </c>
      <c r="U1119" s="166"/>
      <c r="V1119" s="166"/>
      <c r="W1119" s="167">
        <f>IF(BetTable[Sport]="","",BetTable[Stake]+BetTable[S2]+BetTable[S3])</f>
        <v>32</v>
      </c>
      <c r="X1119" s="164">
        <f>IF(BetTable[Odds]="","",(BetTable[WBA1-Commission])-BetTable[TS])</f>
        <v>30.72</v>
      </c>
      <c r="Y1119" s="168">
        <f>IF(BetTable[Outcome]="","",BetTable[WBA1]+BetTable[WBA2]+BetTable[WBA3]-BetTable[TS])</f>
        <v>-32</v>
      </c>
      <c r="Z1119" s="164">
        <f>(((BetTable[Odds]-1)*BetTable[Stake])*(1-(BetTable[Comm %]))+BetTable[Stake])</f>
        <v>62.72</v>
      </c>
      <c r="AA1119" s="164">
        <f>(((BetTable[O2]-1)*BetTable[S2])*(1-(BetTable[C% 2]))+BetTable[S2])</f>
        <v>0</v>
      </c>
      <c r="AB1119" s="164">
        <f>(((BetTable[O3]-1)*BetTable[S3])*(1-(BetTable[C% 3]))+BetTable[S3])</f>
        <v>0</v>
      </c>
      <c r="AC1119" s="165">
        <f>IFERROR(IF(BetTable[Sport]="","",BetTable[R1]/BetTable[TS]),"")</f>
        <v>0.96</v>
      </c>
      <c r="AD1119" s="165" t="str">
        <f>IF(BetTable[O2]="","",#REF!/BetTable[TS])</f>
        <v/>
      </c>
      <c r="AE1119" s="165" t="str">
        <f>IFERROR(IF(BetTable[Sport]="","",#REF!/BetTable[TS]),"")</f>
        <v/>
      </c>
      <c r="AF1119" s="164">
        <f>IF(BetTable[Outcome]="Win",BetTable[WBA1-Commission],IF(BetTable[Outcome]="Win Half Stake",(BetTable[Stake]/2)+BetTable[WBA1-Commission]/2,IF(BetTable[Outcome]="Lose Half Stake",BetTable[Stake]/2,IF(BetTable[Outcome]="Lose",0,IF(BetTable[Outcome]="Void",BetTable[Stake],)))))</f>
        <v>0</v>
      </c>
      <c r="AG1119" s="164">
        <f>IF(BetTable[Outcome2]="Win",BetTable[WBA2-Commission],IF(BetTable[Outcome2]="Win Half Stake",(BetTable[S2]/2)+BetTable[WBA2-Commission]/2,IF(BetTable[Outcome2]="Lose Half Stake",BetTable[S2]/2,IF(BetTable[Outcome2]="Lose",0,IF(BetTable[Outcome2]="Void",BetTable[S2],)))))</f>
        <v>0</v>
      </c>
      <c r="AH1119" s="164">
        <f>IF(BetTable[Outcome3]="Win",BetTable[WBA3-Commission],IF(BetTable[Outcome3]="Win Half Stake",(BetTable[S3]/2)+BetTable[WBA3-Commission]/2,IF(BetTable[Outcome3]="Lose Half Stake",BetTable[S3]/2,IF(BetTable[Outcome3]="Lose",0,IF(BetTable[Outcome3]="Void",BetTable[S3],)))))</f>
        <v>0</v>
      </c>
      <c r="AI1119" s="168">
        <f>IF(BetTable[Outcome]="",AI1118,BetTable[Result]+AI1118)</f>
        <v>2093.5317499999992</v>
      </c>
      <c r="AJ1119" s="160"/>
    </row>
    <row r="1120" spans="1:36" x14ac:dyDescent="0.2">
      <c r="A1120" s="159" t="s">
        <v>2601</v>
      </c>
      <c r="B1120" s="160" t="s">
        <v>200</v>
      </c>
      <c r="C1120" s="161" t="s">
        <v>1714</v>
      </c>
      <c r="D1120" s="161"/>
      <c r="E1120" s="161"/>
      <c r="F1120" s="162"/>
      <c r="G1120" s="162"/>
      <c r="H1120" s="162"/>
      <c r="I1120" s="160" t="s">
        <v>2780</v>
      </c>
      <c r="J1120" s="163">
        <v>1.87</v>
      </c>
      <c r="K1120" s="163"/>
      <c r="L1120" s="163"/>
      <c r="M1120" s="164">
        <v>47</v>
      </c>
      <c r="N1120" s="164"/>
      <c r="O1120" s="164"/>
      <c r="P1120" s="159" t="s">
        <v>543</v>
      </c>
      <c r="Q1120" s="159" t="s">
        <v>773</v>
      </c>
      <c r="R1120" s="159" t="s">
        <v>2781</v>
      </c>
      <c r="S1120" s="165">
        <v>2.6446416813085301E-2</v>
      </c>
      <c r="T1120" s="166" t="s">
        <v>382</v>
      </c>
      <c r="U1120" s="166"/>
      <c r="V1120" s="166"/>
      <c r="W1120" s="167">
        <f>IF(BetTable[Sport]="","",BetTable[Stake]+BetTable[S2]+BetTable[S3])</f>
        <v>47</v>
      </c>
      <c r="X1120" s="164">
        <f>IF(BetTable[Odds]="","",(BetTable[WBA1-Commission])-BetTable[TS])</f>
        <v>40.890000000000015</v>
      </c>
      <c r="Y1120" s="168">
        <f>IF(BetTable[Outcome]="","",BetTable[WBA1]+BetTable[WBA2]+BetTable[WBA3]-BetTable[TS])</f>
        <v>-47</v>
      </c>
      <c r="Z1120" s="164">
        <f>(((BetTable[Odds]-1)*BetTable[Stake])*(1-(BetTable[Comm %]))+BetTable[Stake])</f>
        <v>87.890000000000015</v>
      </c>
      <c r="AA1120" s="164">
        <f>(((BetTable[O2]-1)*BetTable[S2])*(1-(BetTable[C% 2]))+BetTable[S2])</f>
        <v>0</v>
      </c>
      <c r="AB1120" s="164">
        <f>(((BetTable[O3]-1)*BetTable[S3])*(1-(BetTable[C% 3]))+BetTable[S3])</f>
        <v>0</v>
      </c>
      <c r="AC1120" s="165">
        <f>IFERROR(IF(BetTable[Sport]="","",BetTable[R1]/BetTable[TS]),"")</f>
        <v>0.87000000000000033</v>
      </c>
      <c r="AD1120" s="165" t="str">
        <f>IF(BetTable[O2]="","",#REF!/BetTable[TS])</f>
        <v/>
      </c>
      <c r="AE1120" s="165" t="str">
        <f>IFERROR(IF(BetTable[Sport]="","",#REF!/BetTable[TS]),"")</f>
        <v/>
      </c>
      <c r="AF1120" s="164">
        <f>IF(BetTable[Outcome]="Win",BetTable[WBA1-Commission],IF(BetTable[Outcome]="Win Half Stake",(BetTable[Stake]/2)+BetTable[WBA1-Commission]/2,IF(BetTable[Outcome]="Lose Half Stake",BetTable[Stake]/2,IF(BetTable[Outcome]="Lose",0,IF(BetTable[Outcome]="Void",BetTable[Stake],)))))</f>
        <v>0</v>
      </c>
      <c r="AG1120" s="164">
        <f>IF(BetTable[Outcome2]="Win",BetTable[WBA2-Commission],IF(BetTable[Outcome2]="Win Half Stake",(BetTable[S2]/2)+BetTable[WBA2-Commission]/2,IF(BetTable[Outcome2]="Lose Half Stake",BetTable[S2]/2,IF(BetTable[Outcome2]="Lose",0,IF(BetTable[Outcome2]="Void",BetTable[S2],)))))</f>
        <v>0</v>
      </c>
      <c r="AH1120" s="164">
        <f>IF(BetTable[Outcome3]="Win",BetTable[WBA3-Commission],IF(BetTable[Outcome3]="Win Half Stake",(BetTable[S3]/2)+BetTable[WBA3-Commission]/2,IF(BetTable[Outcome3]="Lose Half Stake",BetTable[S3]/2,IF(BetTable[Outcome3]="Lose",0,IF(BetTable[Outcome3]="Void",BetTable[S3],)))))</f>
        <v>0</v>
      </c>
      <c r="AI1120" s="168">
        <f>IF(BetTable[Outcome]="",AI1119,BetTable[Result]+AI1119)</f>
        <v>2046.5317499999992</v>
      </c>
      <c r="AJ1120" s="160"/>
    </row>
    <row r="1121" spans="1:36" x14ac:dyDescent="0.2">
      <c r="A1121" s="159" t="s">
        <v>2601</v>
      </c>
      <c r="B1121" s="160" t="s">
        <v>9</v>
      </c>
      <c r="C1121" s="161" t="s">
        <v>216</v>
      </c>
      <c r="D1121" s="161"/>
      <c r="E1121" s="161"/>
      <c r="F1121" s="162"/>
      <c r="G1121" s="162"/>
      <c r="H1121" s="162"/>
      <c r="I1121" s="160" t="s">
        <v>2782</v>
      </c>
      <c r="J1121" s="163">
        <v>1.7350000000000001</v>
      </c>
      <c r="K1121" s="163"/>
      <c r="L1121" s="163"/>
      <c r="M1121" s="164">
        <v>69</v>
      </c>
      <c r="N1121" s="164"/>
      <c r="O1121" s="164"/>
      <c r="P1121" s="159" t="s">
        <v>772</v>
      </c>
      <c r="Q1121" s="159" t="s">
        <v>773</v>
      </c>
      <c r="R1121" s="159" t="s">
        <v>2783</v>
      </c>
      <c r="S1121" s="165">
        <v>3.2726387660743997E-2</v>
      </c>
      <c r="T1121" s="166" t="s">
        <v>372</v>
      </c>
      <c r="U1121" s="166"/>
      <c r="V1121" s="166"/>
      <c r="W1121" s="167">
        <f>IF(BetTable[Sport]="","",BetTable[Stake]+BetTable[S2]+BetTable[S3])</f>
        <v>69</v>
      </c>
      <c r="X1121" s="164">
        <f>IF(BetTable[Odds]="","",(BetTable[WBA1-Commission])-BetTable[TS])</f>
        <v>50.715000000000003</v>
      </c>
      <c r="Y1121" s="168">
        <f>IF(BetTable[Outcome]="","",BetTable[WBA1]+BetTable[WBA2]+BetTable[WBA3]-BetTable[TS])</f>
        <v>50.715000000000003</v>
      </c>
      <c r="Z1121" s="164">
        <f>(((BetTable[Odds]-1)*BetTable[Stake])*(1-(BetTable[Comm %]))+BetTable[Stake])</f>
        <v>119.715</v>
      </c>
      <c r="AA1121" s="164">
        <f>(((BetTable[O2]-1)*BetTable[S2])*(1-(BetTable[C% 2]))+BetTable[S2])</f>
        <v>0</v>
      </c>
      <c r="AB1121" s="164">
        <f>(((BetTable[O3]-1)*BetTable[S3])*(1-(BetTable[C% 3]))+BetTable[S3])</f>
        <v>0</v>
      </c>
      <c r="AC1121" s="165">
        <f>IFERROR(IF(BetTable[Sport]="","",BetTable[R1]/BetTable[TS]),"")</f>
        <v>0.7350000000000001</v>
      </c>
      <c r="AD1121" s="165" t="str">
        <f>IF(BetTable[O2]="","",#REF!/BetTable[TS])</f>
        <v/>
      </c>
      <c r="AE1121" s="165" t="str">
        <f>IFERROR(IF(BetTable[Sport]="","",#REF!/BetTable[TS]),"")</f>
        <v/>
      </c>
      <c r="AF1121" s="164">
        <f>IF(BetTable[Outcome]="Win",BetTable[WBA1-Commission],IF(BetTable[Outcome]="Win Half Stake",(BetTable[Stake]/2)+BetTable[WBA1-Commission]/2,IF(BetTable[Outcome]="Lose Half Stake",BetTable[Stake]/2,IF(BetTable[Outcome]="Lose",0,IF(BetTable[Outcome]="Void",BetTable[Stake],)))))</f>
        <v>119.715</v>
      </c>
      <c r="AG1121" s="164">
        <f>IF(BetTable[Outcome2]="Win",BetTable[WBA2-Commission],IF(BetTable[Outcome2]="Win Half Stake",(BetTable[S2]/2)+BetTable[WBA2-Commission]/2,IF(BetTable[Outcome2]="Lose Half Stake",BetTable[S2]/2,IF(BetTable[Outcome2]="Lose",0,IF(BetTable[Outcome2]="Void",BetTable[S2],)))))</f>
        <v>0</v>
      </c>
      <c r="AH1121" s="164">
        <f>IF(BetTable[Outcome3]="Win",BetTable[WBA3-Commission],IF(BetTable[Outcome3]="Win Half Stake",(BetTable[S3]/2)+BetTable[WBA3-Commission]/2,IF(BetTable[Outcome3]="Lose Half Stake",BetTable[S3]/2,IF(BetTable[Outcome3]="Lose",0,IF(BetTable[Outcome3]="Void",BetTable[S3],)))))</f>
        <v>0</v>
      </c>
      <c r="AI1121" s="168">
        <f>IF(BetTable[Outcome]="",AI1120,BetTable[Result]+AI1120)</f>
        <v>2097.2467499999993</v>
      </c>
      <c r="AJ1121" s="160"/>
    </row>
    <row r="1122" spans="1:36" x14ac:dyDescent="0.2">
      <c r="A1122" s="159" t="s">
        <v>2601</v>
      </c>
      <c r="B1122" s="160" t="s">
        <v>7</v>
      </c>
      <c r="C1122" s="161" t="s">
        <v>216</v>
      </c>
      <c r="D1122" s="161"/>
      <c r="E1122" s="161"/>
      <c r="F1122" s="162"/>
      <c r="G1122" s="162"/>
      <c r="H1122" s="162"/>
      <c r="I1122" s="160" t="s">
        <v>2784</v>
      </c>
      <c r="J1122" s="163">
        <v>1.909</v>
      </c>
      <c r="K1122" s="163"/>
      <c r="L1122" s="163"/>
      <c r="M1122" s="164">
        <v>55</v>
      </c>
      <c r="N1122" s="164"/>
      <c r="O1122" s="164"/>
      <c r="P1122" s="159" t="s">
        <v>2785</v>
      </c>
      <c r="Q1122" s="159" t="s">
        <v>1205</v>
      </c>
      <c r="R1122" s="159" t="s">
        <v>2786</v>
      </c>
      <c r="S1122" s="165">
        <v>4.0056678836299299E-2</v>
      </c>
      <c r="T1122" s="166" t="s">
        <v>382</v>
      </c>
      <c r="U1122" s="166"/>
      <c r="V1122" s="166"/>
      <c r="W1122" s="167">
        <f>IF(BetTable[Sport]="","",BetTable[Stake]+BetTable[S2]+BetTable[S3])</f>
        <v>55</v>
      </c>
      <c r="X1122" s="164">
        <f>IF(BetTable[Odds]="","",(BetTable[WBA1-Commission])-BetTable[TS])</f>
        <v>49.995000000000005</v>
      </c>
      <c r="Y1122" s="168">
        <f>IF(BetTable[Outcome]="","",BetTable[WBA1]+BetTable[WBA2]+BetTable[WBA3]-BetTable[TS])</f>
        <v>-55</v>
      </c>
      <c r="Z1122" s="164">
        <f>(((BetTable[Odds]-1)*BetTable[Stake])*(1-(BetTable[Comm %]))+BetTable[Stake])</f>
        <v>104.995</v>
      </c>
      <c r="AA1122" s="164">
        <f>(((BetTable[O2]-1)*BetTable[S2])*(1-(BetTable[C% 2]))+BetTable[S2])</f>
        <v>0</v>
      </c>
      <c r="AB1122" s="164">
        <f>(((BetTable[O3]-1)*BetTable[S3])*(1-(BetTable[C% 3]))+BetTable[S3])</f>
        <v>0</v>
      </c>
      <c r="AC1122" s="165">
        <f>IFERROR(IF(BetTable[Sport]="","",BetTable[R1]/BetTable[TS]),"")</f>
        <v>0.90900000000000003</v>
      </c>
      <c r="AD1122" s="165" t="str">
        <f>IF(BetTable[O2]="","",#REF!/BetTable[TS])</f>
        <v/>
      </c>
      <c r="AE1122" s="165" t="str">
        <f>IFERROR(IF(BetTable[Sport]="","",#REF!/BetTable[TS]),"")</f>
        <v/>
      </c>
      <c r="AF1122" s="164">
        <f>IF(BetTable[Outcome]="Win",BetTable[WBA1-Commission],IF(BetTable[Outcome]="Win Half Stake",(BetTable[Stake]/2)+BetTable[WBA1-Commission]/2,IF(BetTable[Outcome]="Lose Half Stake",BetTable[Stake]/2,IF(BetTable[Outcome]="Lose",0,IF(BetTable[Outcome]="Void",BetTable[Stake],)))))</f>
        <v>0</v>
      </c>
      <c r="AG1122" s="164">
        <f>IF(BetTable[Outcome2]="Win",BetTable[WBA2-Commission],IF(BetTable[Outcome2]="Win Half Stake",(BetTable[S2]/2)+BetTable[WBA2-Commission]/2,IF(BetTable[Outcome2]="Lose Half Stake",BetTable[S2]/2,IF(BetTable[Outcome2]="Lose",0,IF(BetTable[Outcome2]="Void",BetTable[S2],)))))</f>
        <v>0</v>
      </c>
      <c r="AH1122" s="164">
        <f>IF(BetTable[Outcome3]="Win",BetTable[WBA3-Commission],IF(BetTable[Outcome3]="Win Half Stake",(BetTable[S3]/2)+BetTable[WBA3-Commission]/2,IF(BetTable[Outcome3]="Lose Half Stake",BetTable[S3]/2,IF(BetTable[Outcome3]="Lose",0,IF(BetTable[Outcome3]="Void",BetTable[S3],)))))</f>
        <v>0</v>
      </c>
      <c r="AI1122" s="168">
        <f>IF(BetTable[Outcome]="",AI1121,BetTable[Result]+AI1121)</f>
        <v>2042.2467499999993</v>
      </c>
      <c r="AJ1122" s="160"/>
    </row>
    <row r="1123" spans="1:36" x14ac:dyDescent="0.2">
      <c r="A1123" s="159" t="s">
        <v>2601</v>
      </c>
      <c r="B1123" s="160" t="s">
        <v>9</v>
      </c>
      <c r="C1123" s="161" t="s">
        <v>216</v>
      </c>
      <c r="D1123" s="161"/>
      <c r="E1123" s="161"/>
      <c r="F1123" s="162"/>
      <c r="G1123" s="162"/>
      <c r="H1123" s="162"/>
      <c r="I1123" s="160" t="s">
        <v>2787</v>
      </c>
      <c r="J1123" s="163">
        <v>1.444</v>
      </c>
      <c r="K1123" s="163"/>
      <c r="L1123" s="163"/>
      <c r="M1123" s="164">
        <v>60</v>
      </c>
      <c r="N1123" s="164"/>
      <c r="O1123" s="164"/>
      <c r="P1123" s="159" t="s">
        <v>1055</v>
      </c>
      <c r="Q1123" s="159" t="s">
        <v>752</v>
      </c>
      <c r="R1123" s="159" t="s">
        <v>2788</v>
      </c>
      <c r="S1123" s="165">
        <v>1.6924717163645499E-2</v>
      </c>
      <c r="T1123" s="166" t="s">
        <v>372</v>
      </c>
      <c r="U1123" s="166"/>
      <c r="V1123" s="166"/>
      <c r="W1123" s="167">
        <f>IF(BetTable[Sport]="","",BetTable[Stake]+BetTable[S2]+BetTable[S3])</f>
        <v>60</v>
      </c>
      <c r="X1123" s="164">
        <f>IF(BetTable[Odds]="","",(BetTable[WBA1-Commission])-BetTable[TS])</f>
        <v>26.64</v>
      </c>
      <c r="Y1123" s="168">
        <f>IF(BetTable[Outcome]="","",BetTable[WBA1]+BetTable[WBA2]+BetTable[WBA3]-BetTable[TS])</f>
        <v>26.64</v>
      </c>
      <c r="Z1123" s="164">
        <f>(((BetTable[Odds]-1)*BetTable[Stake])*(1-(BetTable[Comm %]))+BetTable[Stake])</f>
        <v>86.64</v>
      </c>
      <c r="AA1123" s="164">
        <f>(((BetTable[O2]-1)*BetTable[S2])*(1-(BetTable[C% 2]))+BetTable[S2])</f>
        <v>0</v>
      </c>
      <c r="AB1123" s="164">
        <f>(((BetTable[O3]-1)*BetTable[S3])*(1-(BetTable[C% 3]))+BetTable[S3])</f>
        <v>0</v>
      </c>
      <c r="AC1123" s="165">
        <f>IFERROR(IF(BetTable[Sport]="","",BetTable[R1]/BetTable[TS]),"")</f>
        <v>0.44400000000000001</v>
      </c>
      <c r="AD1123" s="165" t="str">
        <f>IF(BetTable[O2]="","",#REF!/BetTable[TS])</f>
        <v/>
      </c>
      <c r="AE1123" s="165" t="str">
        <f>IFERROR(IF(BetTable[Sport]="","",#REF!/BetTable[TS]),"")</f>
        <v/>
      </c>
      <c r="AF1123" s="164">
        <f>IF(BetTable[Outcome]="Win",BetTable[WBA1-Commission],IF(BetTable[Outcome]="Win Half Stake",(BetTable[Stake]/2)+BetTable[WBA1-Commission]/2,IF(BetTable[Outcome]="Lose Half Stake",BetTable[Stake]/2,IF(BetTable[Outcome]="Lose",0,IF(BetTable[Outcome]="Void",BetTable[Stake],)))))</f>
        <v>86.64</v>
      </c>
      <c r="AG1123" s="164">
        <f>IF(BetTable[Outcome2]="Win",BetTable[WBA2-Commission],IF(BetTable[Outcome2]="Win Half Stake",(BetTable[S2]/2)+BetTable[WBA2-Commission]/2,IF(BetTable[Outcome2]="Lose Half Stake",BetTable[S2]/2,IF(BetTable[Outcome2]="Lose",0,IF(BetTable[Outcome2]="Void",BetTable[S2],)))))</f>
        <v>0</v>
      </c>
      <c r="AH1123" s="164">
        <f>IF(BetTable[Outcome3]="Win",BetTable[WBA3-Commission],IF(BetTable[Outcome3]="Win Half Stake",(BetTable[S3]/2)+BetTable[WBA3-Commission]/2,IF(BetTable[Outcome3]="Lose Half Stake",BetTable[S3]/2,IF(BetTable[Outcome3]="Lose",0,IF(BetTable[Outcome3]="Void",BetTable[S3],)))))</f>
        <v>0</v>
      </c>
      <c r="AI1123" s="168">
        <f>IF(BetTable[Outcome]="",AI1122,BetTable[Result]+AI1122)</f>
        <v>2068.8867499999992</v>
      </c>
      <c r="AJ1123" s="160"/>
    </row>
    <row r="1124" spans="1:36" x14ac:dyDescent="0.2">
      <c r="A1124" s="159" t="s">
        <v>2601</v>
      </c>
      <c r="B1124" s="160" t="s">
        <v>7</v>
      </c>
      <c r="C1124" s="161" t="s">
        <v>91</v>
      </c>
      <c r="D1124" s="161"/>
      <c r="E1124" s="161"/>
      <c r="F1124" s="162"/>
      <c r="G1124" s="162"/>
      <c r="H1124" s="162"/>
      <c r="I1124" s="160" t="s">
        <v>2789</v>
      </c>
      <c r="J1124" s="163">
        <v>2</v>
      </c>
      <c r="K1124" s="163"/>
      <c r="L1124" s="163"/>
      <c r="M1124" s="164">
        <v>28</v>
      </c>
      <c r="N1124" s="164"/>
      <c r="O1124" s="164"/>
      <c r="P1124" s="159" t="s">
        <v>1872</v>
      </c>
      <c r="Q1124" s="159" t="s">
        <v>1132</v>
      </c>
      <c r="R1124" s="159" t="s">
        <v>2790</v>
      </c>
      <c r="S1124" s="165">
        <v>1.8149019090911201E-2</v>
      </c>
      <c r="T1124" s="166" t="s">
        <v>382</v>
      </c>
      <c r="U1124" s="166"/>
      <c r="V1124" s="166"/>
      <c r="W1124" s="167">
        <f>IF(BetTable[Sport]="","",BetTable[Stake]+BetTable[S2]+BetTable[S3])</f>
        <v>28</v>
      </c>
      <c r="X1124" s="164">
        <f>IF(BetTable[Odds]="","",(BetTable[WBA1-Commission])-BetTable[TS])</f>
        <v>28</v>
      </c>
      <c r="Y1124" s="168">
        <f>IF(BetTable[Outcome]="","",BetTable[WBA1]+BetTable[WBA2]+BetTable[WBA3]-BetTable[TS])</f>
        <v>-28</v>
      </c>
      <c r="Z1124" s="164">
        <f>(((BetTable[Odds]-1)*BetTable[Stake])*(1-(BetTable[Comm %]))+BetTable[Stake])</f>
        <v>56</v>
      </c>
      <c r="AA1124" s="164">
        <f>(((BetTable[O2]-1)*BetTable[S2])*(1-(BetTable[C% 2]))+BetTable[S2])</f>
        <v>0</v>
      </c>
      <c r="AB1124" s="164">
        <f>(((BetTable[O3]-1)*BetTable[S3])*(1-(BetTable[C% 3]))+BetTable[S3])</f>
        <v>0</v>
      </c>
      <c r="AC1124" s="165">
        <f>IFERROR(IF(BetTable[Sport]="","",BetTable[R1]/BetTable[TS]),"")</f>
        <v>1</v>
      </c>
      <c r="AD1124" s="165" t="str">
        <f>IF(BetTable[O2]="","",#REF!/BetTable[TS])</f>
        <v/>
      </c>
      <c r="AE1124" s="165" t="str">
        <f>IFERROR(IF(BetTable[Sport]="","",#REF!/BetTable[TS]),"")</f>
        <v/>
      </c>
      <c r="AF1124" s="164">
        <f>IF(BetTable[Outcome]="Win",BetTable[WBA1-Commission],IF(BetTable[Outcome]="Win Half Stake",(BetTable[Stake]/2)+BetTable[WBA1-Commission]/2,IF(BetTable[Outcome]="Lose Half Stake",BetTable[Stake]/2,IF(BetTable[Outcome]="Lose",0,IF(BetTable[Outcome]="Void",BetTable[Stake],)))))</f>
        <v>0</v>
      </c>
      <c r="AG1124" s="164">
        <f>IF(BetTable[Outcome2]="Win",BetTable[WBA2-Commission],IF(BetTable[Outcome2]="Win Half Stake",(BetTable[S2]/2)+BetTable[WBA2-Commission]/2,IF(BetTable[Outcome2]="Lose Half Stake",BetTable[S2]/2,IF(BetTable[Outcome2]="Lose",0,IF(BetTable[Outcome2]="Void",BetTable[S2],)))))</f>
        <v>0</v>
      </c>
      <c r="AH1124" s="164">
        <f>IF(BetTable[Outcome3]="Win",BetTable[WBA3-Commission],IF(BetTable[Outcome3]="Win Half Stake",(BetTable[S3]/2)+BetTable[WBA3-Commission]/2,IF(BetTable[Outcome3]="Lose Half Stake",BetTable[S3]/2,IF(BetTable[Outcome3]="Lose",0,IF(BetTable[Outcome3]="Void",BetTable[S3],)))))</f>
        <v>0</v>
      </c>
      <c r="AI1124" s="168">
        <f>IF(BetTable[Outcome]="",AI1123,BetTable[Result]+AI1123)</f>
        <v>2040.8867499999992</v>
      </c>
      <c r="AJ1124" s="160"/>
    </row>
    <row r="1125" spans="1:36" x14ac:dyDescent="0.2">
      <c r="A1125" s="159" t="s">
        <v>2791</v>
      </c>
      <c r="B1125" s="160" t="s">
        <v>8</v>
      </c>
      <c r="C1125" s="161" t="s">
        <v>91</v>
      </c>
      <c r="D1125" s="161"/>
      <c r="E1125" s="161"/>
      <c r="F1125" s="162"/>
      <c r="G1125" s="162"/>
      <c r="H1125" s="162"/>
      <c r="I1125" s="160" t="s">
        <v>2792</v>
      </c>
      <c r="J1125" s="163">
        <v>1.98</v>
      </c>
      <c r="K1125" s="163"/>
      <c r="L1125" s="163"/>
      <c r="M1125" s="164">
        <v>32</v>
      </c>
      <c r="N1125" s="164"/>
      <c r="O1125" s="164"/>
      <c r="P1125" s="159" t="s">
        <v>428</v>
      </c>
      <c r="Q1125" s="159" t="s">
        <v>1657</v>
      </c>
      <c r="R1125" s="159" t="s">
        <v>2793</v>
      </c>
      <c r="S1125" s="165">
        <v>3.4873728794674298E-2</v>
      </c>
      <c r="T1125" s="166" t="s">
        <v>382</v>
      </c>
      <c r="U1125" s="166"/>
      <c r="V1125" s="166"/>
      <c r="W1125" s="167">
        <f>IF(BetTable[Sport]="","",BetTable[Stake]+BetTable[S2]+BetTable[S3])</f>
        <v>32</v>
      </c>
      <c r="X1125" s="164">
        <f>IF(BetTable[Odds]="","",(BetTable[WBA1-Commission])-BetTable[TS])</f>
        <v>31.36</v>
      </c>
      <c r="Y1125" s="168">
        <f>IF(BetTable[Outcome]="","",BetTable[WBA1]+BetTable[WBA2]+BetTable[WBA3]-BetTable[TS])</f>
        <v>-32</v>
      </c>
      <c r="Z1125" s="164">
        <f>(((BetTable[Odds]-1)*BetTable[Stake])*(1-(BetTable[Comm %]))+BetTable[Stake])</f>
        <v>63.36</v>
      </c>
      <c r="AA1125" s="164">
        <f>(((BetTable[O2]-1)*BetTable[S2])*(1-(BetTable[C% 2]))+BetTable[S2])</f>
        <v>0</v>
      </c>
      <c r="AB1125" s="164">
        <f>(((BetTable[O3]-1)*BetTable[S3])*(1-(BetTable[C% 3]))+BetTable[S3])</f>
        <v>0</v>
      </c>
      <c r="AC1125" s="165">
        <f>IFERROR(IF(BetTable[Sport]="","",BetTable[R1]/BetTable[TS]),"")</f>
        <v>0.98</v>
      </c>
      <c r="AD1125" s="165" t="str">
        <f>IF(BetTable[O2]="","",#REF!/BetTable[TS])</f>
        <v/>
      </c>
      <c r="AE1125" s="165" t="str">
        <f>IFERROR(IF(BetTable[Sport]="","",#REF!/BetTable[TS]),"")</f>
        <v/>
      </c>
      <c r="AF1125" s="164">
        <f>IF(BetTable[Outcome]="Win",BetTable[WBA1-Commission],IF(BetTable[Outcome]="Win Half Stake",(BetTable[Stake]/2)+BetTable[WBA1-Commission]/2,IF(BetTable[Outcome]="Lose Half Stake",BetTable[Stake]/2,IF(BetTable[Outcome]="Lose",0,IF(BetTable[Outcome]="Void",BetTable[Stake],)))))</f>
        <v>0</v>
      </c>
      <c r="AG1125" s="164">
        <f>IF(BetTable[Outcome2]="Win",BetTable[WBA2-Commission],IF(BetTable[Outcome2]="Win Half Stake",(BetTable[S2]/2)+BetTable[WBA2-Commission]/2,IF(BetTable[Outcome2]="Lose Half Stake",BetTable[S2]/2,IF(BetTable[Outcome2]="Lose",0,IF(BetTable[Outcome2]="Void",BetTable[S2],)))))</f>
        <v>0</v>
      </c>
      <c r="AH1125" s="164">
        <f>IF(BetTable[Outcome3]="Win",BetTable[WBA3-Commission],IF(BetTable[Outcome3]="Win Half Stake",(BetTable[S3]/2)+BetTable[WBA3-Commission]/2,IF(BetTable[Outcome3]="Lose Half Stake",BetTable[S3]/2,IF(BetTable[Outcome3]="Lose",0,IF(BetTable[Outcome3]="Void",BetTable[S3],)))))</f>
        <v>0</v>
      </c>
      <c r="AI1125" s="168">
        <f>IF(BetTable[Outcome]="",AI1124,BetTable[Result]+AI1124)</f>
        <v>2008.8867499999992</v>
      </c>
      <c r="AJ1125" s="160"/>
    </row>
    <row r="1126" spans="1:36" x14ac:dyDescent="0.2">
      <c r="A1126" s="159" t="s">
        <v>2791</v>
      </c>
      <c r="B1126" s="160" t="s">
        <v>8</v>
      </c>
      <c r="C1126" s="161" t="s">
        <v>91</v>
      </c>
      <c r="D1126" s="161"/>
      <c r="E1126" s="161"/>
      <c r="F1126" s="162"/>
      <c r="G1126" s="162"/>
      <c r="H1126" s="162"/>
      <c r="I1126" s="160" t="s">
        <v>2794</v>
      </c>
      <c r="J1126" s="163">
        <v>2.16</v>
      </c>
      <c r="K1126" s="163"/>
      <c r="L1126" s="163"/>
      <c r="M1126" s="164">
        <v>26</v>
      </c>
      <c r="N1126" s="164"/>
      <c r="O1126" s="164"/>
      <c r="P1126" s="159" t="s">
        <v>435</v>
      </c>
      <c r="Q1126" s="159" t="s">
        <v>1171</v>
      </c>
      <c r="R1126" s="159" t="s">
        <v>2795</v>
      </c>
      <c r="S1126" s="165">
        <v>1.6795788687894699E-2</v>
      </c>
      <c r="T1126" s="166" t="s">
        <v>372</v>
      </c>
      <c r="U1126" s="166"/>
      <c r="V1126" s="166"/>
      <c r="W1126" s="167">
        <f>IF(BetTable[Sport]="","",BetTable[Stake]+BetTable[S2]+BetTable[S3])</f>
        <v>26</v>
      </c>
      <c r="X1126" s="164">
        <f>IF(BetTable[Odds]="","",(BetTable[WBA1-Commission])-BetTable[TS])</f>
        <v>30.160000000000004</v>
      </c>
      <c r="Y1126" s="168">
        <f>IF(BetTable[Outcome]="","",BetTable[WBA1]+BetTable[WBA2]+BetTable[WBA3]-BetTable[TS])</f>
        <v>30.160000000000004</v>
      </c>
      <c r="Z1126" s="164">
        <f>(((BetTable[Odds]-1)*BetTable[Stake])*(1-(BetTable[Comm %]))+BetTable[Stake])</f>
        <v>56.160000000000004</v>
      </c>
      <c r="AA1126" s="164">
        <f>(((BetTable[O2]-1)*BetTable[S2])*(1-(BetTable[C% 2]))+BetTable[S2])</f>
        <v>0</v>
      </c>
      <c r="AB1126" s="164">
        <f>(((BetTable[O3]-1)*BetTable[S3])*(1-(BetTable[C% 3]))+BetTable[S3])</f>
        <v>0</v>
      </c>
      <c r="AC1126" s="165">
        <f>IFERROR(IF(BetTable[Sport]="","",BetTable[R1]/BetTable[TS]),"")</f>
        <v>1.1600000000000001</v>
      </c>
      <c r="AD1126" s="165" t="str">
        <f>IF(BetTable[O2]="","",#REF!/BetTable[TS])</f>
        <v/>
      </c>
      <c r="AE1126" s="165" t="str">
        <f>IFERROR(IF(BetTable[Sport]="","",#REF!/BetTable[TS]),"")</f>
        <v/>
      </c>
      <c r="AF1126" s="164">
        <f>IF(BetTable[Outcome]="Win",BetTable[WBA1-Commission],IF(BetTable[Outcome]="Win Half Stake",(BetTable[Stake]/2)+BetTable[WBA1-Commission]/2,IF(BetTable[Outcome]="Lose Half Stake",BetTable[Stake]/2,IF(BetTable[Outcome]="Lose",0,IF(BetTable[Outcome]="Void",BetTable[Stake],)))))</f>
        <v>56.160000000000004</v>
      </c>
      <c r="AG1126" s="164">
        <f>IF(BetTable[Outcome2]="Win",BetTable[WBA2-Commission],IF(BetTable[Outcome2]="Win Half Stake",(BetTable[S2]/2)+BetTable[WBA2-Commission]/2,IF(BetTable[Outcome2]="Lose Half Stake",BetTable[S2]/2,IF(BetTable[Outcome2]="Lose",0,IF(BetTable[Outcome2]="Void",BetTable[S2],)))))</f>
        <v>0</v>
      </c>
      <c r="AH1126" s="164">
        <f>IF(BetTable[Outcome3]="Win",BetTable[WBA3-Commission],IF(BetTable[Outcome3]="Win Half Stake",(BetTable[S3]/2)+BetTable[WBA3-Commission]/2,IF(BetTable[Outcome3]="Lose Half Stake",BetTable[S3]/2,IF(BetTable[Outcome3]="Lose",0,IF(BetTable[Outcome3]="Void",BetTable[S3],)))))</f>
        <v>0</v>
      </c>
      <c r="AI1126" s="168">
        <f>IF(BetTable[Outcome]="",AI1125,BetTable[Result]+AI1125)</f>
        <v>2039.0467499999993</v>
      </c>
      <c r="AJ1126" s="160"/>
    </row>
    <row r="1127" spans="1:36" x14ac:dyDescent="0.2">
      <c r="A1127" s="159" t="s">
        <v>2791</v>
      </c>
      <c r="B1127" s="160" t="s">
        <v>200</v>
      </c>
      <c r="C1127" s="161" t="s">
        <v>1714</v>
      </c>
      <c r="D1127" s="161"/>
      <c r="E1127" s="161"/>
      <c r="F1127" s="162"/>
      <c r="G1127" s="162"/>
      <c r="H1127" s="162"/>
      <c r="I1127" s="160" t="s">
        <v>2796</v>
      </c>
      <c r="J1127" s="163">
        <v>1.88</v>
      </c>
      <c r="K1127" s="163"/>
      <c r="L1127" s="163"/>
      <c r="M1127" s="164">
        <v>80</v>
      </c>
      <c r="N1127" s="164"/>
      <c r="O1127" s="164"/>
      <c r="P1127" s="159" t="s">
        <v>1636</v>
      </c>
      <c r="Q1127" s="159" t="s">
        <v>677</v>
      </c>
      <c r="R1127" s="159" t="s">
        <v>2797</v>
      </c>
      <c r="S1127" s="165">
        <v>3.9543653646351998E-2</v>
      </c>
      <c r="T1127" s="166" t="s">
        <v>549</v>
      </c>
      <c r="U1127" s="166"/>
      <c r="V1127" s="166"/>
      <c r="W1127" s="167">
        <f>IF(BetTable[Sport]="","",BetTable[Stake]+BetTable[S2]+BetTable[S3])</f>
        <v>80</v>
      </c>
      <c r="X1127" s="164">
        <f>IF(BetTable[Odds]="","",(BetTable[WBA1-Commission])-BetTable[TS])</f>
        <v>70.399999999999977</v>
      </c>
      <c r="Y1127" s="168">
        <f>IF(BetTable[Outcome]="","",BetTable[WBA1]+BetTable[WBA2]+BetTable[WBA3]-BetTable[TS])</f>
        <v>-40</v>
      </c>
      <c r="Z1127" s="164">
        <f>(((BetTable[Odds]-1)*BetTable[Stake])*(1-(BetTable[Comm %]))+BetTable[Stake])</f>
        <v>150.39999999999998</v>
      </c>
      <c r="AA1127" s="164">
        <f>(((BetTable[O2]-1)*BetTable[S2])*(1-(BetTable[C% 2]))+BetTable[S2])</f>
        <v>0</v>
      </c>
      <c r="AB1127" s="164">
        <f>(((BetTable[O3]-1)*BetTable[S3])*(1-(BetTable[C% 3]))+BetTable[S3])</f>
        <v>0</v>
      </c>
      <c r="AC1127" s="165">
        <f>IFERROR(IF(BetTable[Sport]="","",BetTable[R1]/BetTable[TS]),"")</f>
        <v>0.87999999999999967</v>
      </c>
      <c r="AD1127" s="165" t="str">
        <f>IF(BetTable[O2]="","",#REF!/BetTable[TS])</f>
        <v/>
      </c>
      <c r="AE1127" s="165" t="str">
        <f>IFERROR(IF(BetTable[Sport]="","",#REF!/BetTable[TS]),"")</f>
        <v/>
      </c>
      <c r="AF1127" s="164">
        <f>IF(BetTable[Outcome]="Win",BetTable[WBA1-Commission],IF(BetTable[Outcome]="Win Half Stake",(BetTable[Stake]/2)+BetTable[WBA1-Commission]/2,IF(BetTable[Outcome]="Lose Half Stake",BetTable[Stake]/2,IF(BetTable[Outcome]="Lose",0,IF(BetTable[Outcome]="Void",BetTable[Stake],)))))</f>
        <v>40</v>
      </c>
      <c r="AG1127" s="164">
        <f>IF(BetTable[Outcome2]="Win",BetTable[WBA2-Commission],IF(BetTable[Outcome2]="Win Half Stake",(BetTable[S2]/2)+BetTable[WBA2-Commission]/2,IF(BetTable[Outcome2]="Lose Half Stake",BetTable[S2]/2,IF(BetTable[Outcome2]="Lose",0,IF(BetTable[Outcome2]="Void",BetTable[S2],)))))</f>
        <v>0</v>
      </c>
      <c r="AH1127" s="164">
        <f>IF(BetTable[Outcome3]="Win",BetTable[WBA3-Commission],IF(BetTable[Outcome3]="Win Half Stake",(BetTable[S3]/2)+BetTable[WBA3-Commission]/2,IF(BetTable[Outcome3]="Lose Half Stake",BetTable[S3]/2,IF(BetTable[Outcome3]="Lose",0,IF(BetTable[Outcome3]="Void",BetTable[S3],)))))</f>
        <v>0</v>
      </c>
      <c r="AI1127" s="168">
        <f>IF(BetTable[Outcome]="",AI1126,BetTable[Result]+AI1126)</f>
        <v>1999.0467499999993</v>
      </c>
      <c r="AJ1127" s="160"/>
    </row>
    <row r="1128" spans="1:36" x14ac:dyDescent="0.2">
      <c r="A1128" s="232" t="s">
        <v>2791</v>
      </c>
      <c r="B1128" s="233" t="s">
        <v>7</v>
      </c>
      <c r="C1128" s="234" t="s">
        <v>216</v>
      </c>
      <c r="D1128" s="234"/>
      <c r="E1128" s="234"/>
      <c r="F1128" s="235"/>
      <c r="G1128" s="235"/>
      <c r="H1128" s="235"/>
      <c r="I1128" s="233" t="s">
        <v>2798</v>
      </c>
      <c r="J1128" s="236">
        <v>1.909</v>
      </c>
      <c r="K1128" s="236"/>
      <c r="L1128" s="236"/>
      <c r="M1128" s="237">
        <v>62</v>
      </c>
      <c r="N1128" s="237"/>
      <c r="O1128" s="237"/>
      <c r="P1128" s="232" t="s">
        <v>2799</v>
      </c>
      <c r="Q1128" s="232" t="s">
        <v>466</v>
      </c>
      <c r="R1128" s="232" t="s">
        <v>2800</v>
      </c>
      <c r="S1128" s="238">
        <v>3.1465418353576198E-2</v>
      </c>
      <c r="T1128" s="239" t="s">
        <v>372</v>
      </c>
      <c r="U1128" s="239"/>
      <c r="V1128" s="239"/>
      <c r="W1128" s="240">
        <f>IF(BetTable[Sport]="","",BetTable[Stake]+BetTable[S2]+BetTable[S3])</f>
        <v>62</v>
      </c>
      <c r="X1128" s="237">
        <f>IF(BetTable[Odds]="","",(BetTable[WBA1-Commission])-BetTable[TS])</f>
        <v>56.358000000000004</v>
      </c>
      <c r="Y1128" s="241">
        <f>IF(BetTable[Outcome]="","",BetTable[WBA1]+BetTable[WBA2]+BetTable[WBA3]-BetTable[TS])</f>
        <v>56.358000000000004</v>
      </c>
      <c r="Z1128" s="237">
        <f>(((BetTable[Odds]-1)*BetTable[Stake])*(1-(BetTable[Comm %]))+BetTable[Stake])</f>
        <v>118.358</v>
      </c>
      <c r="AA1128" s="237">
        <f>(((BetTable[O2]-1)*BetTable[S2])*(1-(BetTable[C% 2]))+BetTable[S2])</f>
        <v>0</v>
      </c>
      <c r="AB1128" s="237">
        <f>(((BetTable[O3]-1)*BetTable[S3])*(1-(BetTable[C% 3]))+BetTable[S3])</f>
        <v>0</v>
      </c>
      <c r="AC1128" s="238">
        <f>IFERROR(IF(BetTable[Sport]="","",BetTable[R1]/BetTable[TS]),"")</f>
        <v>0.90900000000000003</v>
      </c>
      <c r="AD1128" s="238" t="str">
        <f>IF(BetTable[O2]="","",#REF!/BetTable[TS])</f>
        <v/>
      </c>
      <c r="AE1128" s="238" t="str">
        <f>IFERROR(IF(BetTable[Sport]="","",#REF!/BetTable[TS]),"")</f>
        <v/>
      </c>
      <c r="AF1128" s="237">
        <f>IF(BetTable[Outcome]="Win",BetTable[WBA1-Commission],IF(BetTable[Outcome]="Win Half Stake",(BetTable[Stake]/2)+BetTable[WBA1-Commission]/2,IF(BetTable[Outcome]="Lose Half Stake",BetTable[Stake]/2,IF(BetTable[Outcome]="Lose",0,IF(BetTable[Outcome]="Void",BetTable[Stake],)))))</f>
        <v>118.358</v>
      </c>
      <c r="AG1128" s="237">
        <f>IF(BetTable[Outcome2]="Win",BetTable[WBA2-Commission],IF(BetTable[Outcome2]="Win Half Stake",(BetTable[S2]/2)+BetTable[WBA2-Commission]/2,IF(BetTable[Outcome2]="Lose Half Stake",BetTable[S2]/2,IF(BetTable[Outcome2]="Lose",0,IF(BetTable[Outcome2]="Void",BetTable[S2],)))))</f>
        <v>0</v>
      </c>
      <c r="AH1128" s="237">
        <f>IF(BetTable[Outcome3]="Win",BetTable[WBA3-Commission],IF(BetTable[Outcome3]="Win Half Stake",(BetTable[S3]/2)+BetTable[WBA3-Commission]/2,IF(BetTable[Outcome3]="Lose Half Stake",BetTable[S3]/2,IF(BetTable[Outcome3]="Lose",0,IF(BetTable[Outcome3]="Void",BetTable[S3],)))))</f>
        <v>0</v>
      </c>
      <c r="AI1128" s="241">
        <f>IF(BetTable[Outcome]="",AI1127,BetTable[Result]+AI1127)</f>
        <v>2055.4047499999992</v>
      </c>
      <c r="AJ1128" s="233"/>
    </row>
    <row r="1129" spans="1:36" x14ac:dyDescent="0.2">
      <c r="A1129" s="232" t="s">
        <v>2791</v>
      </c>
      <c r="B1129" s="233" t="s">
        <v>7</v>
      </c>
      <c r="C1129" s="234" t="s">
        <v>91</v>
      </c>
      <c r="D1129" s="234"/>
      <c r="E1129" s="234"/>
      <c r="F1129" s="235"/>
      <c r="G1129" s="235"/>
      <c r="H1129" s="235"/>
      <c r="I1129" s="233" t="s">
        <v>2801</v>
      </c>
      <c r="J1129" s="236">
        <v>1.86</v>
      </c>
      <c r="K1129" s="236"/>
      <c r="L1129" s="236"/>
      <c r="M1129" s="237">
        <v>55</v>
      </c>
      <c r="N1129" s="237"/>
      <c r="O1129" s="237"/>
      <c r="P1129" s="232" t="s">
        <v>2267</v>
      </c>
      <c r="Q1129" s="232" t="s">
        <v>1205</v>
      </c>
      <c r="R1129" s="232" t="s">
        <v>2802</v>
      </c>
      <c r="S1129" s="238">
        <v>2.6425628744572199E-2</v>
      </c>
      <c r="T1129" s="239" t="s">
        <v>372</v>
      </c>
      <c r="U1129" s="239"/>
      <c r="V1129" s="239"/>
      <c r="W1129" s="240">
        <f>IF(BetTable[Sport]="","",BetTable[Stake]+BetTable[S2]+BetTable[S3])</f>
        <v>55</v>
      </c>
      <c r="X1129" s="237">
        <f>IF(BetTable[Odds]="","",(BetTable[WBA1-Commission])-BetTable[TS])</f>
        <v>47.300000000000011</v>
      </c>
      <c r="Y1129" s="241">
        <f>IF(BetTable[Outcome]="","",BetTable[WBA1]+BetTable[WBA2]+BetTable[WBA3]-BetTable[TS])</f>
        <v>47.300000000000011</v>
      </c>
      <c r="Z1129" s="237">
        <f>(((BetTable[Odds]-1)*BetTable[Stake])*(1-(BetTable[Comm %]))+BetTable[Stake])</f>
        <v>102.30000000000001</v>
      </c>
      <c r="AA1129" s="237">
        <f>(((BetTable[O2]-1)*BetTable[S2])*(1-(BetTable[C% 2]))+BetTable[S2])</f>
        <v>0</v>
      </c>
      <c r="AB1129" s="237">
        <f>(((BetTable[O3]-1)*BetTable[S3])*(1-(BetTable[C% 3]))+BetTable[S3])</f>
        <v>0</v>
      </c>
      <c r="AC1129" s="238">
        <f>IFERROR(IF(BetTable[Sport]="","",BetTable[R1]/BetTable[TS]),"")</f>
        <v>0.86000000000000021</v>
      </c>
      <c r="AD1129" s="238" t="str">
        <f>IF(BetTable[O2]="","",#REF!/BetTable[TS])</f>
        <v/>
      </c>
      <c r="AE1129" s="238" t="str">
        <f>IFERROR(IF(BetTable[Sport]="","",#REF!/BetTable[TS]),"")</f>
        <v/>
      </c>
      <c r="AF1129" s="237">
        <f>IF(BetTable[Outcome]="Win",BetTable[WBA1-Commission],IF(BetTable[Outcome]="Win Half Stake",(BetTable[Stake]/2)+BetTable[WBA1-Commission]/2,IF(BetTable[Outcome]="Lose Half Stake",BetTable[Stake]/2,IF(BetTable[Outcome]="Lose",0,IF(BetTable[Outcome]="Void",BetTable[Stake],)))))</f>
        <v>102.30000000000001</v>
      </c>
      <c r="AG1129" s="237">
        <f>IF(BetTable[Outcome2]="Win",BetTable[WBA2-Commission],IF(BetTable[Outcome2]="Win Half Stake",(BetTable[S2]/2)+BetTable[WBA2-Commission]/2,IF(BetTable[Outcome2]="Lose Half Stake",BetTable[S2]/2,IF(BetTable[Outcome2]="Lose",0,IF(BetTable[Outcome2]="Void",BetTable[S2],)))))</f>
        <v>0</v>
      </c>
      <c r="AH1129" s="237">
        <f>IF(BetTable[Outcome3]="Win",BetTable[WBA3-Commission],IF(BetTable[Outcome3]="Win Half Stake",(BetTable[S3]/2)+BetTable[WBA3-Commission]/2,IF(BetTable[Outcome3]="Lose Half Stake",BetTable[S3]/2,IF(BetTable[Outcome3]="Lose",0,IF(BetTable[Outcome3]="Void",BetTable[S3],)))))</f>
        <v>0</v>
      </c>
      <c r="AI1129" s="241">
        <f>IF(BetTable[Outcome]="",AI1128,BetTable[Result]+AI1128)</f>
        <v>2102.7047499999994</v>
      </c>
      <c r="AJ1129" s="233"/>
    </row>
    <row r="1130" spans="1:36" x14ac:dyDescent="0.2">
      <c r="A1130" s="232" t="s">
        <v>2791</v>
      </c>
      <c r="B1130" s="233" t="s">
        <v>7</v>
      </c>
      <c r="C1130" s="234" t="s">
        <v>91</v>
      </c>
      <c r="D1130" s="234"/>
      <c r="E1130" s="234"/>
      <c r="F1130" s="235"/>
      <c r="G1130" s="235"/>
      <c r="H1130" s="235"/>
      <c r="I1130" s="233" t="s">
        <v>2801</v>
      </c>
      <c r="J1130" s="236">
        <v>1.92</v>
      </c>
      <c r="K1130" s="236"/>
      <c r="L1130" s="236"/>
      <c r="M1130" s="237">
        <v>51</v>
      </c>
      <c r="N1130" s="237"/>
      <c r="O1130" s="237"/>
      <c r="P1130" s="232" t="s">
        <v>2803</v>
      </c>
      <c r="Q1130" s="232" t="s">
        <v>1205</v>
      </c>
      <c r="R1130" s="232" t="s">
        <v>2804</v>
      </c>
      <c r="S1130" s="238">
        <v>2.62055781244665E-2</v>
      </c>
      <c r="T1130" s="239" t="s">
        <v>372</v>
      </c>
      <c r="U1130" s="239"/>
      <c r="V1130" s="239"/>
      <c r="W1130" s="240">
        <f>IF(BetTable[Sport]="","",BetTable[Stake]+BetTable[S2]+BetTable[S3])</f>
        <v>51</v>
      </c>
      <c r="X1130" s="237">
        <f>IF(BetTable[Odds]="","",(BetTable[WBA1-Commission])-BetTable[TS])</f>
        <v>46.919999999999987</v>
      </c>
      <c r="Y1130" s="241">
        <f>IF(BetTable[Outcome]="","",BetTable[WBA1]+BetTable[WBA2]+BetTable[WBA3]-BetTable[TS])</f>
        <v>46.919999999999987</v>
      </c>
      <c r="Z1130" s="237">
        <f>(((BetTable[Odds]-1)*BetTable[Stake])*(1-(BetTable[Comm %]))+BetTable[Stake])</f>
        <v>97.919999999999987</v>
      </c>
      <c r="AA1130" s="237">
        <f>(((BetTable[O2]-1)*BetTable[S2])*(1-(BetTable[C% 2]))+BetTable[S2])</f>
        <v>0</v>
      </c>
      <c r="AB1130" s="237">
        <f>(((BetTable[O3]-1)*BetTable[S3])*(1-(BetTable[C% 3]))+BetTable[S3])</f>
        <v>0</v>
      </c>
      <c r="AC1130" s="238">
        <f>IFERROR(IF(BetTable[Sport]="","",BetTable[R1]/BetTable[TS]),"")</f>
        <v>0.91999999999999971</v>
      </c>
      <c r="AD1130" s="238" t="str">
        <f>IF(BetTable[O2]="","",#REF!/BetTable[TS])</f>
        <v/>
      </c>
      <c r="AE1130" s="238" t="str">
        <f>IFERROR(IF(BetTable[Sport]="","",#REF!/BetTable[TS]),"")</f>
        <v/>
      </c>
      <c r="AF1130" s="237">
        <f>IF(BetTable[Outcome]="Win",BetTable[WBA1-Commission],IF(BetTable[Outcome]="Win Half Stake",(BetTable[Stake]/2)+BetTable[WBA1-Commission]/2,IF(BetTable[Outcome]="Lose Half Stake",BetTable[Stake]/2,IF(BetTable[Outcome]="Lose",0,IF(BetTable[Outcome]="Void",BetTable[Stake],)))))</f>
        <v>97.919999999999987</v>
      </c>
      <c r="AG1130" s="237">
        <f>IF(BetTable[Outcome2]="Win",BetTable[WBA2-Commission],IF(BetTable[Outcome2]="Win Half Stake",(BetTable[S2]/2)+BetTable[WBA2-Commission]/2,IF(BetTable[Outcome2]="Lose Half Stake",BetTable[S2]/2,IF(BetTable[Outcome2]="Lose",0,IF(BetTable[Outcome2]="Void",BetTable[S2],)))))</f>
        <v>0</v>
      </c>
      <c r="AH1130" s="237">
        <f>IF(BetTable[Outcome3]="Win",BetTable[WBA3-Commission],IF(BetTable[Outcome3]="Win Half Stake",(BetTable[S3]/2)+BetTable[WBA3-Commission]/2,IF(BetTable[Outcome3]="Lose Half Stake",BetTable[S3]/2,IF(BetTable[Outcome3]="Lose",0,IF(BetTable[Outcome3]="Void",BetTable[S3],)))))</f>
        <v>0</v>
      </c>
      <c r="AI1130" s="241">
        <f>IF(BetTable[Outcome]="",AI1129,BetTable[Result]+AI1129)</f>
        <v>2149.6247499999995</v>
      </c>
      <c r="AJ1130" s="233"/>
    </row>
    <row r="1131" spans="1:36" x14ac:dyDescent="0.2">
      <c r="A1131" s="159" t="s">
        <v>2791</v>
      </c>
      <c r="B1131" s="160" t="s">
        <v>7</v>
      </c>
      <c r="C1131" s="161" t="s">
        <v>216</v>
      </c>
      <c r="D1131" s="161"/>
      <c r="E1131" s="161"/>
      <c r="F1131" s="162"/>
      <c r="G1131" s="162"/>
      <c r="H1131" s="162"/>
      <c r="I1131" s="160" t="s">
        <v>2805</v>
      </c>
      <c r="J1131" s="163">
        <v>1.909</v>
      </c>
      <c r="K1131" s="163"/>
      <c r="L1131" s="163"/>
      <c r="M1131" s="164">
        <v>42</v>
      </c>
      <c r="N1131" s="164"/>
      <c r="O1131" s="164"/>
      <c r="P1131" s="159" t="s">
        <v>2806</v>
      </c>
      <c r="Q1131" s="159" t="s">
        <v>1101</v>
      </c>
      <c r="R1131" s="159" t="s">
        <v>2807</v>
      </c>
      <c r="S1131" s="165">
        <v>2.1428263214670899E-2</v>
      </c>
      <c r="T1131" s="166" t="s">
        <v>372</v>
      </c>
      <c r="U1131" s="166"/>
      <c r="V1131" s="166"/>
      <c r="W1131" s="167">
        <f>IF(BetTable[Sport]="","",BetTable[Stake]+BetTable[S2]+BetTable[S3])</f>
        <v>42</v>
      </c>
      <c r="X1131" s="164">
        <f>IF(BetTable[Odds]="","",(BetTable[WBA1-Commission])-BetTable[TS])</f>
        <v>38.177999999999997</v>
      </c>
      <c r="Y1131" s="168">
        <f>IF(BetTable[Outcome]="","",BetTable[WBA1]+BetTable[WBA2]+BetTable[WBA3]-BetTable[TS])</f>
        <v>38.177999999999997</v>
      </c>
      <c r="Z1131" s="164">
        <f>(((BetTable[Odds]-1)*BetTable[Stake])*(1-(BetTable[Comm %]))+BetTable[Stake])</f>
        <v>80.177999999999997</v>
      </c>
      <c r="AA1131" s="164">
        <f>(((BetTable[O2]-1)*BetTable[S2])*(1-(BetTable[C% 2]))+BetTable[S2])</f>
        <v>0</v>
      </c>
      <c r="AB1131" s="164">
        <f>(((BetTable[O3]-1)*BetTable[S3])*(1-(BetTable[C% 3]))+BetTable[S3])</f>
        <v>0</v>
      </c>
      <c r="AC1131" s="165">
        <f>IFERROR(IF(BetTable[Sport]="","",BetTable[R1]/BetTable[TS]),"")</f>
        <v>0.90899999999999992</v>
      </c>
      <c r="AD1131" s="165" t="str">
        <f>IF(BetTable[O2]="","",#REF!/BetTable[TS])</f>
        <v/>
      </c>
      <c r="AE1131" s="165" t="str">
        <f>IFERROR(IF(BetTable[Sport]="","",#REF!/BetTable[TS]),"")</f>
        <v/>
      </c>
      <c r="AF1131" s="164">
        <f>IF(BetTable[Outcome]="Win",BetTable[WBA1-Commission],IF(BetTable[Outcome]="Win Half Stake",(BetTable[Stake]/2)+BetTable[WBA1-Commission]/2,IF(BetTable[Outcome]="Lose Half Stake",BetTable[Stake]/2,IF(BetTable[Outcome]="Lose",0,IF(BetTable[Outcome]="Void",BetTable[Stake],)))))</f>
        <v>80.177999999999997</v>
      </c>
      <c r="AG1131" s="164">
        <f>IF(BetTable[Outcome2]="Win",BetTable[WBA2-Commission],IF(BetTable[Outcome2]="Win Half Stake",(BetTable[S2]/2)+BetTable[WBA2-Commission]/2,IF(BetTable[Outcome2]="Lose Half Stake",BetTable[S2]/2,IF(BetTable[Outcome2]="Lose",0,IF(BetTable[Outcome2]="Void",BetTable[S2],)))))</f>
        <v>0</v>
      </c>
      <c r="AH1131" s="164">
        <f>IF(BetTable[Outcome3]="Win",BetTable[WBA3-Commission],IF(BetTable[Outcome3]="Win Half Stake",(BetTable[S3]/2)+BetTable[WBA3-Commission]/2,IF(BetTable[Outcome3]="Lose Half Stake",BetTable[S3]/2,IF(BetTable[Outcome3]="Lose",0,IF(BetTable[Outcome3]="Void",BetTable[S3],)))))</f>
        <v>0</v>
      </c>
      <c r="AI1131" s="168">
        <f>IF(BetTable[Outcome]="",AI1130,BetTable[Result]+AI1130)</f>
        <v>2187.8027499999994</v>
      </c>
      <c r="AJ1131" s="160"/>
    </row>
    <row r="1132" spans="1:36" x14ac:dyDescent="0.2">
      <c r="A1132" s="159" t="s">
        <v>2791</v>
      </c>
      <c r="B1132" s="160" t="s">
        <v>7</v>
      </c>
      <c r="C1132" s="161" t="s">
        <v>216</v>
      </c>
      <c r="D1132" s="161"/>
      <c r="E1132" s="161"/>
      <c r="F1132" s="162"/>
      <c r="G1132" s="162"/>
      <c r="H1132" s="162"/>
      <c r="I1132" s="160" t="s">
        <v>2808</v>
      </c>
      <c r="J1132" s="163">
        <v>1.909</v>
      </c>
      <c r="K1132" s="163"/>
      <c r="L1132" s="163"/>
      <c r="M1132" s="164">
        <v>55</v>
      </c>
      <c r="N1132" s="164"/>
      <c r="O1132" s="164"/>
      <c r="P1132" s="159" t="s">
        <v>2809</v>
      </c>
      <c r="Q1132" s="159" t="s">
        <v>968</v>
      </c>
      <c r="R1132" s="159" t="s">
        <v>2810</v>
      </c>
      <c r="S1132" s="165">
        <v>6.1920798315866797E-2</v>
      </c>
      <c r="T1132" s="166" t="s">
        <v>382</v>
      </c>
      <c r="U1132" s="166"/>
      <c r="V1132" s="166"/>
      <c r="W1132" s="167">
        <f>IF(BetTable[Sport]="","",BetTable[Stake]+BetTable[S2]+BetTable[S3])</f>
        <v>55</v>
      </c>
      <c r="X1132" s="164">
        <f>IF(BetTable[Odds]="","",(BetTable[WBA1-Commission])-BetTable[TS])</f>
        <v>49.995000000000005</v>
      </c>
      <c r="Y1132" s="168">
        <f>IF(BetTable[Outcome]="","",BetTable[WBA1]+BetTable[WBA2]+BetTable[WBA3]-BetTable[TS])</f>
        <v>-55</v>
      </c>
      <c r="Z1132" s="164">
        <f>(((BetTable[Odds]-1)*BetTable[Stake])*(1-(BetTable[Comm %]))+BetTable[Stake])</f>
        <v>104.995</v>
      </c>
      <c r="AA1132" s="164">
        <f>(((BetTable[O2]-1)*BetTable[S2])*(1-(BetTable[C% 2]))+BetTable[S2])</f>
        <v>0</v>
      </c>
      <c r="AB1132" s="164">
        <f>(((BetTable[O3]-1)*BetTable[S3])*(1-(BetTable[C% 3]))+BetTable[S3])</f>
        <v>0</v>
      </c>
      <c r="AC1132" s="165">
        <f>IFERROR(IF(BetTable[Sport]="","",BetTable[R1]/BetTable[TS]),"")</f>
        <v>0.90900000000000003</v>
      </c>
      <c r="AD1132" s="165" t="str">
        <f>IF(BetTable[O2]="","",#REF!/BetTable[TS])</f>
        <v/>
      </c>
      <c r="AE1132" s="165" t="str">
        <f>IFERROR(IF(BetTable[Sport]="","",#REF!/BetTable[TS]),"")</f>
        <v/>
      </c>
      <c r="AF1132" s="164">
        <f>IF(BetTable[Outcome]="Win",BetTable[WBA1-Commission],IF(BetTable[Outcome]="Win Half Stake",(BetTable[Stake]/2)+BetTable[WBA1-Commission]/2,IF(BetTable[Outcome]="Lose Half Stake",BetTable[Stake]/2,IF(BetTable[Outcome]="Lose",0,IF(BetTable[Outcome]="Void",BetTable[Stake],)))))</f>
        <v>0</v>
      </c>
      <c r="AG1132" s="164">
        <f>IF(BetTable[Outcome2]="Win",BetTable[WBA2-Commission],IF(BetTable[Outcome2]="Win Half Stake",(BetTable[S2]/2)+BetTable[WBA2-Commission]/2,IF(BetTable[Outcome2]="Lose Half Stake",BetTable[S2]/2,IF(BetTable[Outcome2]="Lose",0,IF(BetTable[Outcome2]="Void",BetTable[S2],)))))</f>
        <v>0</v>
      </c>
      <c r="AH1132" s="164">
        <f>IF(BetTable[Outcome3]="Win",BetTable[WBA3-Commission],IF(BetTable[Outcome3]="Win Half Stake",(BetTable[S3]/2)+BetTable[WBA3-Commission]/2,IF(BetTable[Outcome3]="Lose Half Stake",BetTable[S3]/2,IF(BetTable[Outcome3]="Lose",0,IF(BetTable[Outcome3]="Void",BetTable[S3],)))))</f>
        <v>0</v>
      </c>
      <c r="AI1132" s="168">
        <f>IF(BetTable[Outcome]="",AI1131,BetTable[Result]+AI1131)</f>
        <v>2132.8027499999994</v>
      </c>
      <c r="AJ1132" s="160"/>
    </row>
    <row r="1133" spans="1:36" x14ac:dyDescent="0.2">
      <c r="A1133" s="159" t="s">
        <v>2791</v>
      </c>
      <c r="B1133" s="160" t="s">
        <v>7</v>
      </c>
      <c r="C1133" s="161" t="s">
        <v>216</v>
      </c>
      <c r="D1133" s="161"/>
      <c r="E1133" s="161"/>
      <c r="F1133" s="162"/>
      <c r="G1133" s="162"/>
      <c r="H1133" s="162"/>
      <c r="I1133" s="160" t="s">
        <v>2811</v>
      </c>
      <c r="J1133" s="163">
        <v>1.909</v>
      </c>
      <c r="K1133" s="163"/>
      <c r="L1133" s="163"/>
      <c r="M1133" s="164">
        <v>55</v>
      </c>
      <c r="N1133" s="164"/>
      <c r="O1133" s="164"/>
      <c r="P1133" s="159" t="s">
        <v>2812</v>
      </c>
      <c r="Q1133" s="159" t="s">
        <v>1205</v>
      </c>
      <c r="R1133" s="159" t="s">
        <v>2813</v>
      </c>
      <c r="S1133" s="165">
        <v>7.5431138748128304E-2</v>
      </c>
      <c r="T1133" s="166" t="s">
        <v>382</v>
      </c>
      <c r="U1133" s="166"/>
      <c r="V1133" s="166"/>
      <c r="W1133" s="167">
        <f>IF(BetTable[Sport]="","",BetTable[Stake]+BetTable[S2]+BetTable[S3])</f>
        <v>55</v>
      </c>
      <c r="X1133" s="164">
        <f>IF(BetTable[Odds]="","",(BetTable[WBA1-Commission])-BetTable[TS])</f>
        <v>49.995000000000005</v>
      </c>
      <c r="Y1133" s="168">
        <f>IF(BetTable[Outcome]="","",BetTable[WBA1]+BetTable[WBA2]+BetTable[WBA3]-BetTable[TS])</f>
        <v>-55</v>
      </c>
      <c r="Z1133" s="164">
        <f>(((BetTable[Odds]-1)*BetTable[Stake])*(1-(BetTable[Comm %]))+BetTable[Stake])</f>
        <v>104.995</v>
      </c>
      <c r="AA1133" s="164">
        <f>(((BetTable[O2]-1)*BetTable[S2])*(1-(BetTable[C% 2]))+BetTable[S2])</f>
        <v>0</v>
      </c>
      <c r="AB1133" s="164">
        <f>(((BetTable[O3]-1)*BetTable[S3])*(1-(BetTable[C% 3]))+BetTable[S3])</f>
        <v>0</v>
      </c>
      <c r="AC1133" s="165">
        <f>IFERROR(IF(BetTable[Sport]="","",BetTable[R1]/BetTable[TS]),"")</f>
        <v>0.90900000000000003</v>
      </c>
      <c r="AD1133" s="165" t="str">
        <f>IF(BetTable[O2]="","",#REF!/BetTable[TS])</f>
        <v/>
      </c>
      <c r="AE1133" s="165" t="str">
        <f>IFERROR(IF(BetTable[Sport]="","",#REF!/BetTable[TS]),"")</f>
        <v/>
      </c>
      <c r="AF1133" s="164">
        <f>IF(BetTable[Outcome]="Win",BetTable[WBA1-Commission],IF(BetTable[Outcome]="Win Half Stake",(BetTable[Stake]/2)+BetTable[WBA1-Commission]/2,IF(BetTable[Outcome]="Lose Half Stake",BetTable[Stake]/2,IF(BetTable[Outcome]="Lose",0,IF(BetTable[Outcome]="Void",BetTable[Stake],)))))</f>
        <v>0</v>
      </c>
      <c r="AG1133" s="164">
        <f>IF(BetTable[Outcome2]="Win",BetTable[WBA2-Commission],IF(BetTable[Outcome2]="Win Half Stake",(BetTable[S2]/2)+BetTable[WBA2-Commission]/2,IF(BetTable[Outcome2]="Lose Half Stake",BetTable[S2]/2,IF(BetTable[Outcome2]="Lose",0,IF(BetTable[Outcome2]="Void",BetTable[S2],)))))</f>
        <v>0</v>
      </c>
      <c r="AH1133" s="164">
        <f>IF(BetTable[Outcome3]="Win",BetTable[WBA3-Commission],IF(BetTable[Outcome3]="Win Half Stake",(BetTable[S3]/2)+BetTable[WBA3-Commission]/2,IF(BetTable[Outcome3]="Lose Half Stake",BetTable[S3]/2,IF(BetTable[Outcome3]="Lose",0,IF(BetTable[Outcome3]="Void",BetTable[S3],)))))</f>
        <v>0</v>
      </c>
      <c r="AI1133" s="168">
        <f>IF(BetTable[Outcome]="",AI1132,BetTable[Result]+AI1132)</f>
        <v>2077.8027499999994</v>
      </c>
      <c r="AJ1133" s="160"/>
    </row>
    <row r="1134" spans="1:36" x14ac:dyDescent="0.2">
      <c r="A1134" s="159" t="s">
        <v>2791</v>
      </c>
      <c r="B1134" s="160" t="s">
        <v>200</v>
      </c>
      <c r="C1134" s="161" t="s">
        <v>1714</v>
      </c>
      <c r="D1134" s="161"/>
      <c r="E1134" s="161"/>
      <c r="F1134" s="162"/>
      <c r="G1134" s="162"/>
      <c r="H1134" s="162"/>
      <c r="I1134" s="160" t="s">
        <v>2814</v>
      </c>
      <c r="J1134" s="163">
        <v>1.9</v>
      </c>
      <c r="K1134" s="163"/>
      <c r="L1134" s="163"/>
      <c r="M1134" s="164">
        <v>71</v>
      </c>
      <c r="N1134" s="164"/>
      <c r="O1134" s="164"/>
      <c r="P1134" s="159" t="s">
        <v>448</v>
      </c>
      <c r="Q1134" s="159" t="s">
        <v>429</v>
      </c>
      <c r="R1134" s="159" t="s">
        <v>2815</v>
      </c>
      <c r="S1134" s="165">
        <v>3.57405339818486E-2</v>
      </c>
      <c r="T1134" s="166" t="s">
        <v>372</v>
      </c>
      <c r="U1134" s="166"/>
      <c r="V1134" s="166"/>
      <c r="W1134" s="167">
        <f>IF(BetTable[Sport]="","",BetTable[Stake]+BetTable[S2]+BetTable[S3])</f>
        <v>71</v>
      </c>
      <c r="X1134" s="164">
        <f>IF(BetTable[Odds]="","",(BetTable[WBA1-Commission])-BetTable[TS])</f>
        <v>63.899999999999977</v>
      </c>
      <c r="Y1134" s="168">
        <f>IF(BetTable[Outcome]="","",BetTable[WBA1]+BetTable[WBA2]+BetTable[WBA3]-BetTable[TS])</f>
        <v>63.899999999999977</v>
      </c>
      <c r="Z1134" s="164">
        <f>(((BetTable[Odds]-1)*BetTable[Stake])*(1-(BetTable[Comm %]))+BetTable[Stake])</f>
        <v>134.89999999999998</v>
      </c>
      <c r="AA1134" s="164">
        <f>(((BetTable[O2]-1)*BetTable[S2])*(1-(BetTable[C% 2]))+BetTable[S2])</f>
        <v>0</v>
      </c>
      <c r="AB1134" s="164">
        <f>(((BetTable[O3]-1)*BetTable[S3])*(1-(BetTable[C% 3]))+BetTable[S3])</f>
        <v>0</v>
      </c>
      <c r="AC1134" s="165">
        <f>IFERROR(IF(BetTable[Sport]="","",BetTable[R1]/BetTable[TS]),"")</f>
        <v>0.89999999999999969</v>
      </c>
      <c r="AD1134" s="165" t="str">
        <f>IF(BetTable[O2]="","",#REF!/BetTable[TS])</f>
        <v/>
      </c>
      <c r="AE1134" s="165" t="str">
        <f>IFERROR(IF(BetTable[Sport]="","",#REF!/BetTable[TS]),"")</f>
        <v/>
      </c>
      <c r="AF1134" s="164">
        <f>IF(BetTable[Outcome]="Win",BetTable[WBA1-Commission],IF(BetTable[Outcome]="Win Half Stake",(BetTable[Stake]/2)+BetTable[WBA1-Commission]/2,IF(BetTable[Outcome]="Lose Half Stake",BetTable[Stake]/2,IF(BetTable[Outcome]="Lose",0,IF(BetTable[Outcome]="Void",BetTable[Stake],)))))</f>
        <v>134.89999999999998</v>
      </c>
      <c r="AG1134" s="164">
        <f>IF(BetTable[Outcome2]="Win",BetTable[WBA2-Commission],IF(BetTable[Outcome2]="Win Half Stake",(BetTable[S2]/2)+BetTable[WBA2-Commission]/2,IF(BetTable[Outcome2]="Lose Half Stake",BetTable[S2]/2,IF(BetTable[Outcome2]="Lose",0,IF(BetTable[Outcome2]="Void",BetTable[S2],)))))</f>
        <v>0</v>
      </c>
      <c r="AH1134" s="164">
        <f>IF(BetTable[Outcome3]="Win",BetTable[WBA3-Commission],IF(BetTable[Outcome3]="Win Half Stake",(BetTable[S3]/2)+BetTable[WBA3-Commission]/2,IF(BetTable[Outcome3]="Lose Half Stake",BetTable[S3]/2,IF(BetTable[Outcome3]="Lose",0,IF(BetTable[Outcome3]="Void",BetTable[S3],)))))</f>
        <v>0</v>
      </c>
      <c r="AI1134" s="168">
        <f>IF(BetTable[Outcome]="",AI1133,BetTable[Result]+AI1133)</f>
        <v>2141.7027499999995</v>
      </c>
      <c r="AJ1134" s="160"/>
    </row>
    <row r="1135" spans="1:36" x14ac:dyDescent="0.2">
      <c r="A1135" s="159" t="s">
        <v>2791</v>
      </c>
      <c r="B1135" s="160" t="s">
        <v>7</v>
      </c>
      <c r="C1135" s="161" t="s">
        <v>216</v>
      </c>
      <c r="D1135" s="161"/>
      <c r="E1135" s="161"/>
      <c r="F1135" s="162"/>
      <c r="G1135" s="162"/>
      <c r="H1135" s="162"/>
      <c r="I1135" s="160" t="s">
        <v>2816</v>
      </c>
      <c r="J1135" s="163">
        <v>1.909</v>
      </c>
      <c r="K1135" s="163"/>
      <c r="L1135" s="163"/>
      <c r="M1135" s="164">
        <v>55</v>
      </c>
      <c r="N1135" s="164"/>
      <c r="O1135" s="164"/>
      <c r="P1135" s="159" t="s">
        <v>2193</v>
      </c>
      <c r="Q1135" s="159" t="s">
        <v>1580</v>
      </c>
      <c r="R1135" s="159" t="s">
        <v>2817</v>
      </c>
      <c r="S1135" s="165">
        <v>5.3465873802896899E-2</v>
      </c>
      <c r="T1135" s="166" t="s">
        <v>382</v>
      </c>
      <c r="U1135" s="166"/>
      <c r="V1135" s="166"/>
      <c r="W1135" s="167">
        <f>IF(BetTable[Sport]="","",BetTable[Stake]+BetTable[S2]+BetTable[S3])</f>
        <v>55</v>
      </c>
      <c r="X1135" s="164">
        <f>IF(BetTable[Odds]="","",(BetTable[WBA1-Commission])-BetTable[TS])</f>
        <v>49.995000000000005</v>
      </c>
      <c r="Y1135" s="168">
        <f>IF(BetTable[Outcome]="","",BetTable[WBA1]+BetTable[WBA2]+BetTable[WBA3]-BetTable[TS])</f>
        <v>-55</v>
      </c>
      <c r="Z1135" s="164">
        <f>(((BetTable[Odds]-1)*BetTable[Stake])*(1-(BetTable[Comm %]))+BetTable[Stake])</f>
        <v>104.995</v>
      </c>
      <c r="AA1135" s="164">
        <f>(((BetTable[O2]-1)*BetTable[S2])*(1-(BetTable[C% 2]))+BetTable[S2])</f>
        <v>0</v>
      </c>
      <c r="AB1135" s="164">
        <f>(((BetTable[O3]-1)*BetTable[S3])*(1-(BetTable[C% 3]))+BetTable[S3])</f>
        <v>0</v>
      </c>
      <c r="AC1135" s="165">
        <f>IFERROR(IF(BetTable[Sport]="","",BetTable[R1]/BetTable[TS]),"")</f>
        <v>0.90900000000000003</v>
      </c>
      <c r="AD1135" s="165" t="str">
        <f>IF(BetTable[O2]="","",#REF!/BetTable[TS])</f>
        <v/>
      </c>
      <c r="AE1135" s="165" t="str">
        <f>IFERROR(IF(BetTable[Sport]="","",#REF!/BetTable[TS]),"")</f>
        <v/>
      </c>
      <c r="AF1135" s="164">
        <f>IF(BetTable[Outcome]="Win",BetTable[WBA1-Commission],IF(BetTable[Outcome]="Win Half Stake",(BetTable[Stake]/2)+BetTable[WBA1-Commission]/2,IF(BetTable[Outcome]="Lose Half Stake",BetTable[Stake]/2,IF(BetTable[Outcome]="Lose",0,IF(BetTable[Outcome]="Void",BetTable[Stake],)))))</f>
        <v>0</v>
      </c>
      <c r="AG1135" s="164">
        <f>IF(BetTable[Outcome2]="Win",BetTable[WBA2-Commission],IF(BetTable[Outcome2]="Win Half Stake",(BetTable[S2]/2)+BetTable[WBA2-Commission]/2,IF(BetTable[Outcome2]="Lose Half Stake",BetTable[S2]/2,IF(BetTable[Outcome2]="Lose",0,IF(BetTable[Outcome2]="Void",BetTable[S2],)))))</f>
        <v>0</v>
      </c>
      <c r="AH1135" s="164">
        <f>IF(BetTable[Outcome3]="Win",BetTable[WBA3-Commission],IF(BetTable[Outcome3]="Win Half Stake",(BetTable[S3]/2)+BetTable[WBA3-Commission]/2,IF(BetTable[Outcome3]="Lose Half Stake",BetTable[S3]/2,IF(BetTable[Outcome3]="Lose",0,IF(BetTable[Outcome3]="Void",BetTable[S3],)))))</f>
        <v>0</v>
      </c>
      <c r="AI1135" s="168">
        <f>IF(BetTable[Outcome]="",AI1134,BetTable[Result]+AI1134)</f>
        <v>2086.7027499999995</v>
      </c>
      <c r="AJ1135" s="160"/>
    </row>
    <row r="1136" spans="1:36" x14ac:dyDescent="0.2">
      <c r="A1136" s="159" t="s">
        <v>2791</v>
      </c>
      <c r="B1136" s="160" t="s">
        <v>7</v>
      </c>
      <c r="C1136" s="161" t="s">
        <v>216</v>
      </c>
      <c r="D1136" s="161"/>
      <c r="E1136" s="161"/>
      <c r="F1136" s="162"/>
      <c r="G1136" s="162"/>
      <c r="H1136" s="162"/>
      <c r="I1136" s="160" t="s">
        <v>2818</v>
      </c>
      <c r="J1136" s="163">
        <v>5</v>
      </c>
      <c r="K1136" s="163"/>
      <c r="L1136" s="163"/>
      <c r="M1136" s="164">
        <v>25</v>
      </c>
      <c r="N1136" s="164"/>
      <c r="O1136" s="164"/>
      <c r="P1136" s="159" t="s">
        <v>428</v>
      </c>
      <c r="Q1136" s="159" t="s">
        <v>674</v>
      </c>
      <c r="R1136" s="159" t="s">
        <v>2819</v>
      </c>
      <c r="S1136" s="165">
        <v>8.0297380704595495E-2</v>
      </c>
      <c r="T1136" s="166" t="s">
        <v>382</v>
      </c>
      <c r="U1136" s="166"/>
      <c r="V1136" s="166"/>
      <c r="W1136" s="167">
        <f>IF(BetTable[Sport]="","",BetTable[Stake]+BetTable[S2]+BetTable[S3])</f>
        <v>25</v>
      </c>
      <c r="X1136" s="164">
        <f>IF(BetTable[Odds]="","",(BetTable[WBA1-Commission])-BetTable[TS])</f>
        <v>100</v>
      </c>
      <c r="Y1136" s="168">
        <f>IF(BetTable[Outcome]="","",BetTable[WBA1]+BetTable[WBA2]+BetTable[WBA3]-BetTable[TS])</f>
        <v>-25</v>
      </c>
      <c r="Z1136" s="164">
        <f>(((BetTable[Odds]-1)*BetTable[Stake])*(1-(BetTable[Comm %]))+BetTable[Stake])</f>
        <v>125</v>
      </c>
      <c r="AA1136" s="164">
        <f>(((BetTable[O2]-1)*BetTable[S2])*(1-(BetTable[C% 2]))+BetTable[S2])</f>
        <v>0</v>
      </c>
      <c r="AB1136" s="164">
        <f>(((BetTable[O3]-1)*BetTable[S3])*(1-(BetTable[C% 3]))+BetTable[S3])</f>
        <v>0</v>
      </c>
      <c r="AC1136" s="165">
        <f>IFERROR(IF(BetTable[Sport]="","",BetTable[R1]/BetTable[TS]),"")</f>
        <v>4</v>
      </c>
      <c r="AD1136" s="165" t="str">
        <f>IF(BetTable[O2]="","",#REF!/BetTable[TS])</f>
        <v/>
      </c>
      <c r="AE1136" s="165" t="str">
        <f>IFERROR(IF(BetTable[Sport]="","",#REF!/BetTable[TS]),"")</f>
        <v/>
      </c>
      <c r="AF1136" s="164">
        <f>IF(BetTable[Outcome]="Win",BetTable[WBA1-Commission],IF(BetTable[Outcome]="Win Half Stake",(BetTable[Stake]/2)+BetTable[WBA1-Commission]/2,IF(BetTable[Outcome]="Lose Half Stake",BetTable[Stake]/2,IF(BetTable[Outcome]="Lose",0,IF(BetTable[Outcome]="Void",BetTable[Stake],)))))</f>
        <v>0</v>
      </c>
      <c r="AG1136" s="164">
        <f>IF(BetTable[Outcome2]="Win",BetTable[WBA2-Commission],IF(BetTable[Outcome2]="Win Half Stake",(BetTable[S2]/2)+BetTable[WBA2-Commission]/2,IF(BetTable[Outcome2]="Lose Half Stake",BetTable[S2]/2,IF(BetTable[Outcome2]="Lose",0,IF(BetTable[Outcome2]="Void",BetTable[S2],)))))</f>
        <v>0</v>
      </c>
      <c r="AH1136" s="164">
        <f>IF(BetTable[Outcome3]="Win",BetTable[WBA3-Commission],IF(BetTable[Outcome3]="Win Half Stake",(BetTable[S3]/2)+BetTable[WBA3-Commission]/2,IF(BetTable[Outcome3]="Lose Half Stake",BetTable[S3]/2,IF(BetTable[Outcome3]="Lose",0,IF(BetTable[Outcome3]="Void",BetTable[S3],)))))</f>
        <v>0</v>
      </c>
      <c r="AI1136" s="168">
        <f>IF(BetTable[Outcome]="",AI1135,BetTable[Result]+AI1135)</f>
        <v>2061.7027499999995</v>
      </c>
      <c r="AJ1136" s="160"/>
    </row>
    <row r="1137" spans="1:36" x14ac:dyDescent="0.2">
      <c r="A1137" s="159" t="s">
        <v>2791</v>
      </c>
      <c r="B1137" s="160" t="s">
        <v>200</v>
      </c>
      <c r="C1137" s="161" t="s">
        <v>216</v>
      </c>
      <c r="D1137" s="161"/>
      <c r="E1137" s="161"/>
      <c r="F1137" s="162"/>
      <c r="G1137" s="162"/>
      <c r="H1137" s="162"/>
      <c r="I1137" s="160" t="s">
        <v>2820</v>
      </c>
      <c r="J1137" s="163">
        <v>1.6140000000000001</v>
      </c>
      <c r="K1137" s="163"/>
      <c r="L1137" s="163"/>
      <c r="M1137" s="164">
        <v>49</v>
      </c>
      <c r="N1137" s="164"/>
      <c r="O1137" s="164"/>
      <c r="P1137" s="159" t="s">
        <v>448</v>
      </c>
      <c r="Q1137" s="159" t="s">
        <v>1171</v>
      </c>
      <c r="R1137" s="159" t="s">
        <v>2821</v>
      </c>
      <c r="S1137" s="165">
        <v>1.7044892858080699E-2</v>
      </c>
      <c r="T1137" s="166" t="s">
        <v>382</v>
      </c>
      <c r="U1137" s="166"/>
      <c r="V1137" s="166"/>
      <c r="W1137" s="167">
        <f>IF(BetTable[Sport]="","",BetTable[Stake]+BetTable[S2]+BetTable[S3])</f>
        <v>49</v>
      </c>
      <c r="X1137" s="164">
        <f>IF(BetTable[Odds]="","",(BetTable[WBA1-Commission])-BetTable[TS])</f>
        <v>30.086000000000013</v>
      </c>
      <c r="Y1137" s="168">
        <f>IF(BetTable[Outcome]="","",BetTable[WBA1]+BetTable[WBA2]+BetTable[WBA3]-BetTable[TS])</f>
        <v>-49</v>
      </c>
      <c r="Z1137" s="164">
        <f>(((BetTable[Odds]-1)*BetTable[Stake])*(1-(BetTable[Comm %]))+BetTable[Stake])</f>
        <v>79.086000000000013</v>
      </c>
      <c r="AA1137" s="164">
        <f>(((BetTable[O2]-1)*BetTable[S2])*(1-(BetTable[C% 2]))+BetTable[S2])</f>
        <v>0</v>
      </c>
      <c r="AB1137" s="164">
        <f>(((BetTable[O3]-1)*BetTable[S3])*(1-(BetTable[C% 3]))+BetTable[S3])</f>
        <v>0</v>
      </c>
      <c r="AC1137" s="165">
        <f>IFERROR(IF(BetTable[Sport]="","",BetTable[R1]/BetTable[TS]),"")</f>
        <v>0.61400000000000021</v>
      </c>
      <c r="AD1137" s="165" t="str">
        <f>IF(BetTable[O2]="","",#REF!/BetTable[TS])</f>
        <v/>
      </c>
      <c r="AE1137" s="165" t="str">
        <f>IFERROR(IF(BetTable[Sport]="","",#REF!/BetTable[TS]),"")</f>
        <v/>
      </c>
      <c r="AF1137" s="164">
        <f>IF(BetTable[Outcome]="Win",BetTable[WBA1-Commission],IF(BetTable[Outcome]="Win Half Stake",(BetTable[Stake]/2)+BetTable[WBA1-Commission]/2,IF(BetTable[Outcome]="Lose Half Stake",BetTable[Stake]/2,IF(BetTable[Outcome]="Lose",0,IF(BetTable[Outcome]="Void",BetTable[Stake],)))))</f>
        <v>0</v>
      </c>
      <c r="AG1137" s="164">
        <f>IF(BetTable[Outcome2]="Win",BetTable[WBA2-Commission],IF(BetTable[Outcome2]="Win Half Stake",(BetTable[S2]/2)+BetTable[WBA2-Commission]/2,IF(BetTable[Outcome2]="Lose Half Stake",BetTable[S2]/2,IF(BetTable[Outcome2]="Lose",0,IF(BetTable[Outcome2]="Void",BetTable[S2],)))))</f>
        <v>0</v>
      </c>
      <c r="AH1137" s="164">
        <f>IF(BetTable[Outcome3]="Win",BetTable[WBA3-Commission],IF(BetTable[Outcome3]="Win Half Stake",(BetTable[S3]/2)+BetTable[WBA3-Commission]/2,IF(BetTable[Outcome3]="Lose Half Stake",BetTable[S3]/2,IF(BetTable[Outcome3]="Lose",0,IF(BetTable[Outcome3]="Void",BetTable[S3],)))))</f>
        <v>0</v>
      </c>
      <c r="AI1137" s="168">
        <f>IF(BetTable[Outcome]="",AI1136,BetTable[Result]+AI1136)</f>
        <v>2012.7027499999995</v>
      </c>
      <c r="AJ1137" s="160"/>
    </row>
    <row r="1138" spans="1:36" x14ac:dyDescent="0.2">
      <c r="A1138" s="159" t="s">
        <v>2791</v>
      </c>
      <c r="B1138" s="160" t="s">
        <v>9</v>
      </c>
      <c r="C1138" s="161" t="s">
        <v>216</v>
      </c>
      <c r="D1138" s="161"/>
      <c r="E1138" s="161"/>
      <c r="F1138" s="162"/>
      <c r="G1138" s="162"/>
      <c r="H1138" s="162"/>
      <c r="I1138" s="160" t="s">
        <v>2822</v>
      </c>
      <c r="J1138" s="163">
        <v>2.0499999999999998</v>
      </c>
      <c r="K1138" s="163"/>
      <c r="L1138" s="163"/>
      <c r="M1138" s="164">
        <v>25</v>
      </c>
      <c r="N1138" s="164"/>
      <c r="O1138" s="164"/>
      <c r="P1138" s="159" t="s">
        <v>1044</v>
      </c>
      <c r="Q1138" s="159" t="s">
        <v>703</v>
      </c>
      <c r="R1138" s="159" t="s">
        <v>2823</v>
      </c>
      <c r="S1138" s="165">
        <v>2.9648554534447001E-2</v>
      </c>
      <c r="T1138" s="166" t="s">
        <v>372</v>
      </c>
      <c r="U1138" s="166"/>
      <c r="V1138" s="166"/>
      <c r="W1138" s="167">
        <f>IF(BetTable[Sport]="","",BetTable[Stake]+BetTable[S2]+BetTable[S3])</f>
        <v>25</v>
      </c>
      <c r="X1138" s="164">
        <f>IF(BetTable[Odds]="","",(BetTable[WBA1-Commission])-BetTable[TS])</f>
        <v>26.25</v>
      </c>
      <c r="Y1138" s="168">
        <f>IF(BetTable[Outcome]="","",BetTable[WBA1]+BetTable[WBA2]+BetTable[WBA3]-BetTable[TS])</f>
        <v>26.25</v>
      </c>
      <c r="Z1138" s="164">
        <f>(((BetTable[Odds]-1)*BetTable[Stake])*(1-(BetTable[Comm %]))+BetTable[Stake])</f>
        <v>51.25</v>
      </c>
      <c r="AA1138" s="164">
        <f>(((BetTable[O2]-1)*BetTable[S2])*(1-(BetTable[C% 2]))+BetTable[S2])</f>
        <v>0</v>
      </c>
      <c r="AB1138" s="164">
        <f>(((BetTable[O3]-1)*BetTable[S3])*(1-(BetTable[C% 3]))+BetTable[S3])</f>
        <v>0</v>
      </c>
      <c r="AC1138" s="165">
        <f>IFERROR(IF(BetTable[Sport]="","",BetTable[R1]/BetTable[TS]),"")</f>
        <v>1.05</v>
      </c>
      <c r="AD1138" s="165" t="str">
        <f>IF(BetTable[O2]="","",#REF!/BetTable[TS])</f>
        <v/>
      </c>
      <c r="AE1138" s="165" t="str">
        <f>IFERROR(IF(BetTable[Sport]="","",#REF!/BetTable[TS]),"")</f>
        <v/>
      </c>
      <c r="AF1138" s="164">
        <f>IF(BetTable[Outcome]="Win",BetTable[WBA1-Commission],IF(BetTable[Outcome]="Win Half Stake",(BetTable[Stake]/2)+BetTable[WBA1-Commission]/2,IF(BetTable[Outcome]="Lose Half Stake",BetTable[Stake]/2,IF(BetTable[Outcome]="Lose",0,IF(BetTable[Outcome]="Void",BetTable[Stake],)))))</f>
        <v>51.25</v>
      </c>
      <c r="AG1138" s="164">
        <f>IF(BetTable[Outcome2]="Win",BetTable[WBA2-Commission],IF(BetTable[Outcome2]="Win Half Stake",(BetTable[S2]/2)+BetTable[WBA2-Commission]/2,IF(BetTable[Outcome2]="Lose Half Stake",BetTable[S2]/2,IF(BetTable[Outcome2]="Lose",0,IF(BetTable[Outcome2]="Void",BetTable[S2],)))))</f>
        <v>0</v>
      </c>
      <c r="AH1138" s="164">
        <f>IF(BetTable[Outcome3]="Win",BetTable[WBA3-Commission],IF(BetTable[Outcome3]="Win Half Stake",(BetTable[S3]/2)+BetTable[WBA3-Commission]/2,IF(BetTable[Outcome3]="Lose Half Stake",BetTable[S3]/2,IF(BetTable[Outcome3]="Lose",0,IF(BetTable[Outcome3]="Void",BetTable[S3],)))))</f>
        <v>0</v>
      </c>
      <c r="AI1138" s="168">
        <f>IF(BetTable[Outcome]="",AI1137,BetTable[Result]+AI1137)</f>
        <v>2038.9527499999995</v>
      </c>
      <c r="AJ1138" s="160"/>
    </row>
    <row r="1139" spans="1:36" x14ac:dyDescent="0.2">
      <c r="A1139" s="159" t="s">
        <v>2791</v>
      </c>
      <c r="B1139" s="160" t="s">
        <v>7</v>
      </c>
      <c r="C1139" s="161" t="s">
        <v>216</v>
      </c>
      <c r="D1139" s="161"/>
      <c r="E1139" s="161"/>
      <c r="F1139" s="162"/>
      <c r="G1139" s="162"/>
      <c r="H1139" s="162"/>
      <c r="I1139" s="160" t="s">
        <v>2824</v>
      </c>
      <c r="J1139" s="163">
        <v>1.909</v>
      </c>
      <c r="K1139" s="163"/>
      <c r="L1139" s="163"/>
      <c r="M1139" s="164">
        <v>55</v>
      </c>
      <c r="N1139" s="164"/>
      <c r="O1139" s="164"/>
      <c r="P1139" s="159" t="s">
        <v>960</v>
      </c>
      <c r="Q1139" s="159" t="s">
        <v>968</v>
      </c>
      <c r="R1139" s="159" t="s">
        <v>2825</v>
      </c>
      <c r="S1139" s="165">
        <v>7.1043714221821694E-2</v>
      </c>
      <c r="T1139" s="166" t="s">
        <v>382</v>
      </c>
      <c r="U1139" s="166"/>
      <c r="V1139" s="166"/>
      <c r="W1139" s="167">
        <f>IF(BetTable[Sport]="","",BetTable[Stake]+BetTable[S2]+BetTable[S3])</f>
        <v>55</v>
      </c>
      <c r="X1139" s="164">
        <f>IF(BetTable[Odds]="","",(BetTable[WBA1-Commission])-BetTable[TS])</f>
        <v>49.995000000000005</v>
      </c>
      <c r="Y1139" s="168">
        <f>IF(BetTable[Outcome]="","",BetTable[WBA1]+BetTable[WBA2]+BetTable[WBA3]-BetTable[TS])</f>
        <v>-55</v>
      </c>
      <c r="Z1139" s="164">
        <f>(((BetTable[Odds]-1)*BetTable[Stake])*(1-(BetTable[Comm %]))+BetTable[Stake])</f>
        <v>104.995</v>
      </c>
      <c r="AA1139" s="164">
        <f>(((BetTable[O2]-1)*BetTable[S2])*(1-(BetTable[C% 2]))+BetTable[S2])</f>
        <v>0</v>
      </c>
      <c r="AB1139" s="164">
        <f>(((BetTable[O3]-1)*BetTable[S3])*(1-(BetTable[C% 3]))+BetTable[S3])</f>
        <v>0</v>
      </c>
      <c r="AC1139" s="165">
        <f>IFERROR(IF(BetTable[Sport]="","",BetTable[R1]/BetTable[TS]),"")</f>
        <v>0.90900000000000003</v>
      </c>
      <c r="AD1139" s="165" t="str">
        <f>IF(BetTable[O2]="","",#REF!/BetTable[TS])</f>
        <v/>
      </c>
      <c r="AE1139" s="165" t="str">
        <f>IFERROR(IF(BetTable[Sport]="","",#REF!/BetTable[TS]),"")</f>
        <v/>
      </c>
      <c r="AF1139" s="164">
        <f>IF(BetTable[Outcome]="Win",BetTable[WBA1-Commission],IF(BetTable[Outcome]="Win Half Stake",(BetTable[Stake]/2)+BetTable[WBA1-Commission]/2,IF(BetTable[Outcome]="Lose Half Stake",BetTable[Stake]/2,IF(BetTable[Outcome]="Lose",0,IF(BetTable[Outcome]="Void",BetTable[Stake],)))))</f>
        <v>0</v>
      </c>
      <c r="AG1139" s="164">
        <f>IF(BetTable[Outcome2]="Win",BetTable[WBA2-Commission],IF(BetTable[Outcome2]="Win Half Stake",(BetTable[S2]/2)+BetTable[WBA2-Commission]/2,IF(BetTable[Outcome2]="Lose Half Stake",BetTable[S2]/2,IF(BetTable[Outcome2]="Lose",0,IF(BetTable[Outcome2]="Void",BetTable[S2],)))))</f>
        <v>0</v>
      </c>
      <c r="AH1139" s="164">
        <f>IF(BetTable[Outcome3]="Win",BetTable[WBA3-Commission],IF(BetTable[Outcome3]="Win Half Stake",(BetTable[S3]/2)+BetTable[WBA3-Commission]/2,IF(BetTable[Outcome3]="Lose Half Stake",BetTable[S3]/2,IF(BetTable[Outcome3]="Lose",0,IF(BetTable[Outcome3]="Void",BetTable[S3],)))))</f>
        <v>0</v>
      </c>
      <c r="AI1139" s="168">
        <f>IF(BetTable[Outcome]="",AI1138,BetTable[Result]+AI1138)</f>
        <v>1983.9527499999995</v>
      </c>
      <c r="AJ1139" s="160"/>
    </row>
    <row r="1140" spans="1:36" x14ac:dyDescent="0.2">
      <c r="A1140" s="159" t="s">
        <v>2791</v>
      </c>
      <c r="B1140" s="160" t="s">
        <v>200</v>
      </c>
      <c r="C1140" s="161" t="s">
        <v>1714</v>
      </c>
      <c r="D1140" s="161"/>
      <c r="E1140" s="161"/>
      <c r="F1140" s="162"/>
      <c r="G1140" s="162"/>
      <c r="H1140" s="162"/>
      <c r="I1140" s="160" t="s">
        <v>2814</v>
      </c>
      <c r="J1140" s="163">
        <v>1.91</v>
      </c>
      <c r="K1140" s="163"/>
      <c r="L1140" s="163"/>
      <c r="M1140" s="164">
        <v>34</v>
      </c>
      <c r="N1140" s="164"/>
      <c r="O1140" s="164"/>
      <c r="P1140" s="159" t="s">
        <v>435</v>
      </c>
      <c r="Q1140" s="159" t="s">
        <v>429</v>
      </c>
      <c r="R1140" s="159" t="s">
        <v>2826</v>
      </c>
      <c r="S1140" s="165">
        <v>1.7318403882797598E-2</v>
      </c>
      <c r="T1140" s="166" t="s">
        <v>372</v>
      </c>
      <c r="U1140" s="166"/>
      <c r="V1140" s="166"/>
      <c r="W1140" s="167">
        <f>IF(BetTable[Sport]="","",BetTable[Stake]+BetTable[S2]+BetTable[S3])</f>
        <v>34</v>
      </c>
      <c r="X1140" s="164">
        <f>IF(BetTable[Odds]="","",(BetTable[WBA1-Commission])-BetTable[TS])</f>
        <v>30.939999999999998</v>
      </c>
      <c r="Y1140" s="168">
        <f>IF(BetTable[Outcome]="","",BetTable[WBA1]+BetTable[WBA2]+BetTable[WBA3]-BetTable[TS])</f>
        <v>30.939999999999998</v>
      </c>
      <c r="Z1140" s="164">
        <f>(((BetTable[Odds]-1)*BetTable[Stake])*(1-(BetTable[Comm %]))+BetTable[Stake])</f>
        <v>64.94</v>
      </c>
      <c r="AA1140" s="164">
        <f>(((BetTable[O2]-1)*BetTable[S2])*(1-(BetTable[C% 2]))+BetTable[S2])</f>
        <v>0</v>
      </c>
      <c r="AB1140" s="164">
        <f>(((BetTable[O3]-1)*BetTable[S3])*(1-(BetTable[C% 3]))+BetTable[S3])</f>
        <v>0</v>
      </c>
      <c r="AC1140" s="165">
        <f>IFERROR(IF(BetTable[Sport]="","",BetTable[R1]/BetTable[TS]),"")</f>
        <v>0.90999999999999992</v>
      </c>
      <c r="AD1140" s="165" t="str">
        <f>IF(BetTable[O2]="","",#REF!/BetTable[TS])</f>
        <v/>
      </c>
      <c r="AE1140" s="165" t="str">
        <f>IFERROR(IF(BetTable[Sport]="","",#REF!/BetTable[TS]),"")</f>
        <v/>
      </c>
      <c r="AF1140" s="164">
        <f>IF(BetTable[Outcome]="Win",BetTable[WBA1-Commission],IF(BetTable[Outcome]="Win Half Stake",(BetTable[Stake]/2)+BetTable[WBA1-Commission]/2,IF(BetTable[Outcome]="Lose Half Stake",BetTable[Stake]/2,IF(BetTable[Outcome]="Lose",0,IF(BetTable[Outcome]="Void",BetTable[Stake],)))))</f>
        <v>64.94</v>
      </c>
      <c r="AG1140" s="164">
        <f>IF(BetTable[Outcome2]="Win",BetTable[WBA2-Commission],IF(BetTable[Outcome2]="Win Half Stake",(BetTable[S2]/2)+BetTable[WBA2-Commission]/2,IF(BetTable[Outcome2]="Lose Half Stake",BetTable[S2]/2,IF(BetTable[Outcome2]="Lose",0,IF(BetTable[Outcome2]="Void",BetTable[S2],)))))</f>
        <v>0</v>
      </c>
      <c r="AH1140" s="164">
        <f>IF(BetTable[Outcome3]="Win",BetTable[WBA3-Commission],IF(BetTable[Outcome3]="Win Half Stake",(BetTable[S3]/2)+BetTable[WBA3-Commission]/2,IF(BetTable[Outcome3]="Lose Half Stake",BetTable[S3]/2,IF(BetTable[Outcome3]="Lose",0,IF(BetTable[Outcome3]="Void",BetTable[S3],)))))</f>
        <v>0</v>
      </c>
      <c r="AI1140" s="168">
        <f>IF(BetTable[Outcome]="",AI1139,BetTable[Result]+AI1139)</f>
        <v>2014.8927499999995</v>
      </c>
      <c r="AJ1140" s="160"/>
    </row>
    <row r="1141" spans="1:36" x14ac:dyDescent="0.2">
      <c r="A1141" s="159" t="s">
        <v>2791</v>
      </c>
      <c r="B1141" s="160" t="s">
        <v>7</v>
      </c>
      <c r="C1141" s="161" t="s">
        <v>216</v>
      </c>
      <c r="D1141" s="161"/>
      <c r="E1141" s="161"/>
      <c r="F1141" s="162"/>
      <c r="G1141" s="162"/>
      <c r="H1141" s="162"/>
      <c r="I1141" s="160" t="s">
        <v>2827</v>
      </c>
      <c r="J1141" s="163">
        <v>1.909</v>
      </c>
      <c r="K1141" s="163"/>
      <c r="L1141" s="163"/>
      <c r="M1141" s="164">
        <v>48</v>
      </c>
      <c r="N1141" s="164"/>
      <c r="O1141" s="164"/>
      <c r="P1141" s="159" t="s">
        <v>2267</v>
      </c>
      <c r="Q1141" s="159" t="s">
        <v>506</v>
      </c>
      <c r="R1141" s="159" t="s">
        <v>2828</v>
      </c>
      <c r="S1141" s="165">
        <v>2.4273986578506698E-2</v>
      </c>
      <c r="T1141" s="166" t="s">
        <v>382</v>
      </c>
      <c r="U1141" s="166"/>
      <c r="V1141" s="166"/>
      <c r="W1141" s="167">
        <f>IF(BetTable[Sport]="","",BetTable[Stake]+BetTable[S2]+BetTable[S3])</f>
        <v>48</v>
      </c>
      <c r="X1141" s="164">
        <f>IF(BetTable[Odds]="","",(BetTable[WBA1-Commission])-BetTable[TS])</f>
        <v>43.632000000000005</v>
      </c>
      <c r="Y1141" s="168">
        <f>IF(BetTable[Outcome]="","",BetTable[WBA1]+BetTable[WBA2]+BetTable[WBA3]-BetTable[TS])</f>
        <v>-48</v>
      </c>
      <c r="Z1141" s="164">
        <f>(((BetTable[Odds]-1)*BetTable[Stake])*(1-(BetTable[Comm %]))+BetTable[Stake])</f>
        <v>91.632000000000005</v>
      </c>
      <c r="AA1141" s="164">
        <f>(((BetTable[O2]-1)*BetTable[S2])*(1-(BetTable[C% 2]))+BetTable[S2])</f>
        <v>0</v>
      </c>
      <c r="AB1141" s="164">
        <f>(((BetTable[O3]-1)*BetTable[S3])*(1-(BetTable[C% 3]))+BetTable[S3])</f>
        <v>0</v>
      </c>
      <c r="AC1141" s="165">
        <f>IFERROR(IF(BetTable[Sport]="","",BetTable[R1]/BetTable[TS]),"")</f>
        <v>0.90900000000000014</v>
      </c>
      <c r="AD1141" s="165" t="str">
        <f>IF(BetTable[O2]="","",#REF!/BetTable[TS])</f>
        <v/>
      </c>
      <c r="AE1141" s="165" t="str">
        <f>IFERROR(IF(BetTable[Sport]="","",#REF!/BetTable[TS]),"")</f>
        <v/>
      </c>
      <c r="AF1141" s="164">
        <f>IF(BetTable[Outcome]="Win",BetTable[WBA1-Commission],IF(BetTable[Outcome]="Win Half Stake",(BetTable[Stake]/2)+BetTable[WBA1-Commission]/2,IF(BetTable[Outcome]="Lose Half Stake",BetTable[Stake]/2,IF(BetTable[Outcome]="Lose",0,IF(BetTable[Outcome]="Void",BetTable[Stake],)))))</f>
        <v>0</v>
      </c>
      <c r="AG1141" s="164">
        <f>IF(BetTable[Outcome2]="Win",BetTable[WBA2-Commission],IF(BetTable[Outcome2]="Win Half Stake",(BetTable[S2]/2)+BetTable[WBA2-Commission]/2,IF(BetTable[Outcome2]="Lose Half Stake",BetTable[S2]/2,IF(BetTable[Outcome2]="Lose",0,IF(BetTable[Outcome2]="Void",BetTable[S2],)))))</f>
        <v>0</v>
      </c>
      <c r="AH1141" s="164">
        <f>IF(BetTable[Outcome3]="Win",BetTable[WBA3-Commission],IF(BetTable[Outcome3]="Win Half Stake",(BetTable[S3]/2)+BetTable[WBA3-Commission]/2,IF(BetTable[Outcome3]="Lose Half Stake",BetTable[S3]/2,IF(BetTable[Outcome3]="Lose",0,IF(BetTable[Outcome3]="Void",BetTable[S3],)))))</f>
        <v>0</v>
      </c>
      <c r="AI1141" s="168">
        <f>IF(BetTable[Outcome]="",AI1140,BetTable[Result]+AI1140)</f>
        <v>1966.8927499999995</v>
      </c>
      <c r="AJ1141" s="160"/>
    </row>
    <row r="1142" spans="1:36" x14ac:dyDescent="0.2">
      <c r="A1142" s="159" t="s">
        <v>2791</v>
      </c>
      <c r="B1142" s="160" t="s">
        <v>8</v>
      </c>
      <c r="C1142" s="161" t="s">
        <v>216</v>
      </c>
      <c r="D1142" s="161"/>
      <c r="E1142" s="161"/>
      <c r="F1142" s="162"/>
      <c r="G1142" s="162"/>
      <c r="H1142" s="162"/>
      <c r="I1142" s="160" t="s">
        <v>2829</v>
      </c>
      <c r="J1142" s="163">
        <v>3.2</v>
      </c>
      <c r="K1142" s="163"/>
      <c r="L1142" s="163"/>
      <c r="M1142" s="164">
        <v>10</v>
      </c>
      <c r="N1142" s="164"/>
      <c r="O1142" s="164"/>
      <c r="P1142" s="159" t="s">
        <v>428</v>
      </c>
      <c r="Q1142" s="159" t="s">
        <v>1171</v>
      </c>
      <c r="R1142" s="159" t="s">
        <v>2830</v>
      </c>
      <c r="S1142" s="165">
        <v>2.32024930368071E-2</v>
      </c>
      <c r="T1142" s="166" t="s">
        <v>382</v>
      </c>
      <c r="U1142" s="166"/>
      <c r="V1142" s="166"/>
      <c r="W1142" s="167">
        <f>IF(BetTable[Sport]="","",BetTable[Stake]+BetTable[S2]+BetTable[S3])</f>
        <v>10</v>
      </c>
      <c r="X1142" s="164">
        <f>IF(BetTable[Odds]="","",(BetTable[WBA1-Commission])-BetTable[TS])</f>
        <v>22</v>
      </c>
      <c r="Y1142" s="168">
        <f>IF(BetTable[Outcome]="","",BetTable[WBA1]+BetTable[WBA2]+BetTable[WBA3]-BetTable[TS])</f>
        <v>-10</v>
      </c>
      <c r="Z1142" s="164">
        <f>(((BetTable[Odds]-1)*BetTable[Stake])*(1-(BetTable[Comm %]))+BetTable[Stake])</f>
        <v>32</v>
      </c>
      <c r="AA1142" s="164">
        <f>(((BetTable[O2]-1)*BetTable[S2])*(1-(BetTable[C% 2]))+BetTable[S2])</f>
        <v>0</v>
      </c>
      <c r="AB1142" s="164">
        <f>(((BetTable[O3]-1)*BetTable[S3])*(1-(BetTable[C% 3]))+BetTable[S3])</f>
        <v>0</v>
      </c>
      <c r="AC1142" s="165">
        <f>IFERROR(IF(BetTable[Sport]="","",BetTable[R1]/BetTable[TS]),"")</f>
        <v>2.2000000000000002</v>
      </c>
      <c r="AD1142" s="165" t="str">
        <f>IF(BetTable[O2]="","",#REF!/BetTable[TS])</f>
        <v/>
      </c>
      <c r="AE1142" s="165" t="str">
        <f>IFERROR(IF(BetTable[Sport]="","",#REF!/BetTable[TS]),"")</f>
        <v/>
      </c>
      <c r="AF1142" s="164">
        <f>IF(BetTable[Outcome]="Win",BetTable[WBA1-Commission],IF(BetTable[Outcome]="Win Half Stake",(BetTable[Stake]/2)+BetTable[WBA1-Commission]/2,IF(BetTable[Outcome]="Lose Half Stake",BetTable[Stake]/2,IF(BetTable[Outcome]="Lose",0,IF(BetTable[Outcome]="Void",BetTable[Stake],)))))</f>
        <v>0</v>
      </c>
      <c r="AG1142" s="164">
        <f>IF(BetTable[Outcome2]="Win",BetTable[WBA2-Commission],IF(BetTable[Outcome2]="Win Half Stake",(BetTable[S2]/2)+BetTable[WBA2-Commission]/2,IF(BetTable[Outcome2]="Lose Half Stake",BetTable[S2]/2,IF(BetTable[Outcome2]="Lose",0,IF(BetTable[Outcome2]="Void",BetTable[S2],)))))</f>
        <v>0</v>
      </c>
      <c r="AH1142" s="164">
        <f>IF(BetTable[Outcome3]="Win",BetTable[WBA3-Commission],IF(BetTable[Outcome3]="Win Half Stake",(BetTable[S3]/2)+BetTable[WBA3-Commission]/2,IF(BetTable[Outcome3]="Lose Half Stake",BetTable[S3]/2,IF(BetTable[Outcome3]="Lose",0,IF(BetTable[Outcome3]="Void",BetTable[S3],)))))</f>
        <v>0</v>
      </c>
      <c r="AI1142" s="168">
        <f>IF(BetTable[Outcome]="",AI1141,BetTable[Result]+AI1141)</f>
        <v>1956.8927499999995</v>
      </c>
      <c r="AJ1142" s="160"/>
    </row>
    <row r="1143" spans="1:36" x14ac:dyDescent="0.2">
      <c r="A1143" s="159" t="s">
        <v>2791</v>
      </c>
      <c r="B1143" s="160" t="s">
        <v>7</v>
      </c>
      <c r="C1143" s="161" t="s">
        <v>216</v>
      </c>
      <c r="D1143" s="161"/>
      <c r="E1143" s="161"/>
      <c r="F1143" s="162"/>
      <c r="G1143" s="162"/>
      <c r="H1143" s="162"/>
      <c r="I1143" s="160" t="s">
        <v>2831</v>
      </c>
      <c r="J1143" s="163">
        <v>2.15</v>
      </c>
      <c r="K1143" s="163"/>
      <c r="L1143" s="163"/>
      <c r="M1143" s="164">
        <v>28</v>
      </c>
      <c r="N1143" s="164"/>
      <c r="O1143" s="164"/>
      <c r="P1143" s="159" t="s">
        <v>428</v>
      </c>
      <c r="Q1143" s="159" t="s">
        <v>503</v>
      </c>
      <c r="R1143" s="159" t="s">
        <v>2832</v>
      </c>
      <c r="S1143" s="165">
        <v>1.81919477650281E-2</v>
      </c>
      <c r="T1143" s="166" t="s">
        <v>382</v>
      </c>
      <c r="U1143" s="166"/>
      <c r="V1143" s="166"/>
      <c r="W1143" s="167">
        <f>IF(BetTable[Sport]="","",BetTable[Stake]+BetTable[S2]+BetTable[S3])</f>
        <v>28</v>
      </c>
      <c r="X1143" s="164">
        <f>IF(BetTable[Odds]="","",(BetTable[WBA1-Commission])-BetTable[TS])</f>
        <v>32.199999999999996</v>
      </c>
      <c r="Y1143" s="168">
        <f>IF(BetTable[Outcome]="","",BetTable[WBA1]+BetTable[WBA2]+BetTable[WBA3]-BetTable[TS])</f>
        <v>-28</v>
      </c>
      <c r="Z1143" s="164">
        <f>(((BetTable[Odds]-1)*BetTable[Stake])*(1-(BetTable[Comm %]))+BetTable[Stake])</f>
        <v>60.199999999999996</v>
      </c>
      <c r="AA1143" s="164">
        <f>(((BetTable[O2]-1)*BetTable[S2])*(1-(BetTable[C% 2]))+BetTable[S2])</f>
        <v>0</v>
      </c>
      <c r="AB1143" s="164">
        <f>(((BetTable[O3]-1)*BetTable[S3])*(1-(BetTable[C% 3]))+BetTable[S3])</f>
        <v>0</v>
      </c>
      <c r="AC1143" s="165">
        <f>IFERROR(IF(BetTable[Sport]="","",BetTable[R1]/BetTable[TS]),"")</f>
        <v>1.1499999999999999</v>
      </c>
      <c r="AD1143" s="165" t="str">
        <f>IF(BetTable[O2]="","",#REF!/BetTable[TS])</f>
        <v/>
      </c>
      <c r="AE1143" s="165" t="str">
        <f>IFERROR(IF(BetTable[Sport]="","",#REF!/BetTable[TS]),"")</f>
        <v/>
      </c>
      <c r="AF1143" s="164">
        <f>IF(BetTable[Outcome]="Win",BetTable[WBA1-Commission],IF(BetTable[Outcome]="Win Half Stake",(BetTable[Stake]/2)+BetTable[WBA1-Commission]/2,IF(BetTable[Outcome]="Lose Half Stake",BetTable[Stake]/2,IF(BetTable[Outcome]="Lose",0,IF(BetTable[Outcome]="Void",BetTable[Stake],)))))</f>
        <v>0</v>
      </c>
      <c r="AG1143" s="164">
        <f>IF(BetTable[Outcome2]="Win",BetTable[WBA2-Commission],IF(BetTable[Outcome2]="Win Half Stake",(BetTable[S2]/2)+BetTable[WBA2-Commission]/2,IF(BetTable[Outcome2]="Lose Half Stake",BetTable[S2]/2,IF(BetTable[Outcome2]="Lose",0,IF(BetTable[Outcome2]="Void",BetTable[S2],)))))</f>
        <v>0</v>
      </c>
      <c r="AH1143" s="164">
        <f>IF(BetTable[Outcome3]="Win",BetTable[WBA3-Commission],IF(BetTable[Outcome3]="Win Half Stake",(BetTable[S3]/2)+BetTable[WBA3-Commission]/2,IF(BetTable[Outcome3]="Lose Half Stake",BetTable[S3]/2,IF(BetTable[Outcome3]="Lose",0,IF(BetTable[Outcome3]="Void",BetTable[S3],)))))</f>
        <v>0</v>
      </c>
      <c r="AI1143" s="168">
        <f>IF(BetTable[Outcome]="",AI1142,BetTable[Result]+AI1142)</f>
        <v>1928.8927499999995</v>
      </c>
      <c r="AJ1143" s="160"/>
    </row>
    <row r="1144" spans="1:36" x14ac:dyDescent="0.2">
      <c r="A1144" s="159" t="s">
        <v>2791</v>
      </c>
      <c r="B1144" s="160" t="s">
        <v>200</v>
      </c>
      <c r="C1144" s="161" t="s">
        <v>1714</v>
      </c>
      <c r="D1144" s="161"/>
      <c r="E1144" s="161"/>
      <c r="F1144" s="162"/>
      <c r="G1144" s="162"/>
      <c r="H1144" s="162"/>
      <c r="I1144" s="160" t="s">
        <v>2796</v>
      </c>
      <c r="J1144" s="163">
        <v>1.76</v>
      </c>
      <c r="K1144" s="163"/>
      <c r="L1144" s="163"/>
      <c r="M1144" s="164">
        <v>39</v>
      </c>
      <c r="N1144" s="164"/>
      <c r="O1144" s="164"/>
      <c r="P1144" s="159" t="s">
        <v>428</v>
      </c>
      <c r="Q1144" s="159" t="s">
        <v>677</v>
      </c>
      <c r="R1144" s="159" t="s">
        <v>2833</v>
      </c>
      <c r="S1144" s="165">
        <v>1.6614037004347201E-2</v>
      </c>
      <c r="T1144" s="166" t="s">
        <v>372</v>
      </c>
      <c r="U1144" s="166"/>
      <c r="V1144" s="166"/>
      <c r="W1144" s="167">
        <f>IF(BetTable[Sport]="","",BetTable[Stake]+BetTable[S2]+BetTable[S3])</f>
        <v>39</v>
      </c>
      <c r="X1144" s="164">
        <f>IF(BetTable[Odds]="","",(BetTable[WBA1-Commission])-BetTable[TS])</f>
        <v>29.64</v>
      </c>
      <c r="Y1144" s="168">
        <f>IF(BetTable[Outcome]="","",BetTable[WBA1]+BetTable[WBA2]+BetTable[WBA3]-BetTable[TS])</f>
        <v>29.64</v>
      </c>
      <c r="Z1144" s="164">
        <f>(((BetTable[Odds]-1)*BetTable[Stake])*(1-(BetTable[Comm %]))+BetTable[Stake])</f>
        <v>68.64</v>
      </c>
      <c r="AA1144" s="164">
        <f>(((BetTable[O2]-1)*BetTable[S2])*(1-(BetTable[C% 2]))+BetTable[S2])</f>
        <v>0</v>
      </c>
      <c r="AB1144" s="164">
        <f>(((BetTable[O3]-1)*BetTable[S3])*(1-(BetTable[C% 3]))+BetTable[S3])</f>
        <v>0</v>
      </c>
      <c r="AC1144" s="165">
        <f>IFERROR(IF(BetTable[Sport]="","",BetTable[R1]/BetTable[TS]),"")</f>
        <v>0.76</v>
      </c>
      <c r="AD1144" s="165" t="str">
        <f>IF(BetTable[O2]="","",#REF!/BetTable[TS])</f>
        <v/>
      </c>
      <c r="AE1144" s="165" t="str">
        <f>IFERROR(IF(BetTable[Sport]="","",#REF!/BetTable[TS]),"")</f>
        <v/>
      </c>
      <c r="AF1144" s="164">
        <f>IF(BetTable[Outcome]="Win",BetTable[WBA1-Commission],IF(BetTable[Outcome]="Win Half Stake",(BetTable[Stake]/2)+BetTable[WBA1-Commission]/2,IF(BetTable[Outcome]="Lose Half Stake",BetTable[Stake]/2,IF(BetTable[Outcome]="Lose",0,IF(BetTable[Outcome]="Void",BetTable[Stake],)))))</f>
        <v>68.64</v>
      </c>
      <c r="AG1144" s="164">
        <f>IF(BetTable[Outcome2]="Win",BetTable[WBA2-Commission],IF(BetTable[Outcome2]="Win Half Stake",(BetTable[S2]/2)+BetTable[WBA2-Commission]/2,IF(BetTable[Outcome2]="Lose Half Stake",BetTable[S2]/2,IF(BetTable[Outcome2]="Lose",0,IF(BetTable[Outcome2]="Void",BetTable[S2],)))))</f>
        <v>0</v>
      </c>
      <c r="AH1144" s="164">
        <f>IF(BetTable[Outcome3]="Win",BetTable[WBA3-Commission],IF(BetTable[Outcome3]="Win Half Stake",(BetTable[S3]/2)+BetTable[WBA3-Commission]/2,IF(BetTable[Outcome3]="Lose Half Stake",BetTable[S3]/2,IF(BetTable[Outcome3]="Lose",0,IF(BetTable[Outcome3]="Void",BetTable[S3],)))))</f>
        <v>0</v>
      </c>
      <c r="AI1144" s="168">
        <f>IF(BetTable[Outcome]="",AI1143,BetTable[Result]+AI1143)</f>
        <v>1958.5327499999996</v>
      </c>
      <c r="AJ1144" s="160"/>
    </row>
    <row r="1145" spans="1:36" x14ac:dyDescent="0.2">
      <c r="A1145" s="159" t="s">
        <v>2791</v>
      </c>
      <c r="B1145" s="160" t="s">
        <v>200</v>
      </c>
      <c r="C1145" s="161" t="s">
        <v>216</v>
      </c>
      <c r="D1145" s="161"/>
      <c r="E1145" s="161"/>
      <c r="F1145" s="162"/>
      <c r="G1145" s="162"/>
      <c r="H1145" s="162"/>
      <c r="I1145" s="160" t="s">
        <v>2834</v>
      </c>
      <c r="J1145" s="163">
        <v>4.54</v>
      </c>
      <c r="K1145" s="163"/>
      <c r="L1145" s="163"/>
      <c r="M1145" s="164">
        <v>11</v>
      </c>
      <c r="N1145" s="164"/>
      <c r="O1145" s="164"/>
      <c r="P1145" s="159" t="s">
        <v>428</v>
      </c>
      <c r="Q1145" s="159" t="s">
        <v>474</v>
      </c>
      <c r="R1145" s="159" t="s">
        <v>2835</v>
      </c>
      <c r="S1145" s="165">
        <v>2.09266994790266E-2</v>
      </c>
      <c r="T1145" s="166" t="s">
        <v>382</v>
      </c>
      <c r="U1145" s="166"/>
      <c r="V1145" s="166"/>
      <c r="W1145" s="167">
        <f>IF(BetTable[Sport]="","",BetTable[Stake]+BetTable[S2]+BetTable[S3])</f>
        <v>11</v>
      </c>
      <c r="X1145" s="164">
        <f>IF(BetTable[Odds]="","",(BetTable[WBA1-Commission])-BetTable[TS])</f>
        <v>38.94</v>
      </c>
      <c r="Y1145" s="168">
        <f>IF(BetTable[Outcome]="","",BetTable[WBA1]+BetTable[WBA2]+BetTable[WBA3]-BetTable[TS])</f>
        <v>-11</v>
      </c>
      <c r="Z1145" s="164">
        <f>(((BetTable[Odds]-1)*BetTable[Stake])*(1-(BetTable[Comm %]))+BetTable[Stake])</f>
        <v>49.94</v>
      </c>
      <c r="AA1145" s="164">
        <f>(((BetTable[O2]-1)*BetTable[S2])*(1-(BetTable[C% 2]))+BetTable[S2])</f>
        <v>0</v>
      </c>
      <c r="AB1145" s="164">
        <f>(((BetTable[O3]-1)*BetTable[S3])*(1-(BetTable[C% 3]))+BetTable[S3])</f>
        <v>0</v>
      </c>
      <c r="AC1145" s="165">
        <f>IFERROR(IF(BetTable[Sport]="","",BetTable[R1]/BetTable[TS]),"")</f>
        <v>3.5399999999999996</v>
      </c>
      <c r="AD1145" s="165" t="str">
        <f>IF(BetTable[O2]="","",#REF!/BetTable[TS])</f>
        <v/>
      </c>
      <c r="AE1145" s="165" t="str">
        <f>IFERROR(IF(BetTable[Sport]="","",#REF!/BetTable[TS]),"")</f>
        <v/>
      </c>
      <c r="AF1145" s="164">
        <f>IF(BetTable[Outcome]="Win",BetTable[WBA1-Commission],IF(BetTable[Outcome]="Win Half Stake",(BetTable[Stake]/2)+BetTable[WBA1-Commission]/2,IF(BetTable[Outcome]="Lose Half Stake",BetTable[Stake]/2,IF(BetTable[Outcome]="Lose",0,IF(BetTable[Outcome]="Void",BetTable[Stake],)))))</f>
        <v>0</v>
      </c>
      <c r="AG1145" s="164">
        <f>IF(BetTable[Outcome2]="Win",BetTable[WBA2-Commission],IF(BetTable[Outcome2]="Win Half Stake",(BetTable[S2]/2)+BetTable[WBA2-Commission]/2,IF(BetTable[Outcome2]="Lose Half Stake",BetTable[S2]/2,IF(BetTable[Outcome2]="Lose",0,IF(BetTable[Outcome2]="Void",BetTable[S2],)))))</f>
        <v>0</v>
      </c>
      <c r="AH1145" s="164">
        <f>IF(BetTable[Outcome3]="Win",BetTable[WBA3-Commission],IF(BetTable[Outcome3]="Win Half Stake",(BetTable[S3]/2)+BetTable[WBA3-Commission]/2,IF(BetTable[Outcome3]="Lose Half Stake",BetTable[S3]/2,IF(BetTable[Outcome3]="Lose",0,IF(BetTable[Outcome3]="Void",BetTable[S3],)))))</f>
        <v>0</v>
      </c>
      <c r="AI1145" s="168">
        <f>IF(BetTable[Outcome]="",AI1144,BetTable[Result]+AI1144)</f>
        <v>1947.5327499999996</v>
      </c>
      <c r="AJ1145" s="160"/>
    </row>
    <row r="1146" spans="1:36" x14ac:dyDescent="0.2">
      <c r="A1146" s="159" t="s">
        <v>2791</v>
      </c>
      <c r="B1146" s="160" t="s">
        <v>200</v>
      </c>
      <c r="C1146" s="161" t="s">
        <v>1714</v>
      </c>
      <c r="D1146" s="161"/>
      <c r="E1146" s="161"/>
      <c r="F1146" s="162"/>
      <c r="G1146" s="162"/>
      <c r="H1146" s="162"/>
      <c r="I1146" s="160" t="s">
        <v>2796</v>
      </c>
      <c r="J1146" s="163">
        <v>1.79</v>
      </c>
      <c r="K1146" s="163"/>
      <c r="L1146" s="163"/>
      <c r="M1146" s="164">
        <v>59</v>
      </c>
      <c r="N1146" s="164"/>
      <c r="O1146" s="164"/>
      <c r="P1146" s="159" t="s">
        <v>637</v>
      </c>
      <c r="Q1146" s="159" t="s">
        <v>677</v>
      </c>
      <c r="R1146" s="159" t="s">
        <v>2836</v>
      </c>
      <c r="S1146" s="165">
        <v>2.6167013162546798E-2</v>
      </c>
      <c r="T1146" s="166" t="s">
        <v>372</v>
      </c>
      <c r="U1146" s="166"/>
      <c r="V1146" s="166"/>
      <c r="W1146" s="167">
        <f>IF(BetTable[Sport]="","",BetTable[Stake]+BetTable[S2]+BetTable[S3])</f>
        <v>59</v>
      </c>
      <c r="X1146" s="164">
        <f>IF(BetTable[Odds]="","",(BetTable[WBA1-Commission])-BetTable[TS])</f>
        <v>46.61</v>
      </c>
      <c r="Y1146" s="168">
        <f>IF(BetTable[Outcome]="","",BetTable[WBA1]+BetTable[WBA2]+BetTable[WBA3]-BetTable[TS])</f>
        <v>46.61</v>
      </c>
      <c r="Z1146" s="164">
        <f>(((BetTable[Odds]-1)*BetTable[Stake])*(1-(BetTable[Comm %]))+BetTable[Stake])</f>
        <v>105.61</v>
      </c>
      <c r="AA1146" s="164">
        <f>(((BetTable[O2]-1)*BetTable[S2])*(1-(BetTable[C% 2]))+BetTable[S2])</f>
        <v>0</v>
      </c>
      <c r="AB1146" s="164">
        <f>(((BetTable[O3]-1)*BetTable[S3])*(1-(BetTable[C% 3]))+BetTable[S3])</f>
        <v>0</v>
      </c>
      <c r="AC1146" s="165">
        <f>IFERROR(IF(BetTable[Sport]="","",BetTable[R1]/BetTable[TS]),"")</f>
        <v>0.79</v>
      </c>
      <c r="AD1146" s="165" t="str">
        <f>IF(BetTable[O2]="","",#REF!/BetTable[TS])</f>
        <v/>
      </c>
      <c r="AE1146" s="165" t="str">
        <f>IFERROR(IF(BetTable[Sport]="","",#REF!/BetTable[TS]),"")</f>
        <v/>
      </c>
      <c r="AF1146" s="164">
        <f>IF(BetTable[Outcome]="Win",BetTable[WBA1-Commission],IF(BetTable[Outcome]="Win Half Stake",(BetTable[Stake]/2)+BetTable[WBA1-Commission]/2,IF(BetTable[Outcome]="Lose Half Stake",BetTable[Stake]/2,IF(BetTable[Outcome]="Lose",0,IF(BetTable[Outcome]="Void",BetTable[Stake],)))))</f>
        <v>105.61</v>
      </c>
      <c r="AG1146" s="164">
        <f>IF(BetTable[Outcome2]="Win",BetTable[WBA2-Commission],IF(BetTable[Outcome2]="Win Half Stake",(BetTable[S2]/2)+BetTable[WBA2-Commission]/2,IF(BetTable[Outcome2]="Lose Half Stake",BetTable[S2]/2,IF(BetTable[Outcome2]="Lose",0,IF(BetTable[Outcome2]="Void",BetTable[S2],)))))</f>
        <v>0</v>
      </c>
      <c r="AH1146" s="164">
        <f>IF(BetTable[Outcome3]="Win",BetTable[WBA3-Commission],IF(BetTable[Outcome3]="Win Half Stake",(BetTable[S3]/2)+BetTable[WBA3-Commission]/2,IF(BetTable[Outcome3]="Lose Half Stake",BetTable[S3]/2,IF(BetTable[Outcome3]="Lose",0,IF(BetTable[Outcome3]="Void",BetTable[S3],)))))</f>
        <v>0</v>
      </c>
      <c r="AI1146" s="168">
        <f>IF(BetTable[Outcome]="",AI1145,BetTable[Result]+AI1145)</f>
        <v>1994.1427499999995</v>
      </c>
      <c r="AJ1146" s="160"/>
    </row>
    <row r="1147" spans="1:36" x14ac:dyDescent="0.2">
      <c r="A1147" s="159" t="s">
        <v>2791</v>
      </c>
      <c r="B1147" s="160" t="s">
        <v>7</v>
      </c>
      <c r="C1147" s="161" t="s">
        <v>216</v>
      </c>
      <c r="D1147" s="161"/>
      <c r="E1147" s="161"/>
      <c r="F1147" s="162"/>
      <c r="G1147" s="162"/>
      <c r="H1147" s="162"/>
      <c r="I1147" s="160" t="s">
        <v>2837</v>
      </c>
      <c r="J1147" s="163">
        <v>1.909</v>
      </c>
      <c r="K1147" s="163"/>
      <c r="L1147" s="163"/>
      <c r="M1147" s="164">
        <v>119</v>
      </c>
      <c r="N1147" s="164"/>
      <c r="O1147" s="164"/>
      <c r="P1147" s="159" t="s">
        <v>2838</v>
      </c>
      <c r="Q1147" s="159" t="s">
        <v>1580</v>
      </c>
      <c r="R1147" s="159" t="s">
        <v>2839</v>
      </c>
      <c r="S1147" s="165">
        <v>9.2788581410071097E-2</v>
      </c>
      <c r="T1147" s="166" t="s">
        <v>383</v>
      </c>
      <c r="U1147" s="166"/>
      <c r="V1147" s="166"/>
      <c r="W1147" s="167">
        <f>IF(BetTable[Sport]="","",BetTable[Stake]+BetTable[S2]+BetTable[S3])</f>
        <v>119</v>
      </c>
      <c r="X1147" s="164">
        <f>IF(BetTable[Odds]="","",(BetTable[WBA1-Commission])-BetTable[TS])</f>
        <v>108.17099999999999</v>
      </c>
      <c r="Y1147" s="168">
        <f>IF(BetTable[Outcome]="","",BetTable[WBA1]+BetTable[WBA2]+BetTable[WBA3]-BetTable[TS])</f>
        <v>0</v>
      </c>
      <c r="Z1147" s="164">
        <f>(((BetTable[Odds]-1)*BetTable[Stake])*(1-(BetTable[Comm %]))+BetTable[Stake])</f>
        <v>227.17099999999999</v>
      </c>
      <c r="AA1147" s="164">
        <f>(((BetTable[O2]-1)*BetTable[S2])*(1-(BetTable[C% 2]))+BetTable[S2])</f>
        <v>0</v>
      </c>
      <c r="AB1147" s="164">
        <f>(((BetTable[O3]-1)*BetTable[S3])*(1-(BetTable[C% 3]))+BetTable[S3])</f>
        <v>0</v>
      </c>
      <c r="AC1147" s="165">
        <f>IFERROR(IF(BetTable[Sport]="","",BetTable[R1]/BetTable[TS]),"")</f>
        <v>0.90899999999999992</v>
      </c>
      <c r="AD1147" s="165" t="str">
        <f>IF(BetTable[O2]="","",#REF!/BetTable[TS])</f>
        <v/>
      </c>
      <c r="AE1147" s="165" t="str">
        <f>IFERROR(IF(BetTable[Sport]="","",#REF!/BetTable[TS]),"")</f>
        <v/>
      </c>
      <c r="AF1147" s="164">
        <f>IF(BetTable[Outcome]="Win",BetTable[WBA1-Commission],IF(BetTable[Outcome]="Win Half Stake",(BetTable[Stake]/2)+BetTable[WBA1-Commission]/2,IF(BetTable[Outcome]="Lose Half Stake",BetTable[Stake]/2,IF(BetTable[Outcome]="Lose",0,IF(BetTable[Outcome]="Void",BetTable[Stake],)))))</f>
        <v>119</v>
      </c>
      <c r="AG1147" s="164">
        <f>IF(BetTable[Outcome2]="Win",BetTable[WBA2-Commission],IF(BetTable[Outcome2]="Win Half Stake",(BetTable[S2]/2)+BetTable[WBA2-Commission]/2,IF(BetTable[Outcome2]="Lose Half Stake",BetTable[S2]/2,IF(BetTable[Outcome2]="Lose",0,IF(BetTable[Outcome2]="Void",BetTable[S2],)))))</f>
        <v>0</v>
      </c>
      <c r="AH1147" s="164">
        <f>IF(BetTable[Outcome3]="Win",BetTable[WBA3-Commission],IF(BetTable[Outcome3]="Win Half Stake",(BetTable[S3]/2)+BetTable[WBA3-Commission]/2,IF(BetTable[Outcome3]="Lose Half Stake",BetTable[S3]/2,IF(BetTable[Outcome3]="Lose",0,IF(BetTable[Outcome3]="Void",BetTable[S3],)))))</f>
        <v>0</v>
      </c>
      <c r="AI1147" s="168">
        <f>IF(BetTable[Outcome]="",AI1146,BetTable[Result]+AI1146)</f>
        <v>1994.1427499999995</v>
      </c>
      <c r="AJ1147" s="160"/>
    </row>
    <row r="1148" spans="1:36" x14ac:dyDescent="0.2">
      <c r="A1148" s="159" t="s">
        <v>2791</v>
      </c>
      <c r="B1148" s="160" t="s">
        <v>200</v>
      </c>
      <c r="C1148" s="161" t="s">
        <v>1714</v>
      </c>
      <c r="D1148" s="161"/>
      <c r="E1148" s="161"/>
      <c r="F1148" s="162"/>
      <c r="G1148" s="162"/>
      <c r="H1148" s="162"/>
      <c r="I1148" s="160" t="s">
        <v>2840</v>
      </c>
      <c r="J1148" s="163">
        <v>1.91</v>
      </c>
      <c r="K1148" s="163"/>
      <c r="L1148" s="163"/>
      <c r="M1148" s="164">
        <v>57</v>
      </c>
      <c r="N1148" s="164"/>
      <c r="O1148" s="164"/>
      <c r="P1148" s="159" t="s">
        <v>360</v>
      </c>
      <c r="Q1148" s="159" t="s">
        <v>703</v>
      </c>
      <c r="R1148" s="159" t="s">
        <v>2841</v>
      </c>
      <c r="S1148" s="165">
        <v>2.8929184847259499E-2</v>
      </c>
      <c r="T1148" s="166" t="s">
        <v>372</v>
      </c>
      <c r="U1148" s="166"/>
      <c r="V1148" s="166"/>
      <c r="W1148" s="167">
        <f>IF(BetTable[Sport]="","",BetTable[Stake]+BetTable[S2]+BetTable[S3])</f>
        <v>57</v>
      </c>
      <c r="X1148" s="164">
        <f>IF(BetTable[Odds]="","",(BetTable[WBA1-Commission])-BetTable[TS])</f>
        <v>51.870000000000005</v>
      </c>
      <c r="Y1148" s="168">
        <f>IF(BetTable[Outcome]="","",BetTable[WBA1]+BetTable[WBA2]+BetTable[WBA3]-BetTable[TS])</f>
        <v>51.870000000000005</v>
      </c>
      <c r="Z1148" s="164">
        <f>(((BetTable[Odds]-1)*BetTable[Stake])*(1-(BetTable[Comm %]))+BetTable[Stake])</f>
        <v>108.87</v>
      </c>
      <c r="AA1148" s="164">
        <f>(((BetTable[O2]-1)*BetTable[S2])*(1-(BetTable[C% 2]))+BetTable[S2])</f>
        <v>0</v>
      </c>
      <c r="AB1148" s="164">
        <f>(((BetTable[O3]-1)*BetTable[S3])*(1-(BetTable[C% 3]))+BetTable[S3])</f>
        <v>0</v>
      </c>
      <c r="AC1148" s="165">
        <f>IFERROR(IF(BetTable[Sport]="","",BetTable[R1]/BetTable[TS]),"")</f>
        <v>0.91</v>
      </c>
      <c r="AD1148" s="165" t="str">
        <f>IF(BetTable[O2]="","",#REF!/BetTable[TS])</f>
        <v/>
      </c>
      <c r="AE1148" s="165" t="str">
        <f>IFERROR(IF(BetTable[Sport]="","",#REF!/BetTable[TS]),"")</f>
        <v/>
      </c>
      <c r="AF1148" s="164">
        <f>IF(BetTable[Outcome]="Win",BetTable[WBA1-Commission],IF(BetTable[Outcome]="Win Half Stake",(BetTable[Stake]/2)+BetTable[WBA1-Commission]/2,IF(BetTable[Outcome]="Lose Half Stake",BetTable[Stake]/2,IF(BetTable[Outcome]="Lose",0,IF(BetTable[Outcome]="Void",BetTable[Stake],)))))</f>
        <v>108.87</v>
      </c>
      <c r="AG1148" s="164">
        <f>IF(BetTable[Outcome2]="Win",BetTable[WBA2-Commission],IF(BetTable[Outcome2]="Win Half Stake",(BetTable[S2]/2)+BetTable[WBA2-Commission]/2,IF(BetTable[Outcome2]="Lose Half Stake",BetTable[S2]/2,IF(BetTable[Outcome2]="Lose",0,IF(BetTable[Outcome2]="Void",BetTable[S2],)))))</f>
        <v>0</v>
      </c>
      <c r="AH1148" s="164">
        <f>IF(BetTable[Outcome3]="Win",BetTable[WBA3-Commission],IF(BetTable[Outcome3]="Win Half Stake",(BetTable[S3]/2)+BetTable[WBA3-Commission]/2,IF(BetTable[Outcome3]="Lose Half Stake",BetTable[S3]/2,IF(BetTable[Outcome3]="Lose",0,IF(BetTable[Outcome3]="Void",BetTable[S3],)))))</f>
        <v>0</v>
      </c>
      <c r="AI1148" s="168">
        <f>IF(BetTable[Outcome]="",AI1147,BetTable[Result]+AI1147)</f>
        <v>2046.0127499999994</v>
      </c>
      <c r="AJ1148" s="160"/>
    </row>
    <row r="1149" spans="1:36" x14ac:dyDescent="0.2">
      <c r="A1149" s="159" t="s">
        <v>2791</v>
      </c>
      <c r="B1149" s="160" t="s">
        <v>200</v>
      </c>
      <c r="C1149" s="161" t="s">
        <v>1714</v>
      </c>
      <c r="D1149" s="161"/>
      <c r="E1149" s="161"/>
      <c r="F1149" s="162"/>
      <c r="G1149" s="162"/>
      <c r="H1149" s="162"/>
      <c r="I1149" s="160" t="s">
        <v>2842</v>
      </c>
      <c r="J1149" s="163">
        <v>1.95</v>
      </c>
      <c r="K1149" s="163"/>
      <c r="L1149" s="163"/>
      <c r="M1149" s="164">
        <v>52</v>
      </c>
      <c r="N1149" s="164"/>
      <c r="O1149" s="164"/>
      <c r="P1149" s="159" t="s">
        <v>360</v>
      </c>
      <c r="Q1149" s="159" t="s">
        <v>488</v>
      </c>
      <c r="R1149" s="159" t="s">
        <v>2843</v>
      </c>
      <c r="S1149" s="165">
        <v>2.77050875319323E-2</v>
      </c>
      <c r="T1149" s="166" t="s">
        <v>383</v>
      </c>
      <c r="U1149" s="166"/>
      <c r="V1149" s="166"/>
      <c r="W1149" s="167">
        <f>IF(BetTable[Sport]="","",BetTable[Stake]+BetTable[S2]+BetTable[S3])</f>
        <v>52</v>
      </c>
      <c r="X1149" s="164">
        <f>IF(BetTable[Odds]="","",(BetTable[WBA1-Commission])-BetTable[TS])</f>
        <v>49.400000000000006</v>
      </c>
      <c r="Y1149" s="168">
        <f>IF(BetTable[Outcome]="","",BetTable[WBA1]+BetTable[WBA2]+BetTable[WBA3]-BetTable[TS])</f>
        <v>0</v>
      </c>
      <c r="Z1149" s="164">
        <f>(((BetTable[Odds]-1)*BetTable[Stake])*(1-(BetTable[Comm %]))+BetTable[Stake])</f>
        <v>101.4</v>
      </c>
      <c r="AA1149" s="164">
        <f>(((BetTable[O2]-1)*BetTable[S2])*(1-(BetTable[C% 2]))+BetTable[S2])</f>
        <v>0</v>
      </c>
      <c r="AB1149" s="164">
        <f>(((BetTable[O3]-1)*BetTable[S3])*(1-(BetTable[C% 3]))+BetTable[S3])</f>
        <v>0</v>
      </c>
      <c r="AC1149" s="165">
        <f>IFERROR(IF(BetTable[Sport]="","",BetTable[R1]/BetTable[TS]),"")</f>
        <v>0.95000000000000007</v>
      </c>
      <c r="AD1149" s="165" t="str">
        <f>IF(BetTable[O2]="","",#REF!/BetTable[TS])</f>
        <v/>
      </c>
      <c r="AE1149" s="165" t="str">
        <f>IFERROR(IF(BetTable[Sport]="","",#REF!/BetTable[TS]),"")</f>
        <v/>
      </c>
      <c r="AF1149" s="164">
        <f>IF(BetTable[Outcome]="Win",BetTable[WBA1-Commission],IF(BetTable[Outcome]="Win Half Stake",(BetTable[Stake]/2)+BetTable[WBA1-Commission]/2,IF(BetTable[Outcome]="Lose Half Stake",BetTable[Stake]/2,IF(BetTable[Outcome]="Lose",0,IF(BetTable[Outcome]="Void",BetTable[Stake],)))))</f>
        <v>52</v>
      </c>
      <c r="AG1149" s="164">
        <f>IF(BetTable[Outcome2]="Win",BetTable[WBA2-Commission],IF(BetTable[Outcome2]="Win Half Stake",(BetTable[S2]/2)+BetTable[WBA2-Commission]/2,IF(BetTable[Outcome2]="Lose Half Stake",BetTable[S2]/2,IF(BetTable[Outcome2]="Lose",0,IF(BetTable[Outcome2]="Void",BetTable[S2],)))))</f>
        <v>0</v>
      </c>
      <c r="AH1149" s="164">
        <f>IF(BetTable[Outcome3]="Win",BetTable[WBA3-Commission],IF(BetTable[Outcome3]="Win Half Stake",(BetTable[S3]/2)+BetTable[WBA3-Commission]/2,IF(BetTable[Outcome3]="Lose Half Stake",BetTable[S3]/2,IF(BetTable[Outcome3]="Lose",0,IF(BetTable[Outcome3]="Void",BetTable[S3],)))))</f>
        <v>0</v>
      </c>
      <c r="AI1149" s="168">
        <f>IF(BetTable[Outcome]="",AI1148,BetTable[Result]+AI1148)</f>
        <v>2046.0127499999994</v>
      </c>
      <c r="AJ1149" s="160"/>
    </row>
    <row r="1150" spans="1:36" x14ac:dyDescent="0.2">
      <c r="A1150" s="159" t="s">
        <v>2791</v>
      </c>
      <c r="B1150" s="160" t="s">
        <v>200</v>
      </c>
      <c r="C1150" s="161" t="s">
        <v>1714</v>
      </c>
      <c r="D1150" s="161"/>
      <c r="E1150" s="161"/>
      <c r="F1150" s="162"/>
      <c r="G1150" s="162"/>
      <c r="H1150" s="162"/>
      <c r="I1150" s="160" t="s">
        <v>2844</v>
      </c>
      <c r="J1150" s="163">
        <v>3.35</v>
      </c>
      <c r="K1150" s="163"/>
      <c r="L1150" s="163"/>
      <c r="M1150" s="164">
        <v>22</v>
      </c>
      <c r="N1150" s="164"/>
      <c r="O1150" s="164"/>
      <c r="P1150" s="159" t="s">
        <v>494</v>
      </c>
      <c r="Q1150" s="159" t="s">
        <v>968</v>
      </c>
      <c r="R1150" s="159" t="s">
        <v>2845</v>
      </c>
      <c r="S1150" s="165">
        <v>2.8697566022584602E-2</v>
      </c>
      <c r="T1150" s="166" t="s">
        <v>372</v>
      </c>
      <c r="U1150" s="166"/>
      <c r="V1150" s="166"/>
      <c r="W1150" s="167">
        <f>IF(BetTable[Sport]="","",BetTable[Stake]+BetTable[S2]+BetTable[S3])</f>
        <v>22</v>
      </c>
      <c r="X1150" s="164">
        <f>IF(BetTable[Odds]="","",(BetTable[WBA1-Commission])-BetTable[TS])</f>
        <v>51.7</v>
      </c>
      <c r="Y1150" s="168">
        <f>IF(BetTable[Outcome]="","",BetTable[WBA1]+BetTable[WBA2]+BetTable[WBA3]-BetTable[TS])</f>
        <v>51.7</v>
      </c>
      <c r="Z1150" s="164">
        <f>(((BetTable[Odds]-1)*BetTable[Stake])*(1-(BetTable[Comm %]))+BetTable[Stake])</f>
        <v>73.7</v>
      </c>
      <c r="AA1150" s="164">
        <f>(((BetTable[O2]-1)*BetTable[S2])*(1-(BetTable[C% 2]))+BetTable[S2])</f>
        <v>0</v>
      </c>
      <c r="AB1150" s="164">
        <f>(((BetTable[O3]-1)*BetTable[S3])*(1-(BetTable[C% 3]))+BetTable[S3])</f>
        <v>0</v>
      </c>
      <c r="AC1150" s="165">
        <f>IFERROR(IF(BetTable[Sport]="","",BetTable[R1]/BetTable[TS]),"")</f>
        <v>2.35</v>
      </c>
      <c r="AD1150" s="165" t="str">
        <f>IF(BetTable[O2]="","",#REF!/BetTable[TS])</f>
        <v/>
      </c>
      <c r="AE1150" s="165" t="str">
        <f>IFERROR(IF(BetTable[Sport]="","",#REF!/BetTable[TS]),"")</f>
        <v/>
      </c>
      <c r="AF1150" s="164">
        <f>IF(BetTable[Outcome]="Win",BetTable[WBA1-Commission],IF(BetTable[Outcome]="Win Half Stake",(BetTable[Stake]/2)+BetTable[WBA1-Commission]/2,IF(BetTable[Outcome]="Lose Half Stake",BetTable[Stake]/2,IF(BetTable[Outcome]="Lose",0,IF(BetTable[Outcome]="Void",BetTable[Stake],)))))</f>
        <v>73.7</v>
      </c>
      <c r="AG1150" s="164">
        <f>IF(BetTable[Outcome2]="Win",BetTable[WBA2-Commission],IF(BetTable[Outcome2]="Win Half Stake",(BetTable[S2]/2)+BetTable[WBA2-Commission]/2,IF(BetTable[Outcome2]="Lose Half Stake",BetTable[S2]/2,IF(BetTable[Outcome2]="Lose",0,IF(BetTable[Outcome2]="Void",BetTable[S2],)))))</f>
        <v>0</v>
      </c>
      <c r="AH1150" s="164">
        <f>IF(BetTable[Outcome3]="Win",BetTable[WBA3-Commission],IF(BetTable[Outcome3]="Win Half Stake",(BetTable[S3]/2)+BetTable[WBA3-Commission]/2,IF(BetTable[Outcome3]="Lose Half Stake",BetTable[S3]/2,IF(BetTable[Outcome3]="Lose",0,IF(BetTable[Outcome3]="Void",BetTable[S3],)))))</f>
        <v>0</v>
      </c>
      <c r="AI1150" s="168">
        <f>IF(BetTable[Outcome]="",AI1149,BetTable[Result]+AI1149)</f>
        <v>2097.7127499999992</v>
      </c>
      <c r="AJ1150" s="160"/>
    </row>
    <row r="1151" spans="1:36" x14ac:dyDescent="0.2">
      <c r="A1151" s="159" t="s">
        <v>2791</v>
      </c>
      <c r="B1151" s="160" t="s">
        <v>200</v>
      </c>
      <c r="C1151" s="161" t="s">
        <v>1714</v>
      </c>
      <c r="D1151" s="161"/>
      <c r="E1151" s="161"/>
      <c r="F1151" s="162"/>
      <c r="G1151" s="162"/>
      <c r="H1151" s="162"/>
      <c r="I1151" s="160" t="s">
        <v>2846</v>
      </c>
      <c r="J1151" s="163">
        <v>1.93</v>
      </c>
      <c r="K1151" s="163"/>
      <c r="L1151" s="163"/>
      <c r="M1151" s="164">
        <v>54</v>
      </c>
      <c r="N1151" s="164"/>
      <c r="O1151" s="164"/>
      <c r="P1151" s="159" t="s">
        <v>1710</v>
      </c>
      <c r="Q1151" s="159" t="s">
        <v>429</v>
      </c>
      <c r="R1151" s="159" t="s">
        <v>2847</v>
      </c>
      <c r="S1151" s="165">
        <v>2.8071895424836599E-2</v>
      </c>
      <c r="T1151" s="166" t="s">
        <v>372</v>
      </c>
      <c r="U1151" s="166"/>
      <c r="V1151" s="166"/>
      <c r="W1151" s="167">
        <f>IF(BetTable[Sport]="","",BetTable[Stake]+BetTable[S2]+BetTable[S3])</f>
        <v>54</v>
      </c>
      <c r="X1151" s="164">
        <f>IF(BetTable[Odds]="","",(BetTable[WBA1-Commission])-BetTable[TS])</f>
        <v>50.22</v>
      </c>
      <c r="Y1151" s="168">
        <f>IF(BetTable[Outcome]="","",BetTable[WBA1]+BetTable[WBA2]+BetTable[WBA3]-BetTable[TS])</f>
        <v>50.22</v>
      </c>
      <c r="Z1151" s="164">
        <f>(((BetTable[Odds]-1)*BetTable[Stake])*(1-(BetTable[Comm %]))+BetTable[Stake])</f>
        <v>104.22</v>
      </c>
      <c r="AA1151" s="164">
        <f>(((BetTable[O2]-1)*BetTable[S2])*(1-(BetTable[C% 2]))+BetTable[S2])</f>
        <v>0</v>
      </c>
      <c r="AB1151" s="164">
        <f>(((BetTable[O3]-1)*BetTable[S3])*(1-(BetTable[C% 3]))+BetTable[S3])</f>
        <v>0</v>
      </c>
      <c r="AC1151" s="165">
        <f>IFERROR(IF(BetTable[Sport]="","",BetTable[R1]/BetTable[TS]),"")</f>
        <v>0.92999999999999994</v>
      </c>
      <c r="AD1151" s="165" t="str">
        <f>IF(BetTable[O2]="","",#REF!/BetTable[TS])</f>
        <v/>
      </c>
      <c r="AE1151" s="165" t="str">
        <f>IFERROR(IF(BetTable[Sport]="","",#REF!/BetTable[TS]),"")</f>
        <v/>
      </c>
      <c r="AF1151" s="164">
        <f>IF(BetTable[Outcome]="Win",BetTable[WBA1-Commission],IF(BetTable[Outcome]="Win Half Stake",(BetTable[Stake]/2)+BetTable[WBA1-Commission]/2,IF(BetTable[Outcome]="Lose Half Stake",BetTable[Stake]/2,IF(BetTable[Outcome]="Lose",0,IF(BetTable[Outcome]="Void",BetTable[Stake],)))))</f>
        <v>104.22</v>
      </c>
      <c r="AG1151" s="164">
        <f>IF(BetTable[Outcome2]="Win",BetTable[WBA2-Commission],IF(BetTable[Outcome2]="Win Half Stake",(BetTable[S2]/2)+BetTable[WBA2-Commission]/2,IF(BetTable[Outcome2]="Lose Half Stake",BetTable[S2]/2,IF(BetTable[Outcome2]="Lose",0,IF(BetTable[Outcome2]="Void",BetTable[S2],)))))</f>
        <v>0</v>
      </c>
      <c r="AH1151" s="164">
        <f>IF(BetTable[Outcome3]="Win",BetTable[WBA3-Commission],IF(BetTable[Outcome3]="Win Half Stake",(BetTable[S3]/2)+BetTable[WBA3-Commission]/2,IF(BetTable[Outcome3]="Lose Half Stake",BetTable[S3]/2,IF(BetTable[Outcome3]="Lose",0,IF(BetTable[Outcome3]="Void",BetTable[S3],)))))</f>
        <v>0</v>
      </c>
      <c r="AI1151" s="168">
        <f>IF(BetTable[Outcome]="",AI1150,BetTable[Result]+AI1150)</f>
        <v>2147.932749999999</v>
      </c>
      <c r="AJ1151" s="160"/>
    </row>
    <row r="1152" spans="1:36" x14ac:dyDescent="0.2">
      <c r="A1152" s="159" t="s">
        <v>2791</v>
      </c>
      <c r="B1152" s="160" t="s">
        <v>200</v>
      </c>
      <c r="C1152" s="161" t="s">
        <v>1714</v>
      </c>
      <c r="D1152" s="161"/>
      <c r="E1152" s="161"/>
      <c r="F1152" s="162"/>
      <c r="G1152" s="162"/>
      <c r="H1152" s="162"/>
      <c r="I1152" s="160" t="s">
        <v>2848</v>
      </c>
      <c r="J1152" s="163">
        <v>3.85</v>
      </c>
      <c r="K1152" s="163"/>
      <c r="L1152" s="163"/>
      <c r="M1152" s="164">
        <v>15</v>
      </c>
      <c r="N1152" s="164"/>
      <c r="O1152" s="164"/>
      <c r="P1152" s="159" t="s">
        <v>494</v>
      </c>
      <c r="Q1152" s="159" t="s">
        <v>968</v>
      </c>
      <c r="R1152" s="159" t="s">
        <v>2849</v>
      </c>
      <c r="S1152" s="165">
        <v>2.4126119587718702E-2</v>
      </c>
      <c r="T1152" s="166" t="s">
        <v>382</v>
      </c>
      <c r="U1152" s="166"/>
      <c r="V1152" s="166"/>
      <c r="W1152" s="167">
        <f>IF(BetTable[Sport]="","",BetTable[Stake]+BetTable[S2]+BetTable[S3])</f>
        <v>15</v>
      </c>
      <c r="X1152" s="164">
        <f>IF(BetTable[Odds]="","",(BetTable[WBA1-Commission])-BetTable[TS])</f>
        <v>42.75</v>
      </c>
      <c r="Y1152" s="168">
        <f>IF(BetTable[Outcome]="","",BetTable[WBA1]+BetTable[WBA2]+BetTable[WBA3]-BetTable[TS])</f>
        <v>-15</v>
      </c>
      <c r="Z1152" s="164">
        <f>(((BetTable[Odds]-1)*BetTable[Stake])*(1-(BetTable[Comm %]))+BetTable[Stake])</f>
        <v>57.75</v>
      </c>
      <c r="AA1152" s="164">
        <f>(((BetTable[O2]-1)*BetTable[S2])*(1-(BetTable[C% 2]))+BetTable[S2])</f>
        <v>0</v>
      </c>
      <c r="AB1152" s="164">
        <f>(((BetTable[O3]-1)*BetTable[S3])*(1-(BetTable[C% 3]))+BetTable[S3])</f>
        <v>0</v>
      </c>
      <c r="AC1152" s="165">
        <f>IFERROR(IF(BetTable[Sport]="","",BetTable[R1]/BetTable[TS]),"")</f>
        <v>2.85</v>
      </c>
      <c r="AD1152" s="165" t="str">
        <f>IF(BetTable[O2]="","",#REF!/BetTable[TS])</f>
        <v/>
      </c>
      <c r="AE1152" s="165" t="str">
        <f>IFERROR(IF(BetTable[Sport]="","",#REF!/BetTable[TS]),"")</f>
        <v/>
      </c>
      <c r="AF1152" s="164">
        <f>IF(BetTable[Outcome]="Win",BetTable[WBA1-Commission],IF(BetTable[Outcome]="Win Half Stake",(BetTable[Stake]/2)+BetTable[WBA1-Commission]/2,IF(BetTable[Outcome]="Lose Half Stake",BetTable[Stake]/2,IF(BetTable[Outcome]="Lose",0,IF(BetTable[Outcome]="Void",BetTable[Stake],)))))</f>
        <v>0</v>
      </c>
      <c r="AG1152" s="164">
        <f>IF(BetTable[Outcome2]="Win",BetTable[WBA2-Commission],IF(BetTable[Outcome2]="Win Half Stake",(BetTable[S2]/2)+BetTable[WBA2-Commission]/2,IF(BetTable[Outcome2]="Lose Half Stake",BetTable[S2]/2,IF(BetTable[Outcome2]="Lose",0,IF(BetTable[Outcome2]="Void",BetTable[S2],)))))</f>
        <v>0</v>
      </c>
      <c r="AH1152" s="164">
        <f>IF(BetTable[Outcome3]="Win",BetTable[WBA3-Commission],IF(BetTable[Outcome3]="Win Half Stake",(BetTable[S3]/2)+BetTable[WBA3-Commission]/2,IF(BetTable[Outcome3]="Lose Half Stake",BetTable[S3]/2,IF(BetTable[Outcome3]="Lose",0,IF(BetTable[Outcome3]="Void",BetTable[S3],)))))</f>
        <v>0</v>
      </c>
      <c r="AI1152" s="168">
        <f>IF(BetTable[Outcome]="",AI1151,BetTable[Result]+AI1151)</f>
        <v>2132.932749999999</v>
      </c>
      <c r="AJ1152" s="160"/>
    </row>
    <row r="1153" spans="1:36" x14ac:dyDescent="0.2">
      <c r="A1153" s="159" t="s">
        <v>2791</v>
      </c>
      <c r="B1153" s="160" t="s">
        <v>200</v>
      </c>
      <c r="C1153" s="161" t="s">
        <v>1714</v>
      </c>
      <c r="D1153" s="161"/>
      <c r="E1153" s="161"/>
      <c r="F1153" s="162"/>
      <c r="G1153" s="162"/>
      <c r="H1153" s="162"/>
      <c r="I1153" s="160" t="s">
        <v>2850</v>
      </c>
      <c r="J1153" s="163">
        <v>1.69</v>
      </c>
      <c r="K1153" s="163"/>
      <c r="L1153" s="163"/>
      <c r="M1153" s="164">
        <v>41</v>
      </c>
      <c r="N1153" s="164"/>
      <c r="O1153" s="164"/>
      <c r="P1153" s="159" t="s">
        <v>620</v>
      </c>
      <c r="Q1153" s="159" t="s">
        <v>461</v>
      </c>
      <c r="R1153" s="159" t="s">
        <v>2851</v>
      </c>
      <c r="S1153" s="165">
        <v>1.5924349524561E-2</v>
      </c>
      <c r="T1153" s="166" t="s">
        <v>382</v>
      </c>
      <c r="U1153" s="166"/>
      <c r="V1153" s="166"/>
      <c r="W1153" s="167">
        <f>IF(BetTable[Sport]="","",BetTable[Stake]+BetTable[S2]+BetTable[S3])</f>
        <v>41</v>
      </c>
      <c r="X1153" s="164">
        <f>IF(BetTable[Odds]="","",(BetTable[WBA1-Commission])-BetTable[TS])</f>
        <v>28.289999999999992</v>
      </c>
      <c r="Y1153" s="168">
        <f>IF(BetTable[Outcome]="","",BetTable[WBA1]+BetTable[WBA2]+BetTable[WBA3]-BetTable[TS])</f>
        <v>-41</v>
      </c>
      <c r="Z1153" s="164">
        <f>(((BetTable[Odds]-1)*BetTable[Stake])*(1-(BetTable[Comm %]))+BetTable[Stake])</f>
        <v>69.289999999999992</v>
      </c>
      <c r="AA1153" s="164">
        <f>(((BetTable[O2]-1)*BetTable[S2])*(1-(BetTable[C% 2]))+BetTable[S2])</f>
        <v>0</v>
      </c>
      <c r="AB1153" s="164">
        <f>(((BetTable[O3]-1)*BetTable[S3])*(1-(BetTable[C% 3]))+BetTable[S3])</f>
        <v>0</v>
      </c>
      <c r="AC1153" s="165">
        <f>IFERROR(IF(BetTable[Sport]="","",BetTable[R1]/BetTable[TS]),"")</f>
        <v>0.68999999999999984</v>
      </c>
      <c r="AD1153" s="165" t="str">
        <f>IF(BetTable[O2]="","",#REF!/BetTable[TS])</f>
        <v/>
      </c>
      <c r="AE1153" s="165" t="str">
        <f>IFERROR(IF(BetTable[Sport]="","",#REF!/BetTable[TS]),"")</f>
        <v/>
      </c>
      <c r="AF1153" s="164">
        <f>IF(BetTable[Outcome]="Win",BetTable[WBA1-Commission],IF(BetTable[Outcome]="Win Half Stake",(BetTable[Stake]/2)+BetTable[WBA1-Commission]/2,IF(BetTable[Outcome]="Lose Half Stake",BetTable[Stake]/2,IF(BetTable[Outcome]="Lose",0,IF(BetTable[Outcome]="Void",BetTable[Stake],)))))</f>
        <v>0</v>
      </c>
      <c r="AG1153" s="164">
        <f>IF(BetTable[Outcome2]="Win",BetTable[WBA2-Commission],IF(BetTable[Outcome2]="Win Half Stake",(BetTable[S2]/2)+BetTable[WBA2-Commission]/2,IF(BetTable[Outcome2]="Lose Half Stake",BetTable[S2]/2,IF(BetTable[Outcome2]="Lose",0,IF(BetTable[Outcome2]="Void",BetTable[S2],)))))</f>
        <v>0</v>
      </c>
      <c r="AH1153" s="164">
        <f>IF(BetTable[Outcome3]="Win",BetTable[WBA3-Commission],IF(BetTable[Outcome3]="Win Half Stake",(BetTable[S3]/2)+BetTable[WBA3-Commission]/2,IF(BetTable[Outcome3]="Lose Half Stake",BetTable[S3]/2,IF(BetTable[Outcome3]="Lose",0,IF(BetTable[Outcome3]="Void",BetTable[S3],)))))</f>
        <v>0</v>
      </c>
      <c r="AI1153" s="168">
        <f>IF(BetTable[Outcome]="",AI1152,BetTable[Result]+AI1152)</f>
        <v>2091.932749999999</v>
      </c>
      <c r="AJ1153" s="160"/>
    </row>
    <row r="1154" spans="1:36" x14ac:dyDescent="0.2">
      <c r="A1154" s="159" t="s">
        <v>2791</v>
      </c>
      <c r="B1154" s="160" t="s">
        <v>200</v>
      </c>
      <c r="C1154" s="161" t="s">
        <v>1714</v>
      </c>
      <c r="D1154" s="161"/>
      <c r="E1154" s="161"/>
      <c r="F1154" s="162"/>
      <c r="G1154" s="162"/>
      <c r="H1154" s="162"/>
      <c r="I1154" s="160" t="s">
        <v>2852</v>
      </c>
      <c r="J1154" s="163">
        <v>1.95</v>
      </c>
      <c r="K1154" s="163"/>
      <c r="L1154" s="163"/>
      <c r="M1154" s="164">
        <v>54</v>
      </c>
      <c r="N1154" s="164"/>
      <c r="O1154" s="164"/>
      <c r="P1154" s="159" t="s">
        <v>1345</v>
      </c>
      <c r="Q1154" s="159" t="s">
        <v>677</v>
      </c>
      <c r="R1154" s="159" t="s">
        <v>2853</v>
      </c>
      <c r="S1154" s="165">
        <v>2.8659181930008801E-2</v>
      </c>
      <c r="T1154" s="166" t="s">
        <v>372</v>
      </c>
      <c r="U1154" s="166"/>
      <c r="V1154" s="166"/>
      <c r="W1154" s="167">
        <f>IF(BetTable[Sport]="","",BetTable[Stake]+BetTable[S2]+BetTable[S3])</f>
        <v>54</v>
      </c>
      <c r="X1154" s="164">
        <f>IF(BetTable[Odds]="","",(BetTable[WBA1-Commission])-BetTable[TS])</f>
        <v>51.3</v>
      </c>
      <c r="Y1154" s="168">
        <f>IF(BetTable[Outcome]="","",BetTable[WBA1]+BetTable[WBA2]+BetTable[WBA3]-BetTable[TS])</f>
        <v>51.3</v>
      </c>
      <c r="Z1154" s="164">
        <f>(((BetTable[Odds]-1)*BetTable[Stake])*(1-(BetTable[Comm %]))+BetTable[Stake])</f>
        <v>105.3</v>
      </c>
      <c r="AA1154" s="164">
        <f>(((BetTable[O2]-1)*BetTable[S2])*(1-(BetTable[C% 2]))+BetTable[S2])</f>
        <v>0</v>
      </c>
      <c r="AB1154" s="164">
        <f>(((BetTable[O3]-1)*BetTable[S3])*(1-(BetTable[C% 3]))+BetTable[S3])</f>
        <v>0</v>
      </c>
      <c r="AC1154" s="165">
        <f>IFERROR(IF(BetTable[Sport]="","",BetTable[R1]/BetTable[TS]),"")</f>
        <v>0.95</v>
      </c>
      <c r="AD1154" s="165" t="str">
        <f>IF(BetTable[O2]="","",#REF!/BetTable[TS])</f>
        <v/>
      </c>
      <c r="AE1154" s="165" t="str">
        <f>IFERROR(IF(BetTable[Sport]="","",#REF!/BetTable[TS]),"")</f>
        <v/>
      </c>
      <c r="AF1154" s="164">
        <f>IF(BetTable[Outcome]="Win",BetTable[WBA1-Commission],IF(BetTable[Outcome]="Win Half Stake",(BetTable[Stake]/2)+BetTable[WBA1-Commission]/2,IF(BetTable[Outcome]="Lose Half Stake",BetTable[Stake]/2,IF(BetTable[Outcome]="Lose",0,IF(BetTable[Outcome]="Void",BetTable[Stake],)))))</f>
        <v>105.3</v>
      </c>
      <c r="AG1154" s="164">
        <f>IF(BetTable[Outcome2]="Win",BetTable[WBA2-Commission],IF(BetTable[Outcome2]="Win Half Stake",(BetTable[S2]/2)+BetTable[WBA2-Commission]/2,IF(BetTable[Outcome2]="Lose Half Stake",BetTable[S2]/2,IF(BetTable[Outcome2]="Lose",0,IF(BetTable[Outcome2]="Void",BetTable[S2],)))))</f>
        <v>0</v>
      </c>
      <c r="AH1154" s="164">
        <f>IF(BetTable[Outcome3]="Win",BetTable[WBA3-Commission],IF(BetTable[Outcome3]="Win Half Stake",(BetTable[S3]/2)+BetTable[WBA3-Commission]/2,IF(BetTable[Outcome3]="Lose Half Stake",BetTable[S3]/2,IF(BetTable[Outcome3]="Lose",0,IF(BetTable[Outcome3]="Void",BetTable[S3],)))))</f>
        <v>0</v>
      </c>
      <c r="AI1154" s="168">
        <f>IF(BetTable[Outcome]="",AI1153,BetTable[Result]+AI1153)</f>
        <v>2143.2327499999992</v>
      </c>
      <c r="AJ1154" s="160"/>
    </row>
    <row r="1155" spans="1:36" x14ac:dyDescent="0.2">
      <c r="A1155" s="159" t="s">
        <v>2791</v>
      </c>
      <c r="B1155" s="160" t="s">
        <v>7</v>
      </c>
      <c r="C1155" s="161" t="s">
        <v>91</v>
      </c>
      <c r="D1155" s="161"/>
      <c r="E1155" s="161"/>
      <c r="F1155" s="162"/>
      <c r="G1155" s="162"/>
      <c r="H1155" s="162"/>
      <c r="I1155" s="160" t="s">
        <v>2854</v>
      </c>
      <c r="J1155" s="163">
        <v>2.0099999999999998</v>
      </c>
      <c r="K1155" s="163"/>
      <c r="L1155" s="163"/>
      <c r="M1155" s="164">
        <v>43</v>
      </c>
      <c r="N1155" s="164"/>
      <c r="O1155" s="164"/>
      <c r="P1155" s="159" t="s">
        <v>2855</v>
      </c>
      <c r="Q1155" s="159" t="s">
        <v>1205</v>
      </c>
      <c r="R1155" s="159" t="s">
        <v>2856</v>
      </c>
      <c r="S1155" s="165">
        <v>2.4485881846123402E-2</v>
      </c>
      <c r="T1155" s="166" t="s">
        <v>372</v>
      </c>
      <c r="U1155" s="166"/>
      <c r="V1155" s="166"/>
      <c r="W1155" s="167">
        <f>IF(BetTable[Sport]="","",BetTable[Stake]+BetTable[S2]+BetTable[S3])</f>
        <v>43</v>
      </c>
      <c r="X1155" s="164">
        <f>IF(BetTable[Odds]="","",(BetTable[WBA1-Commission])-BetTable[TS])</f>
        <v>43.429999999999993</v>
      </c>
      <c r="Y1155" s="168">
        <f>IF(BetTable[Outcome]="","",BetTable[WBA1]+BetTable[WBA2]+BetTable[WBA3]-BetTable[TS])</f>
        <v>43.429999999999993</v>
      </c>
      <c r="Z1155" s="164">
        <f>(((BetTable[Odds]-1)*BetTable[Stake])*(1-(BetTable[Comm %]))+BetTable[Stake])</f>
        <v>86.429999999999993</v>
      </c>
      <c r="AA1155" s="164">
        <f>(((BetTable[O2]-1)*BetTable[S2])*(1-(BetTable[C% 2]))+BetTable[S2])</f>
        <v>0</v>
      </c>
      <c r="AB1155" s="164">
        <f>(((BetTable[O3]-1)*BetTable[S3])*(1-(BetTable[C% 3]))+BetTable[S3])</f>
        <v>0</v>
      </c>
      <c r="AC1155" s="165">
        <f>IFERROR(IF(BetTable[Sport]="","",BetTable[R1]/BetTable[TS]),"")</f>
        <v>1.0099999999999998</v>
      </c>
      <c r="AD1155" s="165" t="str">
        <f>IF(BetTable[O2]="","",#REF!/BetTable[TS])</f>
        <v/>
      </c>
      <c r="AE1155" s="165" t="str">
        <f>IFERROR(IF(BetTable[Sport]="","",#REF!/BetTable[TS]),"")</f>
        <v/>
      </c>
      <c r="AF1155" s="164">
        <f>IF(BetTable[Outcome]="Win",BetTable[WBA1-Commission],IF(BetTable[Outcome]="Win Half Stake",(BetTable[Stake]/2)+BetTable[WBA1-Commission]/2,IF(BetTable[Outcome]="Lose Half Stake",BetTable[Stake]/2,IF(BetTable[Outcome]="Lose",0,IF(BetTable[Outcome]="Void",BetTable[Stake],)))))</f>
        <v>86.429999999999993</v>
      </c>
      <c r="AG1155" s="164">
        <f>IF(BetTable[Outcome2]="Win",BetTable[WBA2-Commission],IF(BetTable[Outcome2]="Win Half Stake",(BetTable[S2]/2)+BetTable[WBA2-Commission]/2,IF(BetTable[Outcome2]="Lose Half Stake",BetTable[S2]/2,IF(BetTable[Outcome2]="Lose",0,IF(BetTable[Outcome2]="Void",BetTable[S2],)))))</f>
        <v>0</v>
      </c>
      <c r="AH1155" s="164">
        <f>IF(BetTable[Outcome3]="Win",BetTable[WBA3-Commission],IF(BetTable[Outcome3]="Win Half Stake",(BetTable[S3]/2)+BetTable[WBA3-Commission]/2,IF(BetTable[Outcome3]="Lose Half Stake",BetTable[S3]/2,IF(BetTable[Outcome3]="Lose",0,IF(BetTable[Outcome3]="Void",BetTable[S3],)))))</f>
        <v>0</v>
      </c>
      <c r="AI1155" s="168">
        <f>IF(BetTable[Outcome]="",AI1154,BetTable[Result]+AI1154)</f>
        <v>2186.6627499999991</v>
      </c>
      <c r="AJ1155" s="160"/>
    </row>
    <row r="1156" spans="1:36" x14ac:dyDescent="0.2">
      <c r="A1156" s="159" t="s">
        <v>2791</v>
      </c>
      <c r="B1156" s="160" t="s">
        <v>200</v>
      </c>
      <c r="C1156" s="161" t="s">
        <v>1714</v>
      </c>
      <c r="D1156" s="161"/>
      <c r="E1156" s="161"/>
      <c r="F1156" s="162"/>
      <c r="G1156" s="162"/>
      <c r="H1156" s="162"/>
      <c r="I1156" s="160" t="s">
        <v>2857</v>
      </c>
      <c r="J1156" s="163">
        <v>1.88</v>
      </c>
      <c r="K1156" s="163"/>
      <c r="L1156" s="163"/>
      <c r="M1156" s="164">
        <v>34</v>
      </c>
      <c r="N1156" s="164"/>
      <c r="O1156" s="164"/>
      <c r="P1156" s="159" t="s">
        <v>1572</v>
      </c>
      <c r="Q1156" s="159" t="s">
        <v>461</v>
      </c>
      <c r="R1156" s="159" t="s">
        <v>2858</v>
      </c>
      <c r="S1156" s="165">
        <v>1.67625442337355E-2</v>
      </c>
      <c r="T1156" s="166" t="s">
        <v>372</v>
      </c>
      <c r="U1156" s="166"/>
      <c r="V1156" s="166"/>
      <c r="W1156" s="167">
        <f>IF(BetTable[Sport]="","",BetTable[Stake]+BetTable[S2]+BetTable[S3])</f>
        <v>34</v>
      </c>
      <c r="X1156" s="164">
        <f>IF(BetTable[Odds]="","",(BetTable[WBA1-Commission])-BetTable[TS])</f>
        <v>29.919999999999995</v>
      </c>
      <c r="Y1156" s="168">
        <f>IF(BetTable[Outcome]="","",BetTable[WBA1]+BetTable[WBA2]+BetTable[WBA3]-BetTable[TS])</f>
        <v>29.919999999999995</v>
      </c>
      <c r="Z1156" s="164">
        <f>(((BetTable[Odds]-1)*BetTable[Stake])*(1-(BetTable[Comm %]))+BetTable[Stake])</f>
        <v>63.919999999999995</v>
      </c>
      <c r="AA1156" s="164">
        <f>(((BetTable[O2]-1)*BetTable[S2])*(1-(BetTable[C% 2]))+BetTable[S2])</f>
        <v>0</v>
      </c>
      <c r="AB1156" s="164">
        <f>(((BetTable[O3]-1)*BetTable[S3])*(1-(BetTable[C% 3]))+BetTable[S3])</f>
        <v>0</v>
      </c>
      <c r="AC1156" s="165">
        <f>IFERROR(IF(BetTable[Sport]="","",BetTable[R1]/BetTable[TS]),"")</f>
        <v>0.87999999999999989</v>
      </c>
      <c r="AD1156" s="165" t="str">
        <f>IF(BetTable[O2]="","",#REF!/BetTable[TS])</f>
        <v/>
      </c>
      <c r="AE1156" s="165" t="str">
        <f>IFERROR(IF(BetTable[Sport]="","",#REF!/BetTable[TS]),"")</f>
        <v/>
      </c>
      <c r="AF1156" s="164">
        <f>IF(BetTable[Outcome]="Win",BetTable[WBA1-Commission],IF(BetTable[Outcome]="Win Half Stake",(BetTable[Stake]/2)+BetTable[WBA1-Commission]/2,IF(BetTable[Outcome]="Lose Half Stake",BetTable[Stake]/2,IF(BetTable[Outcome]="Lose",0,IF(BetTable[Outcome]="Void",BetTable[Stake],)))))</f>
        <v>63.919999999999995</v>
      </c>
      <c r="AG1156" s="164">
        <f>IF(BetTable[Outcome2]="Win",BetTable[WBA2-Commission],IF(BetTable[Outcome2]="Win Half Stake",(BetTable[S2]/2)+BetTable[WBA2-Commission]/2,IF(BetTable[Outcome2]="Lose Half Stake",BetTable[S2]/2,IF(BetTable[Outcome2]="Lose",0,IF(BetTable[Outcome2]="Void",BetTable[S2],)))))</f>
        <v>0</v>
      </c>
      <c r="AH1156" s="164">
        <f>IF(BetTable[Outcome3]="Win",BetTable[WBA3-Commission],IF(BetTable[Outcome3]="Win Half Stake",(BetTable[S3]/2)+BetTable[WBA3-Commission]/2,IF(BetTable[Outcome3]="Lose Half Stake",BetTable[S3]/2,IF(BetTable[Outcome3]="Lose",0,IF(BetTable[Outcome3]="Void",BetTable[S3],)))))</f>
        <v>0</v>
      </c>
      <c r="AI1156" s="168">
        <f>IF(BetTable[Outcome]="",AI1155,BetTable[Result]+AI1155)</f>
        <v>2216.5827499999991</v>
      </c>
      <c r="AJ1156" s="160"/>
    </row>
    <row r="1157" spans="1:36" x14ac:dyDescent="0.2">
      <c r="A1157" s="159" t="s">
        <v>2791</v>
      </c>
      <c r="B1157" s="160" t="s">
        <v>7</v>
      </c>
      <c r="C1157" s="161" t="s">
        <v>91</v>
      </c>
      <c r="D1157" s="161"/>
      <c r="E1157" s="161"/>
      <c r="F1157" s="162"/>
      <c r="G1157" s="162"/>
      <c r="H1157" s="162"/>
      <c r="I1157" s="160" t="s">
        <v>2859</v>
      </c>
      <c r="J1157" s="163">
        <v>1.9</v>
      </c>
      <c r="K1157" s="163"/>
      <c r="L1157" s="163"/>
      <c r="M1157" s="164">
        <v>29</v>
      </c>
      <c r="N1157" s="164"/>
      <c r="O1157" s="164"/>
      <c r="P1157" s="159" t="s">
        <v>2860</v>
      </c>
      <c r="Q1157" s="159" t="s">
        <v>530</v>
      </c>
      <c r="R1157" s="159" t="s">
        <v>2861</v>
      </c>
      <c r="S1157" s="165">
        <v>2.9478630607220599E-2</v>
      </c>
      <c r="T1157" s="166" t="s">
        <v>382</v>
      </c>
      <c r="U1157" s="166"/>
      <c r="V1157" s="166"/>
      <c r="W1157" s="167">
        <f>IF(BetTable[Sport]="","",BetTable[Stake]+BetTable[S2]+BetTable[S3])</f>
        <v>29</v>
      </c>
      <c r="X1157" s="164">
        <f>IF(BetTable[Odds]="","",(BetTable[WBA1-Commission])-BetTable[TS])</f>
        <v>26.099999999999994</v>
      </c>
      <c r="Y1157" s="168">
        <f>IF(BetTable[Outcome]="","",BetTable[WBA1]+BetTable[WBA2]+BetTable[WBA3]-BetTable[TS])</f>
        <v>-29</v>
      </c>
      <c r="Z1157" s="164">
        <f>(((BetTable[Odds]-1)*BetTable[Stake])*(1-(BetTable[Comm %]))+BetTable[Stake])</f>
        <v>55.099999999999994</v>
      </c>
      <c r="AA1157" s="164">
        <f>(((BetTable[O2]-1)*BetTable[S2])*(1-(BetTable[C% 2]))+BetTable[S2])</f>
        <v>0</v>
      </c>
      <c r="AB1157" s="164">
        <f>(((BetTable[O3]-1)*BetTable[S3])*(1-(BetTable[C% 3]))+BetTable[S3])</f>
        <v>0</v>
      </c>
      <c r="AC1157" s="165">
        <f>IFERROR(IF(BetTable[Sport]="","",BetTable[R1]/BetTable[TS]),"")</f>
        <v>0.8999999999999998</v>
      </c>
      <c r="AD1157" s="165" t="str">
        <f>IF(BetTable[O2]="","",#REF!/BetTable[TS])</f>
        <v/>
      </c>
      <c r="AE1157" s="165" t="str">
        <f>IFERROR(IF(BetTable[Sport]="","",#REF!/BetTable[TS]),"")</f>
        <v/>
      </c>
      <c r="AF1157" s="164">
        <f>IF(BetTable[Outcome]="Win",BetTable[WBA1-Commission],IF(BetTable[Outcome]="Win Half Stake",(BetTable[Stake]/2)+BetTable[WBA1-Commission]/2,IF(BetTable[Outcome]="Lose Half Stake",BetTable[Stake]/2,IF(BetTable[Outcome]="Lose",0,IF(BetTable[Outcome]="Void",BetTable[Stake],)))))</f>
        <v>0</v>
      </c>
      <c r="AG1157" s="164">
        <f>IF(BetTable[Outcome2]="Win",BetTable[WBA2-Commission],IF(BetTable[Outcome2]="Win Half Stake",(BetTable[S2]/2)+BetTable[WBA2-Commission]/2,IF(BetTable[Outcome2]="Lose Half Stake",BetTable[S2]/2,IF(BetTable[Outcome2]="Lose",0,IF(BetTable[Outcome2]="Void",BetTable[S2],)))))</f>
        <v>0</v>
      </c>
      <c r="AH1157" s="164">
        <f>IF(BetTable[Outcome3]="Win",BetTable[WBA3-Commission],IF(BetTable[Outcome3]="Win Half Stake",(BetTable[S3]/2)+BetTable[WBA3-Commission]/2,IF(BetTable[Outcome3]="Lose Half Stake",BetTable[S3]/2,IF(BetTable[Outcome3]="Lose",0,IF(BetTable[Outcome3]="Void",BetTable[S3],)))))</f>
        <v>0</v>
      </c>
      <c r="AI1157" s="168">
        <f>IF(BetTable[Outcome]="",AI1156,BetTable[Result]+AI1156)</f>
        <v>2187.5827499999991</v>
      </c>
      <c r="AJ1157" s="160"/>
    </row>
    <row r="1158" spans="1:36" x14ac:dyDescent="0.2">
      <c r="A1158" s="159" t="s">
        <v>2791</v>
      </c>
      <c r="B1158" s="160" t="s">
        <v>200</v>
      </c>
      <c r="C1158" s="161" t="s">
        <v>1714</v>
      </c>
      <c r="D1158" s="161"/>
      <c r="E1158" s="161"/>
      <c r="F1158" s="162"/>
      <c r="G1158" s="162"/>
      <c r="H1158" s="162"/>
      <c r="I1158" s="160" t="s">
        <v>2862</v>
      </c>
      <c r="J1158" s="163">
        <v>2.11</v>
      </c>
      <c r="K1158" s="163"/>
      <c r="L1158" s="163"/>
      <c r="M1158" s="164">
        <v>36</v>
      </c>
      <c r="N1158" s="164"/>
      <c r="O1158" s="164"/>
      <c r="P1158" s="159" t="s">
        <v>385</v>
      </c>
      <c r="Q1158" s="159" t="s">
        <v>461</v>
      </c>
      <c r="R1158" s="159" t="s">
        <v>2863</v>
      </c>
      <c r="S1158" s="165">
        <v>2.2407431829505001E-2</v>
      </c>
      <c r="T1158" s="166" t="s">
        <v>372</v>
      </c>
      <c r="U1158" s="166"/>
      <c r="V1158" s="166"/>
      <c r="W1158" s="167">
        <f>IF(BetTable[Sport]="","",BetTable[Stake]+BetTable[S2]+BetTable[S3])</f>
        <v>36</v>
      </c>
      <c r="X1158" s="164">
        <f>IF(BetTable[Odds]="","",(BetTable[WBA1-Commission])-BetTable[TS])</f>
        <v>39.959999999999994</v>
      </c>
      <c r="Y1158" s="168">
        <f>IF(BetTable[Outcome]="","",BetTable[WBA1]+BetTable[WBA2]+BetTable[WBA3]-BetTable[TS])</f>
        <v>39.959999999999994</v>
      </c>
      <c r="Z1158" s="164">
        <f>(((BetTable[Odds]-1)*BetTable[Stake])*(1-(BetTable[Comm %]))+BetTable[Stake])</f>
        <v>75.959999999999994</v>
      </c>
      <c r="AA1158" s="164">
        <f>(((BetTable[O2]-1)*BetTable[S2])*(1-(BetTable[C% 2]))+BetTable[S2])</f>
        <v>0</v>
      </c>
      <c r="AB1158" s="164">
        <f>(((BetTable[O3]-1)*BetTable[S3])*(1-(BetTable[C% 3]))+BetTable[S3])</f>
        <v>0</v>
      </c>
      <c r="AC1158" s="165">
        <f>IFERROR(IF(BetTable[Sport]="","",BetTable[R1]/BetTable[TS]),"")</f>
        <v>1.1099999999999999</v>
      </c>
      <c r="AD1158" s="165" t="str">
        <f>IF(BetTable[O2]="","",#REF!/BetTable[TS])</f>
        <v/>
      </c>
      <c r="AE1158" s="165" t="str">
        <f>IFERROR(IF(BetTable[Sport]="","",#REF!/BetTable[TS]),"")</f>
        <v/>
      </c>
      <c r="AF1158" s="164">
        <f>IF(BetTable[Outcome]="Win",BetTable[WBA1-Commission],IF(BetTable[Outcome]="Win Half Stake",(BetTable[Stake]/2)+BetTable[WBA1-Commission]/2,IF(BetTable[Outcome]="Lose Half Stake",BetTable[Stake]/2,IF(BetTable[Outcome]="Lose",0,IF(BetTable[Outcome]="Void",BetTable[Stake],)))))</f>
        <v>75.959999999999994</v>
      </c>
      <c r="AG1158" s="164">
        <f>IF(BetTable[Outcome2]="Win",BetTable[WBA2-Commission],IF(BetTable[Outcome2]="Win Half Stake",(BetTable[S2]/2)+BetTable[WBA2-Commission]/2,IF(BetTable[Outcome2]="Lose Half Stake",BetTable[S2]/2,IF(BetTable[Outcome2]="Lose",0,IF(BetTable[Outcome2]="Void",BetTable[S2],)))))</f>
        <v>0</v>
      </c>
      <c r="AH1158" s="164">
        <f>IF(BetTable[Outcome3]="Win",BetTable[WBA3-Commission],IF(BetTable[Outcome3]="Win Half Stake",(BetTable[S3]/2)+BetTable[WBA3-Commission]/2,IF(BetTable[Outcome3]="Lose Half Stake",BetTable[S3]/2,IF(BetTable[Outcome3]="Lose",0,IF(BetTable[Outcome3]="Void",BetTable[S3],)))))</f>
        <v>0</v>
      </c>
      <c r="AI1158" s="168">
        <f>IF(BetTable[Outcome]="",AI1157,BetTable[Result]+AI1157)</f>
        <v>2227.5427499999992</v>
      </c>
      <c r="AJ1158" s="160"/>
    </row>
    <row r="1159" spans="1:36" x14ac:dyDescent="0.2">
      <c r="A1159" s="159" t="s">
        <v>2791</v>
      </c>
      <c r="B1159" s="160" t="s">
        <v>7</v>
      </c>
      <c r="C1159" s="161" t="s">
        <v>1714</v>
      </c>
      <c r="D1159" s="161"/>
      <c r="E1159" s="161"/>
      <c r="F1159" s="162"/>
      <c r="G1159" s="162"/>
      <c r="H1159" s="162"/>
      <c r="I1159" s="160" t="s">
        <v>2864</v>
      </c>
      <c r="J1159" s="163">
        <v>1.96</v>
      </c>
      <c r="K1159" s="163"/>
      <c r="L1159" s="163"/>
      <c r="M1159" s="164">
        <v>32</v>
      </c>
      <c r="N1159" s="164"/>
      <c r="O1159" s="164"/>
      <c r="P1159" s="159" t="s">
        <v>2865</v>
      </c>
      <c r="Q1159" s="159" t="s">
        <v>530</v>
      </c>
      <c r="R1159" s="159" t="s">
        <v>2866</v>
      </c>
      <c r="S1159" s="165">
        <v>5.1836856542003998E-2</v>
      </c>
      <c r="T1159" s="166" t="s">
        <v>372</v>
      </c>
      <c r="U1159" s="166"/>
      <c r="V1159" s="166"/>
      <c r="W1159" s="167">
        <f>IF(BetTable[Sport]="","",BetTable[Stake]+BetTable[S2]+BetTable[S3])</f>
        <v>32</v>
      </c>
      <c r="X1159" s="164">
        <f>IF(BetTable[Odds]="","",(BetTable[WBA1-Commission])-BetTable[TS])</f>
        <v>30.72</v>
      </c>
      <c r="Y1159" s="168">
        <f>IF(BetTable[Outcome]="","",BetTable[WBA1]+BetTable[WBA2]+BetTable[WBA3]-BetTable[TS])</f>
        <v>30.72</v>
      </c>
      <c r="Z1159" s="164">
        <f>(((BetTable[Odds]-1)*BetTable[Stake])*(1-(BetTable[Comm %]))+BetTable[Stake])</f>
        <v>62.72</v>
      </c>
      <c r="AA1159" s="164">
        <f>(((BetTable[O2]-1)*BetTable[S2])*(1-(BetTable[C% 2]))+BetTable[S2])</f>
        <v>0</v>
      </c>
      <c r="AB1159" s="164">
        <f>(((BetTable[O3]-1)*BetTable[S3])*(1-(BetTable[C% 3]))+BetTable[S3])</f>
        <v>0</v>
      </c>
      <c r="AC1159" s="165">
        <f>IFERROR(IF(BetTable[Sport]="","",BetTable[R1]/BetTable[TS]),"")</f>
        <v>0.96</v>
      </c>
      <c r="AD1159" s="165" t="str">
        <f>IF(BetTable[O2]="","",#REF!/BetTable[TS])</f>
        <v/>
      </c>
      <c r="AE1159" s="165" t="str">
        <f>IFERROR(IF(BetTable[Sport]="","",#REF!/BetTable[TS]),"")</f>
        <v/>
      </c>
      <c r="AF1159" s="164">
        <f>IF(BetTable[Outcome]="Win",BetTable[WBA1-Commission],IF(BetTable[Outcome]="Win Half Stake",(BetTable[Stake]/2)+BetTable[WBA1-Commission]/2,IF(BetTable[Outcome]="Lose Half Stake",BetTable[Stake]/2,IF(BetTable[Outcome]="Lose",0,IF(BetTable[Outcome]="Void",BetTable[Stake],)))))</f>
        <v>62.72</v>
      </c>
      <c r="AG1159" s="164">
        <f>IF(BetTable[Outcome2]="Win",BetTable[WBA2-Commission],IF(BetTable[Outcome2]="Win Half Stake",(BetTable[S2]/2)+BetTable[WBA2-Commission]/2,IF(BetTable[Outcome2]="Lose Half Stake",BetTable[S2]/2,IF(BetTable[Outcome2]="Lose",0,IF(BetTable[Outcome2]="Void",BetTable[S2],)))))</f>
        <v>0</v>
      </c>
      <c r="AH1159" s="164">
        <f>IF(BetTable[Outcome3]="Win",BetTable[WBA3-Commission],IF(BetTable[Outcome3]="Win Half Stake",(BetTable[S3]/2)+BetTable[WBA3-Commission]/2,IF(BetTable[Outcome3]="Lose Half Stake",BetTable[S3]/2,IF(BetTable[Outcome3]="Lose",0,IF(BetTable[Outcome3]="Void",BetTable[S3],)))))</f>
        <v>0</v>
      </c>
      <c r="AI1159" s="168">
        <f>IF(BetTable[Outcome]="",AI1158,BetTable[Result]+AI1158)</f>
        <v>2258.262749999999</v>
      </c>
      <c r="AJ1159" s="160"/>
    </row>
    <row r="1160" spans="1:36" x14ac:dyDescent="0.2">
      <c r="A1160" s="159" t="s">
        <v>2791</v>
      </c>
      <c r="B1160" s="160" t="s">
        <v>200</v>
      </c>
      <c r="C1160" s="161" t="s">
        <v>1714</v>
      </c>
      <c r="D1160" s="161"/>
      <c r="E1160" s="161"/>
      <c r="F1160" s="162"/>
      <c r="G1160" s="162"/>
      <c r="H1160" s="162"/>
      <c r="I1160" s="160" t="s">
        <v>2867</v>
      </c>
      <c r="J1160" s="163">
        <v>1.66</v>
      </c>
      <c r="K1160" s="163"/>
      <c r="L1160" s="163"/>
      <c r="M1160" s="164">
        <v>51</v>
      </c>
      <c r="N1160" s="164"/>
      <c r="O1160" s="164"/>
      <c r="P1160" s="159" t="s">
        <v>1710</v>
      </c>
      <c r="Q1160" s="159" t="s">
        <v>968</v>
      </c>
      <c r="R1160" s="159" t="s">
        <v>2868</v>
      </c>
      <c r="S1160" s="165">
        <v>1.8791688405937101E-2</v>
      </c>
      <c r="T1160" s="166" t="s">
        <v>372</v>
      </c>
      <c r="U1160" s="166"/>
      <c r="V1160" s="166"/>
      <c r="W1160" s="167">
        <f>IF(BetTable[Sport]="","",BetTable[Stake]+BetTable[S2]+BetTable[S3])</f>
        <v>51</v>
      </c>
      <c r="X1160" s="164">
        <f>IF(BetTable[Odds]="","",(BetTable[WBA1-Commission])-BetTable[TS])</f>
        <v>33.659999999999997</v>
      </c>
      <c r="Y1160" s="168">
        <f>IF(BetTable[Outcome]="","",BetTable[WBA1]+BetTable[WBA2]+BetTable[WBA3]-BetTable[TS])</f>
        <v>33.659999999999997</v>
      </c>
      <c r="Z1160" s="164">
        <f>(((BetTable[Odds]-1)*BetTable[Stake])*(1-(BetTable[Comm %]))+BetTable[Stake])</f>
        <v>84.66</v>
      </c>
      <c r="AA1160" s="164">
        <f>(((BetTable[O2]-1)*BetTable[S2])*(1-(BetTable[C% 2]))+BetTable[S2])</f>
        <v>0</v>
      </c>
      <c r="AB1160" s="164">
        <f>(((BetTable[O3]-1)*BetTable[S3])*(1-(BetTable[C% 3]))+BetTable[S3])</f>
        <v>0</v>
      </c>
      <c r="AC1160" s="165">
        <f>IFERROR(IF(BetTable[Sport]="","",BetTable[R1]/BetTable[TS]),"")</f>
        <v>0.65999999999999992</v>
      </c>
      <c r="AD1160" s="165" t="str">
        <f>IF(BetTable[O2]="","",#REF!/BetTable[TS])</f>
        <v/>
      </c>
      <c r="AE1160" s="165" t="str">
        <f>IFERROR(IF(BetTable[Sport]="","",#REF!/BetTable[TS]),"")</f>
        <v/>
      </c>
      <c r="AF1160" s="164">
        <f>IF(BetTable[Outcome]="Win",BetTable[WBA1-Commission],IF(BetTable[Outcome]="Win Half Stake",(BetTable[Stake]/2)+BetTable[WBA1-Commission]/2,IF(BetTable[Outcome]="Lose Half Stake",BetTable[Stake]/2,IF(BetTable[Outcome]="Lose",0,IF(BetTable[Outcome]="Void",BetTable[Stake],)))))</f>
        <v>84.66</v>
      </c>
      <c r="AG1160" s="164">
        <f>IF(BetTable[Outcome2]="Win",BetTable[WBA2-Commission],IF(BetTable[Outcome2]="Win Half Stake",(BetTable[S2]/2)+BetTable[WBA2-Commission]/2,IF(BetTable[Outcome2]="Lose Half Stake",BetTable[S2]/2,IF(BetTable[Outcome2]="Lose",0,IF(BetTable[Outcome2]="Void",BetTable[S2],)))))</f>
        <v>0</v>
      </c>
      <c r="AH1160" s="164">
        <f>IF(BetTable[Outcome3]="Win",BetTable[WBA3-Commission],IF(BetTable[Outcome3]="Win Half Stake",(BetTable[S3]/2)+BetTable[WBA3-Commission]/2,IF(BetTable[Outcome3]="Lose Half Stake",BetTable[S3]/2,IF(BetTable[Outcome3]="Lose",0,IF(BetTable[Outcome3]="Void",BetTable[S3],)))))</f>
        <v>0</v>
      </c>
      <c r="AI1160" s="168">
        <f>IF(BetTable[Outcome]="",AI1159,BetTable[Result]+AI1159)</f>
        <v>2291.9227499999988</v>
      </c>
      <c r="AJ1160" s="160"/>
    </row>
    <row r="1161" spans="1:36" x14ac:dyDescent="0.2">
      <c r="A1161" s="159" t="s">
        <v>2791</v>
      </c>
      <c r="B1161" s="160" t="s">
        <v>200</v>
      </c>
      <c r="C1161" s="161" t="s">
        <v>1714</v>
      </c>
      <c r="D1161" s="161"/>
      <c r="E1161" s="161"/>
      <c r="F1161" s="162"/>
      <c r="G1161" s="162"/>
      <c r="H1161" s="162"/>
      <c r="I1161" s="160" t="s">
        <v>2869</v>
      </c>
      <c r="J1161" s="163">
        <v>2.89</v>
      </c>
      <c r="K1161" s="163"/>
      <c r="L1161" s="163"/>
      <c r="M1161" s="164">
        <v>35</v>
      </c>
      <c r="N1161" s="164"/>
      <c r="O1161" s="164"/>
      <c r="P1161" s="159" t="s">
        <v>494</v>
      </c>
      <c r="Q1161" s="159" t="s">
        <v>503</v>
      </c>
      <c r="R1161" s="159" t="s">
        <v>2870</v>
      </c>
      <c r="S1161" s="165">
        <v>3.6769218303164597E-2</v>
      </c>
      <c r="T1161" s="166" t="s">
        <v>382</v>
      </c>
      <c r="U1161" s="166"/>
      <c r="V1161" s="166"/>
      <c r="W1161" s="167">
        <f>IF(BetTable[Sport]="","",BetTable[Stake]+BetTable[S2]+BetTable[S3])</f>
        <v>35</v>
      </c>
      <c r="X1161" s="164">
        <f>IF(BetTable[Odds]="","",(BetTable[WBA1-Commission])-BetTable[TS])</f>
        <v>66.150000000000006</v>
      </c>
      <c r="Y1161" s="168">
        <f>IF(BetTable[Outcome]="","",BetTable[WBA1]+BetTable[WBA2]+BetTable[WBA3]-BetTable[TS])</f>
        <v>-35</v>
      </c>
      <c r="Z1161" s="164">
        <f>(((BetTable[Odds]-1)*BetTable[Stake])*(1-(BetTable[Comm %]))+BetTable[Stake])</f>
        <v>101.15</v>
      </c>
      <c r="AA1161" s="164">
        <f>(((BetTable[O2]-1)*BetTable[S2])*(1-(BetTable[C% 2]))+BetTable[S2])</f>
        <v>0</v>
      </c>
      <c r="AB1161" s="164">
        <f>(((BetTable[O3]-1)*BetTable[S3])*(1-(BetTable[C% 3]))+BetTable[S3])</f>
        <v>0</v>
      </c>
      <c r="AC1161" s="165">
        <f>IFERROR(IF(BetTable[Sport]="","",BetTable[R1]/BetTable[TS]),"")</f>
        <v>1.8900000000000001</v>
      </c>
      <c r="AD1161" s="165" t="str">
        <f>IF(BetTable[O2]="","",#REF!/BetTable[TS])</f>
        <v/>
      </c>
      <c r="AE1161" s="165" t="str">
        <f>IFERROR(IF(BetTable[Sport]="","",#REF!/BetTable[TS]),"")</f>
        <v/>
      </c>
      <c r="AF1161" s="164">
        <f>IF(BetTable[Outcome]="Win",BetTable[WBA1-Commission],IF(BetTable[Outcome]="Win Half Stake",(BetTable[Stake]/2)+BetTable[WBA1-Commission]/2,IF(BetTable[Outcome]="Lose Half Stake",BetTable[Stake]/2,IF(BetTable[Outcome]="Lose",0,IF(BetTable[Outcome]="Void",BetTable[Stake],)))))</f>
        <v>0</v>
      </c>
      <c r="AG1161" s="164">
        <f>IF(BetTable[Outcome2]="Win",BetTable[WBA2-Commission],IF(BetTable[Outcome2]="Win Half Stake",(BetTable[S2]/2)+BetTable[WBA2-Commission]/2,IF(BetTable[Outcome2]="Lose Half Stake",BetTable[S2]/2,IF(BetTable[Outcome2]="Lose",0,IF(BetTable[Outcome2]="Void",BetTable[S2],)))))</f>
        <v>0</v>
      </c>
      <c r="AH1161" s="164">
        <f>IF(BetTable[Outcome3]="Win",BetTable[WBA3-Commission],IF(BetTable[Outcome3]="Win Half Stake",(BetTable[S3]/2)+BetTable[WBA3-Commission]/2,IF(BetTable[Outcome3]="Lose Half Stake",BetTable[S3]/2,IF(BetTable[Outcome3]="Lose",0,IF(BetTable[Outcome3]="Void",BetTable[S3],)))))</f>
        <v>0</v>
      </c>
      <c r="AI1161" s="168">
        <f>IF(BetTable[Outcome]="",AI1160,BetTable[Result]+AI1160)</f>
        <v>2256.9227499999988</v>
      </c>
      <c r="AJ1161" s="160"/>
    </row>
    <row r="1162" spans="1:36" x14ac:dyDescent="0.2">
      <c r="A1162" s="159" t="s">
        <v>2791</v>
      </c>
      <c r="B1162" s="160" t="s">
        <v>200</v>
      </c>
      <c r="C1162" s="161" t="s">
        <v>1714</v>
      </c>
      <c r="D1162" s="161"/>
      <c r="E1162" s="161"/>
      <c r="F1162" s="162"/>
      <c r="G1162" s="162"/>
      <c r="H1162" s="162"/>
      <c r="I1162" s="160" t="s">
        <v>2871</v>
      </c>
      <c r="J1162" s="163">
        <v>1.7</v>
      </c>
      <c r="K1162" s="163"/>
      <c r="L1162" s="163"/>
      <c r="M1162" s="164">
        <v>59</v>
      </c>
      <c r="N1162" s="164"/>
      <c r="O1162" s="164"/>
      <c r="P1162" s="159" t="s">
        <v>385</v>
      </c>
      <c r="Q1162" s="159" t="s">
        <v>968</v>
      </c>
      <c r="R1162" s="159" t="s">
        <v>2872</v>
      </c>
      <c r="S1162" s="165">
        <v>2.3097416913671301E-2</v>
      </c>
      <c r="T1162" s="166" t="s">
        <v>383</v>
      </c>
      <c r="U1162" s="166"/>
      <c r="V1162" s="166"/>
      <c r="W1162" s="167">
        <f>IF(BetTable[Sport]="","",BetTable[Stake]+BetTable[S2]+BetTable[S3])</f>
        <v>59</v>
      </c>
      <c r="X1162" s="164">
        <f>IF(BetTable[Odds]="","",(BetTable[WBA1-Commission])-BetTable[TS])</f>
        <v>41.3</v>
      </c>
      <c r="Y1162" s="168">
        <f>IF(BetTable[Outcome]="","",BetTable[WBA1]+BetTable[WBA2]+BetTable[WBA3]-BetTable[TS])</f>
        <v>0</v>
      </c>
      <c r="Z1162" s="164">
        <f>(((BetTable[Odds]-1)*BetTable[Stake])*(1-(BetTable[Comm %]))+BetTable[Stake])</f>
        <v>100.3</v>
      </c>
      <c r="AA1162" s="164">
        <f>(((BetTable[O2]-1)*BetTable[S2])*(1-(BetTable[C% 2]))+BetTable[S2])</f>
        <v>0</v>
      </c>
      <c r="AB1162" s="164">
        <f>(((BetTable[O3]-1)*BetTable[S3])*(1-(BetTable[C% 3]))+BetTable[S3])</f>
        <v>0</v>
      </c>
      <c r="AC1162" s="165">
        <f>IFERROR(IF(BetTable[Sport]="","",BetTable[R1]/BetTable[TS]),"")</f>
        <v>0.7</v>
      </c>
      <c r="AD1162" s="165" t="str">
        <f>IF(BetTable[O2]="","",#REF!/BetTable[TS])</f>
        <v/>
      </c>
      <c r="AE1162" s="165" t="str">
        <f>IFERROR(IF(BetTable[Sport]="","",#REF!/BetTable[TS]),"")</f>
        <v/>
      </c>
      <c r="AF1162" s="164">
        <f>IF(BetTable[Outcome]="Win",BetTable[WBA1-Commission],IF(BetTable[Outcome]="Win Half Stake",(BetTable[Stake]/2)+BetTable[WBA1-Commission]/2,IF(BetTable[Outcome]="Lose Half Stake",BetTable[Stake]/2,IF(BetTable[Outcome]="Lose",0,IF(BetTable[Outcome]="Void",BetTable[Stake],)))))</f>
        <v>59</v>
      </c>
      <c r="AG1162" s="164">
        <f>IF(BetTable[Outcome2]="Win",BetTable[WBA2-Commission],IF(BetTable[Outcome2]="Win Half Stake",(BetTable[S2]/2)+BetTable[WBA2-Commission]/2,IF(BetTable[Outcome2]="Lose Half Stake",BetTable[S2]/2,IF(BetTable[Outcome2]="Lose",0,IF(BetTable[Outcome2]="Void",BetTable[S2],)))))</f>
        <v>0</v>
      </c>
      <c r="AH1162" s="164">
        <f>IF(BetTable[Outcome3]="Win",BetTable[WBA3-Commission],IF(BetTable[Outcome3]="Win Half Stake",(BetTable[S3]/2)+BetTable[WBA3-Commission]/2,IF(BetTable[Outcome3]="Lose Half Stake",BetTable[S3]/2,IF(BetTable[Outcome3]="Lose",0,IF(BetTable[Outcome3]="Void",BetTable[S3],)))))</f>
        <v>0</v>
      </c>
      <c r="AI1162" s="168">
        <f>IF(BetTable[Outcome]="",AI1161,BetTable[Result]+AI1161)</f>
        <v>2256.9227499999988</v>
      </c>
      <c r="AJ1162" s="160"/>
    </row>
    <row r="1163" spans="1:36" x14ac:dyDescent="0.2">
      <c r="A1163" s="159" t="s">
        <v>2791</v>
      </c>
      <c r="B1163" s="160" t="s">
        <v>200</v>
      </c>
      <c r="C1163" s="161" t="s">
        <v>1714</v>
      </c>
      <c r="D1163" s="161"/>
      <c r="E1163" s="161"/>
      <c r="F1163" s="162"/>
      <c r="G1163" s="162"/>
      <c r="H1163" s="162"/>
      <c r="I1163" s="160" t="s">
        <v>2873</v>
      </c>
      <c r="J1163" s="163">
        <v>2.17</v>
      </c>
      <c r="K1163" s="163"/>
      <c r="L1163" s="163"/>
      <c r="M1163" s="164">
        <v>27</v>
      </c>
      <c r="N1163" s="164"/>
      <c r="O1163" s="164"/>
      <c r="P1163" s="159" t="s">
        <v>1710</v>
      </c>
      <c r="Q1163" s="159" t="s">
        <v>1842</v>
      </c>
      <c r="R1163" s="159" t="s">
        <v>2874</v>
      </c>
      <c r="S1163" s="165">
        <v>1.7774028481292701E-2</v>
      </c>
      <c r="T1163" s="166" t="s">
        <v>372</v>
      </c>
      <c r="U1163" s="166"/>
      <c r="V1163" s="166"/>
      <c r="W1163" s="167">
        <f>IF(BetTable[Sport]="","",BetTable[Stake]+BetTable[S2]+BetTable[S3])</f>
        <v>27</v>
      </c>
      <c r="X1163" s="164">
        <f>IF(BetTable[Odds]="","",(BetTable[WBA1-Commission])-BetTable[TS])</f>
        <v>31.589999999999996</v>
      </c>
      <c r="Y1163" s="168">
        <f>IF(BetTable[Outcome]="","",BetTable[WBA1]+BetTable[WBA2]+BetTable[WBA3]-BetTable[TS])</f>
        <v>31.589999999999996</v>
      </c>
      <c r="Z1163" s="164">
        <f>(((BetTable[Odds]-1)*BetTable[Stake])*(1-(BetTable[Comm %]))+BetTable[Stake])</f>
        <v>58.589999999999996</v>
      </c>
      <c r="AA1163" s="164">
        <f>(((BetTable[O2]-1)*BetTable[S2])*(1-(BetTable[C% 2]))+BetTable[S2])</f>
        <v>0</v>
      </c>
      <c r="AB1163" s="164">
        <f>(((BetTable[O3]-1)*BetTable[S3])*(1-(BetTable[C% 3]))+BetTable[S3])</f>
        <v>0</v>
      </c>
      <c r="AC1163" s="165">
        <f>IFERROR(IF(BetTable[Sport]="","",BetTable[R1]/BetTable[TS]),"")</f>
        <v>1.17</v>
      </c>
      <c r="AD1163" s="165" t="str">
        <f>IF(BetTable[O2]="","",#REF!/BetTable[TS])</f>
        <v/>
      </c>
      <c r="AE1163" s="165" t="str">
        <f>IFERROR(IF(BetTable[Sport]="","",#REF!/BetTable[TS]),"")</f>
        <v/>
      </c>
      <c r="AF1163" s="164">
        <f>IF(BetTable[Outcome]="Win",BetTable[WBA1-Commission],IF(BetTable[Outcome]="Win Half Stake",(BetTable[Stake]/2)+BetTable[WBA1-Commission]/2,IF(BetTable[Outcome]="Lose Half Stake",BetTable[Stake]/2,IF(BetTable[Outcome]="Lose",0,IF(BetTable[Outcome]="Void",BetTable[Stake],)))))</f>
        <v>58.589999999999996</v>
      </c>
      <c r="AG1163" s="164">
        <f>IF(BetTable[Outcome2]="Win",BetTable[WBA2-Commission],IF(BetTable[Outcome2]="Win Half Stake",(BetTable[S2]/2)+BetTable[WBA2-Commission]/2,IF(BetTable[Outcome2]="Lose Half Stake",BetTable[S2]/2,IF(BetTable[Outcome2]="Lose",0,IF(BetTable[Outcome2]="Void",BetTable[S2],)))))</f>
        <v>0</v>
      </c>
      <c r="AH1163" s="164">
        <f>IF(BetTable[Outcome3]="Win",BetTable[WBA3-Commission],IF(BetTable[Outcome3]="Win Half Stake",(BetTable[S3]/2)+BetTable[WBA3-Commission]/2,IF(BetTable[Outcome3]="Lose Half Stake",BetTable[S3]/2,IF(BetTable[Outcome3]="Lose",0,IF(BetTable[Outcome3]="Void",BetTable[S3],)))))</f>
        <v>0</v>
      </c>
      <c r="AI1163" s="168">
        <f>IF(BetTable[Outcome]="",AI1162,BetTable[Result]+AI1162)</f>
        <v>2288.512749999999</v>
      </c>
      <c r="AJ1163" s="160"/>
    </row>
    <row r="1164" spans="1:36" x14ac:dyDescent="0.2">
      <c r="A1164" s="159" t="s">
        <v>2791</v>
      </c>
      <c r="B1164" s="160" t="s">
        <v>200</v>
      </c>
      <c r="C1164" s="161" t="s">
        <v>1714</v>
      </c>
      <c r="D1164" s="161"/>
      <c r="E1164" s="161"/>
      <c r="F1164" s="162"/>
      <c r="G1164" s="162"/>
      <c r="H1164" s="162"/>
      <c r="I1164" s="160" t="s">
        <v>2875</v>
      </c>
      <c r="J1164" s="163">
        <v>5.7</v>
      </c>
      <c r="K1164" s="163"/>
      <c r="L1164" s="163"/>
      <c r="M1164" s="164">
        <v>13</v>
      </c>
      <c r="N1164" s="164"/>
      <c r="O1164" s="164"/>
      <c r="P1164" s="159" t="s">
        <v>435</v>
      </c>
      <c r="Q1164" s="159" t="s">
        <v>968</v>
      </c>
      <c r="R1164" s="159" t="s">
        <v>2876</v>
      </c>
      <c r="S1164" s="165">
        <v>6.0372851068719702E-2</v>
      </c>
      <c r="T1164" s="166" t="s">
        <v>372</v>
      </c>
      <c r="U1164" s="166"/>
      <c r="V1164" s="166"/>
      <c r="W1164" s="167">
        <f>IF(BetTable[Sport]="","",BetTable[Stake]+BetTable[S2]+BetTable[S3])</f>
        <v>13</v>
      </c>
      <c r="X1164" s="164">
        <f>IF(BetTable[Odds]="","",(BetTable[WBA1-Commission])-BetTable[TS])</f>
        <v>61.099999999999994</v>
      </c>
      <c r="Y1164" s="168">
        <f>IF(BetTable[Outcome]="","",BetTable[WBA1]+BetTable[WBA2]+BetTable[WBA3]-BetTable[TS])</f>
        <v>61.099999999999994</v>
      </c>
      <c r="Z1164" s="164">
        <f>(((BetTable[Odds]-1)*BetTable[Stake])*(1-(BetTable[Comm %]))+BetTable[Stake])</f>
        <v>74.099999999999994</v>
      </c>
      <c r="AA1164" s="164">
        <f>(((BetTable[O2]-1)*BetTable[S2])*(1-(BetTable[C% 2]))+BetTable[S2])</f>
        <v>0</v>
      </c>
      <c r="AB1164" s="164">
        <f>(((BetTable[O3]-1)*BetTable[S3])*(1-(BetTable[C% 3]))+BetTable[S3])</f>
        <v>0</v>
      </c>
      <c r="AC1164" s="165">
        <f>IFERROR(IF(BetTable[Sport]="","",BetTable[R1]/BetTable[TS]),"")</f>
        <v>4.6999999999999993</v>
      </c>
      <c r="AD1164" s="165" t="str">
        <f>IF(BetTable[O2]="","",#REF!/BetTable[TS])</f>
        <v/>
      </c>
      <c r="AE1164" s="165" t="str">
        <f>IFERROR(IF(BetTable[Sport]="","",#REF!/BetTable[TS]),"")</f>
        <v/>
      </c>
      <c r="AF1164" s="164">
        <f>IF(BetTable[Outcome]="Win",BetTable[WBA1-Commission],IF(BetTable[Outcome]="Win Half Stake",(BetTable[Stake]/2)+BetTable[WBA1-Commission]/2,IF(BetTable[Outcome]="Lose Half Stake",BetTable[Stake]/2,IF(BetTable[Outcome]="Lose",0,IF(BetTable[Outcome]="Void",BetTable[Stake],)))))</f>
        <v>74.099999999999994</v>
      </c>
      <c r="AG1164" s="164">
        <f>IF(BetTable[Outcome2]="Win",BetTable[WBA2-Commission],IF(BetTable[Outcome2]="Win Half Stake",(BetTable[S2]/2)+BetTable[WBA2-Commission]/2,IF(BetTable[Outcome2]="Lose Half Stake",BetTable[S2]/2,IF(BetTable[Outcome2]="Lose",0,IF(BetTable[Outcome2]="Void",BetTable[S2],)))))</f>
        <v>0</v>
      </c>
      <c r="AH1164" s="164">
        <f>IF(BetTable[Outcome3]="Win",BetTable[WBA3-Commission],IF(BetTable[Outcome3]="Win Half Stake",(BetTable[S3]/2)+BetTable[WBA3-Commission]/2,IF(BetTable[Outcome3]="Lose Half Stake",BetTable[S3]/2,IF(BetTable[Outcome3]="Lose",0,IF(BetTable[Outcome3]="Void",BetTable[S3],)))))</f>
        <v>0</v>
      </c>
      <c r="AI1164" s="168">
        <f>IF(BetTable[Outcome]="",AI1163,BetTable[Result]+AI1163)</f>
        <v>2349.6127499999989</v>
      </c>
      <c r="AJ1164" s="160"/>
    </row>
    <row r="1165" spans="1:36" x14ac:dyDescent="0.2">
      <c r="A1165" s="159" t="s">
        <v>2791</v>
      </c>
      <c r="B1165" s="160" t="s">
        <v>7</v>
      </c>
      <c r="C1165" s="161" t="s">
        <v>1714</v>
      </c>
      <c r="D1165" s="161"/>
      <c r="E1165" s="161"/>
      <c r="F1165" s="162"/>
      <c r="G1165" s="162"/>
      <c r="H1165" s="162"/>
      <c r="I1165" s="160" t="s">
        <v>2760</v>
      </c>
      <c r="J1165" s="163">
        <v>2.12</v>
      </c>
      <c r="K1165" s="163"/>
      <c r="L1165" s="163"/>
      <c r="M1165" s="164">
        <v>31</v>
      </c>
      <c r="N1165" s="164"/>
      <c r="O1165" s="164"/>
      <c r="P1165" s="159" t="s">
        <v>2877</v>
      </c>
      <c r="Q1165" s="159" t="s">
        <v>485</v>
      </c>
      <c r="R1165" s="159" t="s">
        <v>2878</v>
      </c>
      <c r="S1165" s="165">
        <v>1.9267582358249501E-2</v>
      </c>
      <c r="T1165" s="166" t="s">
        <v>382</v>
      </c>
      <c r="U1165" s="166"/>
      <c r="V1165" s="166"/>
      <c r="W1165" s="167">
        <f>IF(BetTable[Sport]="","",BetTable[Stake]+BetTable[S2]+BetTable[S3])</f>
        <v>31</v>
      </c>
      <c r="X1165" s="164">
        <f>IF(BetTable[Odds]="","",(BetTable[WBA1-Commission])-BetTable[TS])</f>
        <v>34.72</v>
      </c>
      <c r="Y1165" s="168">
        <f>IF(BetTable[Outcome]="","",BetTable[WBA1]+BetTable[WBA2]+BetTable[WBA3]-BetTable[TS])</f>
        <v>-31</v>
      </c>
      <c r="Z1165" s="164">
        <f>(((BetTable[Odds]-1)*BetTable[Stake])*(1-(BetTable[Comm %]))+BetTable[Stake])</f>
        <v>65.72</v>
      </c>
      <c r="AA1165" s="164">
        <f>(((BetTable[O2]-1)*BetTable[S2])*(1-(BetTable[C% 2]))+BetTable[S2])</f>
        <v>0</v>
      </c>
      <c r="AB1165" s="164">
        <f>(((BetTable[O3]-1)*BetTable[S3])*(1-(BetTable[C% 3]))+BetTable[S3])</f>
        <v>0</v>
      </c>
      <c r="AC1165" s="165">
        <f>IFERROR(IF(BetTable[Sport]="","",BetTable[R1]/BetTable[TS]),"")</f>
        <v>1.1199999999999999</v>
      </c>
      <c r="AD1165" s="165" t="str">
        <f>IF(BetTable[O2]="","",#REF!/BetTable[TS])</f>
        <v/>
      </c>
      <c r="AE1165" s="165" t="str">
        <f>IFERROR(IF(BetTable[Sport]="","",#REF!/BetTable[TS]),"")</f>
        <v/>
      </c>
      <c r="AF1165" s="164">
        <f>IF(BetTable[Outcome]="Win",BetTable[WBA1-Commission],IF(BetTable[Outcome]="Win Half Stake",(BetTable[Stake]/2)+BetTable[WBA1-Commission]/2,IF(BetTable[Outcome]="Lose Half Stake",BetTable[Stake]/2,IF(BetTable[Outcome]="Lose",0,IF(BetTable[Outcome]="Void",BetTable[Stake],)))))</f>
        <v>0</v>
      </c>
      <c r="AG1165" s="164">
        <f>IF(BetTable[Outcome2]="Win",BetTable[WBA2-Commission],IF(BetTable[Outcome2]="Win Half Stake",(BetTable[S2]/2)+BetTable[WBA2-Commission]/2,IF(BetTable[Outcome2]="Lose Half Stake",BetTable[S2]/2,IF(BetTable[Outcome2]="Lose",0,IF(BetTable[Outcome2]="Void",BetTable[S2],)))))</f>
        <v>0</v>
      </c>
      <c r="AH1165" s="164">
        <f>IF(BetTable[Outcome3]="Win",BetTable[WBA3-Commission],IF(BetTable[Outcome3]="Win Half Stake",(BetTable[S3]/2)+BetTable[WBA3-Commission]/2,IF(BetTable[Outcome3]="Lose Half Stake",BetTable[S3]/2,IF(BetTable[Outcome3]="Lose",0,IF(BetTable[Outcome3]="Void",BetTable[S3],)))))</f>
        <v>0</v>
      </c>
      <c r="AI1165" s="168">
        <f>IF(BetTable[Outcome]="",AI1164,BetTable[Result]+AI1164)</f>
        <v>2318.6127499999989</v>
      </c>
      <c r="AJ1165" s="160"/>
    </row>
    <row r="1166" spans="1:36" x14ac:dyDescent="0.2">
      <c r="A1166" s="159" t="s">
        <v>2791</v>
      </c>
      <c r="B1166" s="160" t="s">
        <v>200</v>
      </c>
      <c r="C1166" s="161" t="s">
        <v>1714</v>
      </c>
      <c r="D1166" s="161"/>
      <c r="E1166" s="161"/>
      <c r="F1166" s="162"/>
      <c r="G1166" s="162"/>
      <c r="H1166" s="162"/>
      <c r="I1166" s="160" t="s">
        <v>2879</v>
      </c>
      <c r="J1166" s="163">
        <v>1.77</v>
      </c>
      <c r="K1166" s="163"/>
      <c r="L1166" s="163"/>
      <c r="M1166" s="164">
        <v>56</v>
      </c>
      <c r="N1166" s="164"/>
      <c r="O1166" s="164"/>
      <c r="P1166" s="159" t="s">
        <v>357</v>
      </c>
      <c r="Q1166" s="159" t="s">
        <v>458</v>
      </c>
      <c r="R1166" s="159" t="s">
        <v>2880</v>
      </c>
      <c r="S1166" s="165">
        <v>2.4380975784112201E-2</v>
      </c>
      <c r="T1166" s="166" t="s">
        <v>383</v>
      </c>
      <c r="U1166" s="166"/>
      <c r="V1166" s="166"/>
      <c r="W1166" s="167">
        <f>IF(BetTable[Sport]="","",BetTable[Stake]+BetTable[S2]+BetTable[S3])</f>
        <v>56</v>
      </c>
      <c r="X1166" s="164">
        <f>IF(BetTable[Odds]="","",(BetTable[WBA1-Commission])-BetTable[TS])</f>
        <v>43.120000000000005</v>
      </c>
      <c r="Y1166" s="168">
        <f>IF(BetTable[Outcome]="","",BetTable[WBA1]+BetTable[WBA2]+BetTable[WBA3]-BetTable[TS])</f>
        <v>0</v>
      </c>
      <c r="Z1166" s="164">
        <f>(((BetTable[Odds]-1)*BetTable[Stake])*(1-(BetTable[Comm %]))+BetTable[Stake])</f>
        <v>99.12</v>
      </c>
      <c r="AA1166" s="164">
        <f>(((BetTable[O2]-1)*BetTable[S2])*(1-(BetTable[C% 2]))+BetTable[S2])</f>
        <v>0</v>
      </c>
      <c r="AB1166" s="164">
        <f>(((BetTable[O3]-1)*BetTable[S3])*(1-(BetTable[C% 3]))+BetTable[S3])</f>
        <v>0</v>
      </c>
      <c r="AC1166" s="165">
        <f>IFERROR(IF(BetTable[Sport]="","",BetTable[R1]/BetTable[TS]),"")</f>
        <v>0.77000000000000013</v>
      </c>
      <c r="AD1166" s="165" t="str">
        <f>IF(BetTable[O2]="","",#REF!/BetTable[TS])</f>
        <v/>
      </c>
      <c r="AE1166" s="165" t="str">
        <f>IFERROR(IF(BetTable[Sport]="","",#REF!/BetTable[TS]),"")</f>
        <v/>
      </c>
      <c r="AF1166" s="164">
        <f>IF(BetTable[Outcome]="Win",BetTable[WBA1-Commission],IF(BetTable[Outcome]="Win Half Stake",(BetTable[Stake]/2)+BetTable[WBA1-Commission]/2,IF(BetTable[Outcome]="Lose Half Stake",BetTable[Stake]/2,IF(BetTable[Outcome]="Lose",0,IF(BetTable[Outcome]="Void",BetTable[Stake],)))))</f>
        <v>56</v>
      </c>
      <c r="AG1166" s="164">
        <f>IF(BetTable[Outcome2]="Win",BetTable[WBA2-Commission],IF(BetTable[Outcome2]="Win Half Stake",(BetTable[S2]/2)+BetTable[WBA2-Commission]/2,IF(BetTable[Outcome2]="Lose Half Stake",BetTable[S2]/2,IF(BetTable[Outcome2]="Lose",0,IF(BetTable[Outcome2]="Void",BetTable[S2],)))))</f>
        <v>0</v>
      </c>
      <c r="AH1166" s="164">
        <f>IF(BetTable[Outcome3]="Win",BetTable[WBA3-Commission],IF(BetTable[Outcome3]="Win Half Stake",(BetTable[S3]/2)+BetTable[WBA3-Commission]/2,IF(BetTable[Outcome3]="Lose Half Stake",BetTable[S3]/2,IF(BetTable[Outcome3]="Lose",0,IF(BetTable[Outcome3]="Void",BetTable[S3],)))))</f>
        <v>0</v>
      </c>
      <c r="AI1166" s="168">
        <f>IF(BetTable[Outcome]="",AI1165,BetTable[Result]+AI1165)</f>
        <v>2318.6127499999989</v>
      </c>
      <c r="AJ1166" s="160"/>
    </row>
    <row r="1167" spans="1:36" x14ac:dyDescent="0.2">
      <c r="A1167" s="159" t="s">
        <v>2791</v>
      </c>
      <c r="B1167" s="160" t="s">
        <v>7</v>
      </c>
      <c r="C1167" s="161" t="s">
        <v>1714</v>
      </c>
      <c r="D1167" s="161"/>
      <c r="E1167" s="161"/>
      <c r="F1167" s="162"/>
      <c r="G1167" s="162"/>
      <c r="H1167" s="162"/>
      <c r="I1167" s="160" t="s">
        <v>2881</v>
      </c>
      <c r="J1167" s="163">
        <v>1.96</v>
      </c>
      <c r="K1167" s="163"/>
      <c r="L1167" s="163"/>
      <c r="M1167" s="164">
        <v>38</v>
      </c>
      <c r="N1167" s="164"/>
      <c r="O1167" s="164"/>
      <c r="P1167" s="159" t="s">
        <v>2882</v>
      </c>
      <c r="Q1167" s="159" t="s">
        <v>1205</v>
      </c>
      <c r="R1167" s="159" t="s">
        <v>2883</v>
      </c>
      <c r="S1167" s="165">
        <v>1.59305828981092E-2</v>
      </c>
      <c r="T1167" s="166" t="s">
        <v>382</v>
      </c>
      <c r="U1167" s="166"/>
      <c r="V1167" s="166"/>
      <c r="W1167" s="167">
        <f>IF(BetTable[Sport]="","",BetTable[Stake]+BetTable[S2]+BetTable[S3])</f>
        <v>38</v>
      </c>
      <c r="X1167" s="164">
        <f>IF(BetTable[Odds]="","",(BetTable[WBA1-Commission])-BetTable[TS])</f>
        <v>36.47999999999999</v>
      </c>
      <c r="Y1167" s="168">
        <f>IF(BetTable[Outcome]="","",BetTable[WBA1]+BetTable[WBA2]+BetTable[WBA3]-BetTable[TS])</f>
        <v>-38</v>
      </c>
      <c r="Z1167" s="164">
        <f>(((BetTable[Odds]-1)*BetTable[Stake])*(1-(BetTable[Comm %]))+BetTable[Stake])</f>
        <v>74.47999999999999</v>
      </c>
      <c r="AA1167" s="164">
        <f>(((BetTable[O2]-1)*BetTable[S2])*(1-(BetTable[C% 2]))+BetTable[S2])</f>
        <v>0</v>
      </c>
      <c r="AB1167" s="164">
        <f>(((BetTable[O3]-1)*BetTable[S3])*(1-(BetTable[C% 3]))+BetTable[S3])</f>
        <v>0</v>
      </c>
      <c r="AC1167" s="165">
        <f>IFERROR(IF(BetTable[Sport]="","",BetTable[R1]/BetTable[TS]),"")</f>
        <v>0.95999999999999974</v>
      </c>
      <c r="AD1167" s="165" t="str">
        <f>IF(BetTable[O2]="","",#REF!/BetTable[TS])</f>
        <v/>
      </c>
      <c r="AE1167" s="165" t="str">
        <f>IFERROR(IF(BetTable[Sport]="","",#REF!/BetTable[TS]),"")</f>
        <v/>
      </c>
      <c r="AF1167" s="164">
        <f>IF(BetTable[Outcome]="Win",BetTable[WBA1-Commission],IF(BetTable[Outcome]="Win Half Stake",(BetTable[Stake]/2)+BetTable[WBA1-Commission]/2,IF(BetTable[Outcome]="Lose Half Stake",BetTable[Stake]/2,IF(BetTable[Outcome]="Lose",0,IF(BetTable[Outcome]="Void",BetTable[Stake],)))))</f>
        <v>0</v>
      </c>
      <c r="AG1167" s="164">
        <f>IF(BetTable[Outcome2]="Win",BetTable[WBA2-Commission],IF(BetTable[Outcome2]="Win Half Stake",(BetTable[S2]/2)+BetTable[WBA2-Commission]/2,IF(BetTable[Outcome2]="Lose Half Stake",BetTable[S2]/2,IF(BetTable[Outcome2]="Lose",0,IF(BetTable[Outcome2]="Void",BetTable[S2],)))))</f>
        <v>0</v>
      </c>
      <c r="AH1167" s="164">
        <f>IF(BetTable[Outcome3]="Win",BetTable[WBA3-Commission],IF(BetTable[Outcome3]="Win Half Stake",(BetTable[S3]/2)+BetTable[WBA3-Commission]/2,IF(BetTable[Outcome3]="Lose Half Stake",BetTable[S3]/2,IF(BetTable[Outcome3]="Lose",0,IF(BetTable[Outcome3]="Void",BetTable[S3],)))))</f>
        <v>0</v>
      </c>
      <c r="AI1167" s="168">
        <f>IF(BetTable[Outcome]="",AI1166,BetTable[Result]+AI1166)</f>
        <v>2280.6127499999989</v>
      </c>
      <c r="AJ1167" s="160"/>
    </row>
    <row r="1168" spans="1:36" x14ac:dyDescent="0.2">
      <c r="A1168" s="159" t="s">
        <v>2791</v>
      </c>
      <c r="B1168" s="160" t="s">
        <v>7</v>
      </c>
      <c r="C1168" s="161" t="s">
        <v>1714</v>
      </c>
      <c r="D1168" s="161"/>
      <c r="E1168" s="161"/>
      <c r="F1168" s="162"/>
      <c r="G1168" s="162"/>
      <c r="H1168" s="162"/>
      <c r="I1168" s="160" t="s">
        <v>2884</v>
      </c>
      <c r="J1168" s="163">
        <v>1.95</v>
      </c>
      <c r="K1168" s="163"/>
      <c r="L1168" s="163"/>
      <c r="M1168" s="164">
        <v>47</v>
      </c>
      <c r="N1168" s="164"/>
      <c r="O1168" s="164"/>
      <c r="P1168" s="159" t="s">
        <v>2080</v>
      </c>
      <c r="Q1168" s="159" t="s">
        <v>1205</v>
      </c>
      <c r="R1168" s="159" t="s">
        <v>2885</v>
      </c>
      <c r="S1168" s="165">
        <v>2.5309987372971701E-2</v>
      </c>
      <c r="T1168" s="166" t="s">
        <v>372</v>
      </c>
      <c r="U1168" s="166"/>
      <c r="V1168" s="166"/>
      <c r="W1168" s="167">
        <f>IF(BetTable[Sport]="","",BetTable[Stake]+BetTable[S2]+BetTable[S3])</f>
        <v>47</v>
      </c>
      <c r="X1168" s="164">
        <f>IF(BetTable[Odds]="","",(BetTable[WBA1-Commission])-BetTable[TS])</f>
        <v>44.650000000000006</v>
      </c>
      <c r="Y1168" s="168">
        <f>IF(BetTable[Outcome]="","",BetTable[WBA1]+BetTable[WBA2]+BetTable[WBA3]-BetTable[TS])</f>
        <v>44.650000000000006</v>
      </c>
      <c r="Z1168" s="164">
        <f>(((BetTable[Odds]-1)*BetTable[Stake])*(1-(BetTable[Comm %]))+BetTable[Stake])</f>
        <v>91.65</v>
      </c>
      <c r="AA1168" s="164">
        <f>(((BetTable[O2]-1)*BetTable[S2])*(1-(BetTable[C% 2]))+BetTable[S2])</f>
        <v>0</v>
      </c>
      <c r="AB1168" s="164">
        <f>(((BetTable[O3]-1)*BetTable[S3])*(1-(BetTable[C% 3]))+BetTable[S3])</f>
        <v>0</v>
      </c>
      <c r="AC1168" s="165">
        <f>IFERROR(IF(BetTable[Sport]="","",BetTable[R1]/BetTable[TS]),"")</f>
        <v>0.95000000000000007</v>
      </c>
      <c r="AD1168" s="165" t="str">
        <f>IF(BetTable[O2]="","",#REF!/BetTable[TS])</f>
        <v/>
      </c>
      <c r="AE1168" s="165" t="str">
        <f>IFERROR(IF(BetTable[Sport]="","",#REF!/BetTable[TS]),"")</f>
        <v/>
      </c>
      <c r="AF1168" s="164">
        <f>IF(BetTable[Outcome]="Win",BetTable[WBA1-Commission],IF(BetTable[Outcome]="Win Half Stake",(BetTable[Stake]/2)+BetTable[WBA1-Commission]/2,IF(BetTable[Outcome]="Lose Half Stake",BetTable[Stake]/2,IF(BetTable[Outcome]="Lose",0,IF(BetTable[Outcome]="Void",BetTable[Stake],)))))</f>
        <v>91.65</v>
      </c>
      <c r="AG1168" s="164">
        <f>IF(BetTable[Outcome2]="Win",BetTable[WBA2-Commission],IF(BetTable[Outcome2]="Win Half Stake",(BetTable[S2]/2)+BetTable[WBA2-Commission]/2,IF(BetTable[Outcome2]="Lose Half Stake",BetTable[S2]/2,IF(BetTable[Outcome2]="Lose",0,IF(BetTable[Outcome2]="Void",BetTable[S2],)))))</f>
        <v>0</v>
      </c>
      <c r="AH1168" s="164">
        <f>IF(BetTable[Outcome3]="Win",BetTable[WBA3-Commission],IF(BetTable[Outcome3]="Win Half Stake",(BetTable[S3]/2)+BetTable[WBA3-Commission]/2,IF(BetTable[Outcome3]="Lose Half Stake",BetTable[S3]/2,IF(BetTable[Outcome3]="Lose",0,IF(BetTable[Outcome3]="Void",BetTable[S3],)))))</f>
        <v>0</v>
      </c>
      <c r="AI1168" s="168">
        <f>IF(BetTable[Outcome]="",AI1167,BetTable[Result]+AI1167)</f>
        <v>2325.262749999999</v>
      </c>
      <c r="AJ1168" s="160"/>
    </row>
    <row r="1169" spans="1:36" x14ac:dyDescent="0.2">
      <c r="A1169" s="159" t="s">
        <v>2791</v>
      </c>
      <c r="B1169" s="160" t="s">
        <v>7</v>
      </c>
      <c r="C1169" s="161" t="s">
        <v>1714</v>
      </c>
      <c r="D1169" s="161"/>
      <c r="E1169" s="161"/>
      <c r="F1169" s="162"/>
      <c r="G1169" s="162"/>
      <c r="H1169" s="162"/>
      <c r="I1169" s="160" t="s">
        <v>2886</v>
      </c>
      <c r="J1169" s="163">
        <v>2.04</v>
      </c>
      <c r="K1169" s="163"/>
      <c r="L1169" s="163"/>
      <c r="M1169" s="164">
        <v>34</v>
      </c>
      <c r="N1169" s="164"/>
      <c r="O1169" s="164"/>
      <c r="P1169" s="159" t="s">
        <v>2887</v>
      </c>
      <c r="Q1169" s="159" t="s">
        <v>485</v>
      </c>
      <c r="R1169" s="159" t="s">
        <v>2888</v>
      </c>
      <c r="S1169" s="165">
        <v>0.02</v>
      </c>
      <c r="T1169" s="166" t="s">
        <v>382</v>
      </c>
      <c r="U1169" s="166"/>
      <c r="V1169" s="166"/>
      <c r="W1169" s="167">
        <f>IF(BetTable[Sport]="","",BetTable[Stake]+BetTable[S2]+BetTable[S3])</f>
        <v>34</v>
      </c>
      <c r="X1169" s="164">
        <f>IF(BetTable[Odds]="","",(BetTable[WBA1-Commission])-BetTable[TS])</f>
        <v>35.36</v>
      </c>
      <c r="Y1169" s="168">
        <f>IF(BetTable[Outcome]="","",BetTable[WBA1]+BetTable[WBA2]+BetTable[WBA3]-BetTable[TS])</f>
        <v>-34</v>
      </c>
      <c r="Z1169" s="164">
        <f>(((BetTable[Odds]-1)*BetTable[Stake])*(1-(BetTable[Comm %]))+BetTable[Stake])</f>
        <v>69.36</v>
      </c>
      <c r="AA1169" s="164">
        <f>(((BetTable[O2]-1)*BetTable[S2])*(1-(BetTable[C% 2]))+BetTable[S2])</f>
        <v>0</v>
      </c>
      <c r="AB1169" s="164">
        <f>(((BetTable[O3]-1)*BetTable[S3])*(1-(BetTable[C% 3]))+BetTable[S3])</f>
        <v>0</v>
      </c>
      <c r="AC1169" s="165">
        <f>IFERROR(IF(BetTable[Sport]="","",BetTable[R1]/BetTable[TS]),"")</f>
        <v>1.04</v>
      </c>
      <c r="AD1169" s="165" t="str">
        <f>IF(BetTable[O2]="","",#REF!/BetTable[TS])</f>
        <v/>
      </c>
      <c r="AE1169" s="165" t="str">
        <f>IFERROR(IF(BetTable[Sport]="","",#REF!/BetTable[TS]),"")</f>
        <v/>
      </c>
      <c r="AF1169" s="164">
        <f>IF(BetTable[Outcome]="Win",BetTable[WBA1-Commission],IF(BetTable[Outcome]="Win Half Stake",(BetTable[Stake]/2)+BetTable[WBA1-Commission]/2,IF(BetTable[Outcome]="Lose Half Stake",BetTable[Stake]/2,IF(BetTable[Outcome]="Lose",0,IF(BetTable[Outcome]="Void",BetTable[Stake],)))))</f>
        <v>0</v>
      </c>
      <c r="AG1169" s="164">
        <f>IF(BetTable[Outcome2]="Win",BetTable[WBA2-Commission],IF(BetTable[Outcome2]="Win Half Stake",(BetTable[S2]/2)+BetTable[WBA2-Commission]/2,IF(BetTable[Outcome2]="Lose Half Stake",BetTable[S2]/2,IF(BetTable[Outcome2]="Lose",0,IF(BetTable[Outcome2]="Void",BetTable[S2],)))))</f>
        <v>0</v>
      </c>
      <c r="AH1169" s="164">
        <f>IF(BetTable[Outcome3]="Win",BetTable[WBA3-Commission],IF(BetTable[Outcome3]="Win Half Stake",(BetTable[S3]/2)+BetTable[WBA3-Commission]/2,IF(BetTable[Outcome3]="Lose Half Stake",BetTable[S3]/2,IF(BetTable[Outcome3]="Lose",0,IF(BetTable[Outcome3]="Void",BetTable[S3],)))))</f>
        <v>0</v>
      </c>
      <c r="AI1169" s="168">
        <f>IF(BetTable[Outcome]="",AI1168,BetTable[Result]+AI1168)</f>
        <v>2291.262749999999</v>
      </c>
      <c r="AJ1169" s="160"/>
    </row>
    <row r="1170" spans="1:36" x14ac:dyDescent="0.2">
      <c r="A1170" s="159" t="s">
        <v>2791</v>
      </c>
      <c r="B1170" s="160" t="s">
        <v>7</v>
      </c>
      <c r="C1170" s="161" t="s">
        <v>1714</v>
      </c>
      <c r="D1170" s="161"/>
      <c r="E1170" s="161"/>
      <c r="F1170" s="162"/>
      <c r="G1170" s="162"/>
      <c r="H1170" s="162"/>
      <c r="I1170" s="160" t="s">
        <v>2889</v>
      </c>
      <c r="J1170" s="163">
        <v>2.11</v>
      </c>
      <c r="K1170" s="163"/>
      <c r="L1170" s="163"/>
      <c r="M1170" s="164">
        <v>48</v>
      </c>
      <c r="N1170" s="164"/>
      <c r="O1170" s="164"/>
      <c r="P1170" s="159" t="s">
        <v>2267</v>
      </c>
      <c r="Q1170" s="159" t="s">
        <v>485</v>
      </c>
      <c r="R1170" s="159" t="s">
        <v>2890</v>
      </c>
      <c r="S1170" s="165">
        <v>3.1065235230765001E-2</v>
      </c>
      <c r="T1170" s="166" t="s">
        <v>372</v>
      </c>
      <c r="U1170" s="166"/>
      <c r="V1170" s="166"/>
      <c r="W1170" s="167">
        <f>IF(BetTable[Sport]="","",BetTable[Stake]+BetTable[S2]+BetTable[S3])</f>
        <v>48</v>
      </c>
      <c r="X1170" s="164">
        <f>IF(BetTable[Odds]="","",(BetTable[WBA1-Commission])-BetTable[TS])</f>
        <v>53.28</v>
      </c>
      <c r="Y1170" s="168">
        <f>IF(BetTable[Outcome]="","",BetTable[WBA1]+BetTable[WBA2]+BetTable[WBA3]-BetTable[TS])</f>
        <v>53.28</v>
      </c>
      <c r="Z1170" s="164">
        <f>(((BetTable[Odds]-1)*BetTable[Stake])*(1-(BetTable[Comm %]))+BetTable[Stake])</f>
        <v>101.28</v>
      </c>
      <c r="AA1170" s="164">
        <f>(((BetTable[O2]-1)*BetTable[S2])*(1-(BetTable[C% 2]))+BetTable[S2])</f>
        <v>0</v>
      </c>
      <c r="AB1170" s="164">
        <f>(((BetTable[O3]-1)*BetTable[S3])*(1-(BetTable[C% 3]))+BetTable[S3])</f>
        <v>0</v>
      </c>
      <c r="AC1170" s="165">
        <f>IFERROR(IF(BetTable[Sport]="","",BetTable[R1]/BetTable[TS]),"")</f>
        <v>1.1100000000000001</v>
      </c>
      <c r="AD1170" s="165" t="str">
        <f>IF(BetTable[O2]="","",#REF!/BetTable[TS])</f>
        <v/>
      </c>
      <c r="AE1170" s="165" t="str">
        <f>IFERROR(IF(BetTable[Sport]="","",#REF!/BetTable[TS]),"")</f>
        <v/>
      </c>
      <c r="AF1170" s="164">
        <f>IF(BetTable[Outcome]="Win",BetTable[WBA1-Commission],IF(BetTable[Outcome]="Win Half Stake",(BetTable[Stake]/2)+BetTable[WBA1-Commission]/2,IF(BetTable[Outcome]="Lose Half Stake",BetTable[Stake]/2,IF(BetTable[Outcome]="Lose",0,IF(BetTable[Outcome]="Void",BetTable[Stake],)))))</f>
        <v>101.28</v>
      </c>
      <c r="AG1170" s="164">
        <f>IF(BetTable[Outcome2]="Win",BetTable[WBA2-Commission],IF(BetTable[Outcome2]="Win Half Stake",(BetTable[S2]/2)+BetTable[WBA2-Commission]/2,IF(BetTable[Outcome2]="Lose Half Stake",BetTable[S2]/2,IF(BetTable[Outcome2]="Lose",0,IF(BetTable[Outcome2]="Void",BetTable[S2],)))))</f>
        <v>0</v>
      </c>
      <c r="AH1170" s="164">
        <f>IF(BetTable[Outcome3]="Win",BetTable[WBA3-Commission],IF(BetTable[Outcome3]="Win Half Stake",(BetTable[S3]/2)+BetTable[WBA3-Commission]/2,IF(BetTable[Outcome3]="Lose Half Stake",BetTable[S3]/2,IF(BetTable[Outcome3]="Lose",0,IF(BetTable[Outcome3]="Void",BetTable[S3],)))))</f>
        <v>0</v>
      </c>
      <c r="AI1170" s="168">
        <f>IF(BetTable[Outcome]="",AI1169,BetTable[Result]+AI1169)</f>
        <v>2344.5427499999992</v>
      </c>
      <c r="AJ1170" s="160"/>
    </row>
    <row r="1171" spans="1:36" x14ac:dyDescent="0.2">
      <c r="A1171" s="159" t="s">
        <v>2791</v>
      </c>
      <c r="B1171" s="160" t="s">
        <v>7</v>
      </c>
      <c r="C1171" s="161" t="s">
        <v>1714</v>
      </c>
      <c r="D1171" s="161"/>
      <c r="E1171" s="161"/>
      <c r="F1171" s="162"/>
      <c r="G1171" s="162"/>
      <c r="H1171" s="162"/>
      <c r="I1171" s="160" t="s">
        <v>2891</v>
      </c>
      <c r="J1171" s="163">
        <v>2.0699999999999998</v>
      </c>
      <c r="K1171" s="163"/>
      <c r="L1171" s="163"/>
      <c r="M1171" s="164">
        <v>42</v>
      </c>
      <c r="N1171" s="164"/>
      <c r="O1171" s="164"/>
      <c r="P1171" s="159" t="s">
        <v>1320</v>
      </c>
      <c r="Q1171" s="159" t="s">
        <v>581</v>
      </c>
      <c r="R1171" s="159" t="s">
        <v>2892</v>
      </c>
      <c r="S1171" s="165">
        <v>2.5243935642600902E-2</v>
      </c>
      <c r="T1171" s="166" t="s">
        <v>382</v>
      </c>
      <c r="U1171" s="166"/>
      <c r="V1171" s="166"/>
      <c r="W1171" s="167">
        <f>IF(BetTable[Sport]="","",BetTable[Stake]+BetTable[S2]+BetTable[S3])</f>
        <v>42</v>
      </c>
      <c r="X1171" s="164">
        <f>IF(BetTable[Odds]="","",(BetTable[WBA1-Commission])-BetTable[TS])</f>
        <v>44.94</v>
      </c>
      <c r="Y1171" s="168">
        <f>IF(BetTable[Outcome]="","",BetTable[WBA1]+BetTable[WBA2]+BetTable[WBA3]-BetTable[TS])</f>
        <v>-42</v>
      </c>
      <c r="Z1171" s="164">
        <f>(((BetTable[Odds]-1)*BetTable[Stake])*(1-(BetTable[Comm %]))+BetTable[Stake])</f>
        <v>86.94</v>
      </c>
      <c r="AA1171" s="164">
        <f>(((BetTable[O2]-1)*BetTable[S2])*(1-(BetTable[C% 2]))+BetTable[S2])</f>
        <v>0</v>
      </c>
      <c r="AB1171" s="164">
        <f>(((BetTable[O3]-1)*BetTable[S3])*(1-(BetTable[C% 3]))+BetTable[S3])</f>
        <v>0</v>
      </c>
      <c r="AC1171" s="165">
        <f>IFERROR(IF(BetTable[Sport]="","",BetTable[R1]/BetTable[TS]),"")</f>
        <v>1.0699999999999998</v>
      </c>
      <c r="AD1171" s="165" t="str">
        <f>IF(BetTable[O2]="","",#REF!/BetTable[TS])</f>
        <v/>
      </c>
      <c r="AE1171" s="165" t="str">
        <f>IFERROR(IF(BetTable[Sport]="","",#REF!/BetTable[TS]),"")</f>
        <v/>
      </c>
      <c r="AF1171" s="164">
        <f>IF(BetTable[Outcome]="Win",BetTable[WBA1-Commission],IF(BetTable[Outcome]="Win Half Stake",(BetTable[Stake]/2)+BetTable[WBA1-Commission]/2,IF(BetTable[Outcome]="Lose Half Stake",BetTable[Stake]/2,IF(BetTable[Outcome]="Lose",0,IF(BetTable[Outcome]="Void",BetTable[Stake],)))))</f>
        <v>0</v>
      </c>
      <c r="AG1171" s="164">
        <f>IF(BetTable[Outcome2]="Win",BetTable[WBA2-Commission],IF(BetTable[Outcome2]="Win Half Stake",(BetTable[S2]/2)+BetTable[WBA2-Commission]/2,IF(BetTable[Outcome2]="Lose Half Stake",BetTable[S2]/2,IF(BetTable[Outcome2]="Lose",0,IF(BetTable[Outcome2]="Void",BetTable[S2],)))))</f>
        <v>0</v>
      </c>
      <c r="AH1171" s="164">
        <f>IF(BetTable[Outcome3]="Win",BetTable[WBA3-Commission],IF(BetTable[Outcome3]="Win Half Stake",(BetTable[S3]/2)+BetTable[WBA3-Commission]/2,IF(BetTable[Outcome3]="Lose Half Stake",BetTable[S3]/2,IF(BetTable[Outcome3]="Lose",0,IF(BetTable[Outcome3]="Void",BetTable[S3],)))))</f>
        <v>0</v>
      </c>
      <c r="AI1171" s="168">
        <f>IF(BetTable[Outcome]="",AI1170,BetTable[Result]+AI1170)</f>
        <v>2302.5427499999992</v>
      </c>
      <c r="AJ1171" s="160"/>
    </row>
    <row r="1172" spans="1:36" x14ac:dyDescent="0.2">
      <c r="A1172" s="159" t="s">
        <v>2791</v>
      </c>
      <c r="B1172" s="160" t="s">
        <v>200</v>
      </c>
      <c r="C1172" s="161" t="s">
        <v>1714</v>
      </c>
      <c r="D1172" s="161"/>
      <c r="E1172" s="161"/>
      <c r="F1172" s="162"/>
      <c r="G1172" s="162"/>
      <c r="H1172" s="162"/>
      <c r="I1172" s="160" t="s">
        <v>2893</v>
      </c>
      <c r="J1172" s="163">
        <v>1.85</v>
      </c>
      <c r="K1172" s="163"/>
      <c r="L1172" s="163"/>
      <c r="M1172" s="164">
        <v>83</v>
      </c>
      <c r="N1172" s="164"/>
      <c r="O1172" s="164"/>
      <c r="P1172" s="159" t="s">
        <v>448</v>
      </c>
      <c r="Q1172" s="159" t="s">
        <v>703</v>
      </c>
      <c r="R1172" s="159" t="s">
        <v>2894</v>
      </c>
      <c r="S1172" s="165">
        <v>3.9522699526029499E-2</v>
      </c>
      <c r="T1172" s="166" t="s">
        <v>372</v>
      </c>
      <c r="U1172" s="166"/>
      <c r="V1172" s="166"/>
      <c r="W1172" s="167">
        <f>IF(BetTable[Sport]="","",BetTable[Stake]+BetTable[S2]+BetTable[S3])</f>
        <v>83</v>
      </c>
      <c r="X1172" s="164">
        <f>IF(BetTable[Odds]="","",(BetTable[WBA1-Commission])-BetTable[TS])</f>
        <v>70.550000000000011</v>
      </c>
      <c r="Y1172" s="168">
        <f>IF(BetTable[Outcome]="","",BetTable[WBA1]+BetTable[WBA2]+BetTable[WBA3]-BetTable[TS])</f>
        <v>70.550000000000011</v>
      </c>
      <c r="Z1172" s="164">
        <f>(((BetTable[Odds]-1)*BetTable[Stake])*(1-(BetTable[Comm %]))+BetTable[Stake])</f>
        <v>153.55000000000001</v>
      </c>
      <c r="AA1172" s="164">
        <f>(((BetTable[O2]-1)*BetTable[S2])*(1-(BetTable[C% 2]))+BetTable[S2])</f>
        <v>0</v>
      </c>
      <c r="AB1172" s="164">
        <f>(((BetTable[O3]-1)*BetTable[S3])*(1-(BetTable[C% 3]))+BetTable[S3])</f>
        <v>0</v>
      </c>
      <c r="AC1172" s="165">
        <f>IFERROR(IF(BetTable[Sport]="","",BetTable[R1]/BetTable[TS]),"")</f>
        <v>0.85000000000000009</v>
      </c>
      <c r="AD1172" s="165" t="str">
        <f>IF(BetTable[O2]="","",#REF!/BetTable[TS])</f>
        <v/>
      </c>
      <c r="AE1172" s="165" t="str">
        <f>IFERROR(IF(BetTable[Sport]="","",#REF!/BetTable[TS]),"")</f>
        <v/>
      </c>
      <c r="AF1172" s="164">
        <f>IF(BetTable[Outcome]="Win",BetTable[WBA1-Commission],IF(BetTable[Outcome]="Win Half Stake",(BetTable[Stake]/2)+BetTable[WBA1-Commission]/2,IF(BetTable[Outcome]="Lose Half Stake",BetTable[Stake]/2,IF(BetTable[Outcome]="Lose",0,IF(BetTable[Outcome]="Void",BetTable[Stake],)))))</f>
        <v>153.55000000000001</v>
      </c>
      <c r="AG1172" s="164">
        <f>IF(BetTable[Outcome2]="Win",BetTable[WBA2-Commission],IF(BetTable[Outcome2]="Win Half Stake",(BetTable[S2]/2)+BetTable[WBA2-Commission]/2,IF(BetTable[Outcome2]="Lose Half Stake",BetTable[S2]/2,IF(BetTable[Outcome2]="Lose",0,IF(BetTable[Outcome2]="Void",BetTable[S2],)))))</f>
        <v>0</v>
      </c>
      <c r="AH1172" s="164">
        <f>IF(BetTable[Outcome3]="Win",BetTable[WBA3-Commission],IF(BetTable[Outcome3]="Win Half Stake",(BetTable[S3]/2)+BetTable[WBA3-Commission]/2,IF(BetTable[Outcome3]="Lose Half Stake",BetTable[S3]/2,IF(BetTable[Outcome3]="Lose",0,IF(BetTable[Outcome3]="Void",BetTable[S3],)))))</f>
        <v>0</v>
      </c>
      <c r="AI1172" s="168">
        <f>IF(BetTable[Outcome]="",AI1171,BetTable[Result]+AI1171)</f>
        <v>2373.0927499999993</v>
      </c>
      <c r="AJ1172" s="160"/>
    </row>
    <row r="1173" spans="1:36" x14ac:dyDescent="0.2">
      <c r="A1173" s="159" t="s">
        <v>2791</v>
      </c>
      <c r="B1173" s="160" t="s">
        <v>200</v>
      </c>
      <c r="C1173" s="161" t="s">
        <v>1714</v>
      </c>
      <c r="D1173" s="161"/>
      <c r="E1173" s="161"/>
      <c r="F1173" s="162"/>
      <c r="G1173" s="162"/>
      <c r="H1173" s="162"/>
      <c r="I1173" s="160" t="s">
        <v>2895</v>
      </c>
      <c r="J1173" s="163">
        <v>2.16</v>
      </c>
      <c r="K1173" s="163"/>
      <c r="L1173" s="163"/>
      <c r="M1173" s="164">
        <v>35</v>
      </c>
      <c r="N1173" s="164"/>
      <c r="O1173" s="164"/>
      <c r="P1173" s="159" t="s">
        <v>360</v>
      </c>
      <c r="Q1173" s="159" t="s">
        <v>491</v>
      </c>
      <c r="R1173" s="159" t="s">
        <v>2896</v>
      </c>
      <c r="S1173" s="165">
        <v>2.16189799646287E-2</v>
      </c>
      <c r="T1173" s="166" t="s">
        <v>372</v>
      </c>
      <c r="U1173" s="166"/>
      <c r="V1173" s="166"/>
      <c r="W1173" s="167">
        <f>IF(BetTable[Sport]="","",BetTable[Stake]+BetTable[S2]+BetTable[S3])</f>
        <v>35</v>
      </c>
      <c r="X1173" s="164">
        <f>IF(BetTable[Odds]="","",(BetTable[WBA1-Commission])-BetTable[TS])</f>
        <v>40.600000000000009</v>
      </c>
      <c r="Y1173" s="168">
        <f>IF(BetTable[Outcome]="","",BetTable[WBA1]+BetTable[WBA2]+BetTable[WBA3]-BetTable[TS])</f>
        <v>40.600000000000009</v>
      </c>
      <c r="Z1173" s="164">
        <f>(((BetTable[Odds]-1)*BetTable[Stake])*(1-(BetTable[Comm %]))+BetTable[Stake])</f>
        <v>75.600000000000009</v>
      </c>
      <c r="AA1173" s="164">
        <f>(((BetTable[O2]-1)*BetTable[S2])*(1-(BetTable[C% 2]))+BetTable[S2])</f>
        <v>0</v>
      </c>
      <c r="AB1173" s="164">
        <f>(((BetTable[O3]-1)*BetTable[S3])*(1-(BetTable[C% 3]))+BetTable[S3])</f>
        <v>0</v>
      </c>
      <c r="AC1173" s="165">
        <f>IFERROR(IF(BetTable[Sport]="","",BetTable[R1]/BetTable[TS]),"")</f>
        <v>1.1600000000000001</v>
      </c>
      <c r="AD1173" s="165" t="str">
        <f>IF(BetTable[O2]="","",#REF!/BetTable[TS])</f>
        <v/>
      </c>
      <c r="AE1173" s="165" t="str">
        <f>IFERROR(IF(BetTable[Sport]="","",#REF!/BetTable[TS]),"")</f>
        <v/>
      </c>
      <c r="AF1173" s="164">
        <f>IF(BetTable[Outcome]="Win",BetTable[WBA1-Commission],IF(BetTable[Outcome]="Win Half Stake",(BetTable[Stake]/2)+BetTable[WBA1-Commission]/2,IF(BetTable[Outcome]="Lose Half Stake",BetTable[Stake]/2,IF(BetTable[Outcome]="Lose",0,IF(BetTable[Outcome]="Void",BetTable[Stake],)))))</f>
        <v>75.600000000000009</v>
      </c>
      <c r="AG1173" s="164">
        <f>IF(BetTable[Outcome2]="Win",BetTable[WBA2-Commission],IF(BetTable[Outcome2]="Win Half Stake",(BetTable[S2]/2)+BetTable[WBA2-Commission]/2,IF(BetTable[Outcome2]="Lose Half Stake",BetTable[S2]/2,IF(BetTable[Outcome2]="Lose",0,IF(BetTable[Outcome2]="Void",BetTable[S2],)))))</f>
        <v>0</v>
      </c>
      <c r="AH1173" s="164">
        <f>IF(BetTable[Outcome3]="Win",BetTable[WBA3-Commission],IF(BetTable[Outcome3]="Win Half Stake",(BetTable[S3]/2)+BetTable[WBA3-Commission]/2,IF(BetTable[Outcome3]="Lose Half Stake",BetTable[S3]/2,IF(BetTable[Outcome3]="Lose",0,IF(BetTable[Outcome3]="Void",BetTable[S3],)))))</f>
        <v>0</v>
      </c>
      <c r="AI1173" s="168">
        <f>IF(BetTable[Outcome]="",AI1172,BetTable[Result]+AI1172)</f>
        <v>2413.6927499999993</v>
      </c>
      <c r="AJ1173" s="160"/>
    </row>
    <row r="1174" spans="1:36" x14ac:dyDescent="0.2">
      <c r="A1174" s="159" t="s">
        <v>2791</v>
      </c>
      <c r="B1174" s="160" t="s">
        <v>7</v>
      </c>
      <c r="C1174" s="161" t="s">
        <v>1714</v>
      </c>
      <c r="D1174" s="161"/>
      <c r="E1174" s="161"/>
      <c r="F1174" s="162"/>
      <c r="G1174" s="162"/>
      <c r="H1174" s="162"/>
      <c r="I1174" s="160" t="s">
        <v>2897</v>
      </c>
      <c r="J1174" s="163">
        <v>2</v>
      </c>
      <c r="K1174" s="163"/>
      <c r="L1174" s="163"/>
      <c r="M1174" s="164">
        <v>33</v>
      </c>
      <c r="N1174" s="164"/>
      <c r="O1174" s="164"/>
      <c r="P1174" s="159" t="s">
        <v>414</v>
      </c>
      <c r="Q1174" s="159" t="s">
        <v>466</v>
      </c>
      <c r="R1174" s="159" t="s">
        <v>2898</v>
      </c>
      <c r="S1174" s="165">
        <v>1.8497567634118101E-2</v>
      </c>
      <c r="T1174" s="166" t="s">
        <v>382</v>
      </c>
      <c r="U1174" s="166"/>
      <c r="V1174" s="166"/>
      <c r="W1174" s="167">
        <f>IF(BetTable[Sport]="","",BetTable[Stake]+BetTable[S2]+BetTable[S3])</f>
        <v>33</v>
      </c>
      <c r="X1174" s="164">
        <f>IF(BetTable[Odds]="","",(BetTable[WBA1-Commission])-BetTable[TS])</f>
        <v>33</v>
      </c>
      <c r="Y1174" s="168">
        <f>IF(BetTable[Outcome]="","",BetTable[WBA1]+BetTable[WBA2]+BetTable[WBA3]-BetTable[TS])</f>
        <v>-33</v>
      </c>
      <c r="Z1174" s="164">
        <f>(((BetTable[Odds]-1)*BetTable[Stake])*(1-(BetTable[Comm %]))+BetTable[Stake])</f>
        <v>66</v>
      </c>
      <c r="AA1174" s="164">
        <f>(((BetTable[O2]-1)*BetTable[S2])*(1-(BetTable[C% 2]))+BetTable[S2])</f>
        <v>0</v>
      </c>
      <c r="AB1174" s="164">
        <f>(((BetTable[O3]-1)*BetTable[S3])*(1-(BetTable[C% 3]))+BetTable[S3])</f>
        <v>0</v>
      </c>
      <c r="AC1174" s="165">
        <f>IFERROR(IF(BetTable[Sport]="","",BetTable[R1]/BetTable[TS]),"")</f>
        <v>1</v>
      </c>
      <c r="AD1174" s="165" t="str">
        <f>IF(BetTable[O2]="","",#REF!/BetTable[TS])</f>
        <v/>
      </c>
      <c r="AE1174" s="165" t="str">
        <f>IFERROR(IF(BetTable[Sport]="","",#REF!/BetTable[TS]),"")</f>
        <v/>
      </c>
      <c r="AF1174" s="164">
        <f>IF(BetTable[Outcome]="Win",BetTable[WBA1-Commission],IF(BetTable[Outcome]="Win Half Stake",(BetTable[Stake]/2)+BetTable[WBA1-Commission]/2,IF(BetTable[Outcome]="Lose Half Stake",BetTable[Stake]/2,IF(BetTable[Outcome]="Lose",0,IF(BetTable[Outcome]="Void",BetTable[Stake],)))))</f>
        <v>0</v>
      </c>
      <c r="AG1174" s="164">
        <f>IF(BetTable[Outcome2]="Win",BetTable[WBA2-Commission],IF(BetTable[Outcome2]="Win Half Stake",(BetTable[S2]/2)+BetTable[WBA2-Commission]/2,IF(BetTable[Outcome2]="Lose Half Stake",BetTable[S2]/2,IF(BetTable[Outcome2]="Lose",0,IF(BetTable[Outcome2]="Void",BetTable[S2],)))))</f>
        <v>0</v>
      </c>
      <c r="AH1174" s="164">
        <f>IF(BetTable[Outcome3]="Win",BetTable[WBA3-Commission],IF(BetTable[Outcome3]="Win Half Stake",(BetTable[S3]/2)+BetTable[WBA3-Commission]/2,IF(BetTable[Outcome3]="Lose Half Stake",BetTable[S3]/2,IF(BetTable[Outcome3]="Lose",0,IF(BetTable[Outcome3]="Void",BetTable[S3],)))))</f>
        <v>0</v>
      </c>
      <c r="AI1174" s="168">
        <f>IF(BetTable[Outcome]="",AI1173,BetTable[Result]+AI1173)</f>
        <v>2380.6927499999993</v>
      </c>
      <c r="AJ1174" s="160"/>
    </row>
    <row r="1175" spans="1:36" x14ac:dyDescent="0.2">
      <c r="A1175" s="159" t="s">
        <v>2791</v>
      </c>
      <c r="B1175" s="160" t="s">
        <v>200</v>
      </c>
      <c r="C1175" s="161" t="s">
        <v>1714</v>
      </c>
      <c r="D1175" s="161"/>
      <c r="E1175" s="161"/>
      <c r="F1175" s="162"/>
      <c r="G1175" s="162"/>
      <c r="H1175" s="162"/>
      <c r="I1175" s="160" t="s">
        <v>2899</v>
      </c>
      <c r="J1175" s="163">
        <v>1.87</v>
      </c>
      <c r="K1175" s="163"/>
      <c r="L1175" s="163"/>
      <c r="M1175" s="164">
        <v>42</v>
      </c>
      <c r="N1175" s="164"/>
      <c r="O1175" s="164"/>
      <c r="P1175" s="159" t="s">
        <v>498</v>
      </c>
      <c r="Q1175" s="159" t="s">
        <v>458</v>
      </c>
      <c r="R1175" s="159" t="s">
        <v>2900</v>
      </c>
      <c r="S1175" s="165">
        <v>2.04546882088146E-2</v>
      </c>
      <c r="T1175" s="166" t="s">
        <v>372</v>
      </c>
      <c r="U1175" s="166"/>
      <c r="V1175" s="166"/>
      <c r="W1175" s="167">
        <f>IF(BetTable[Sport]="","",BetTable[Stake]+BetTable[S2]+BetTable[S3])</f>
        <v>42</v>
      </c>
      <c r="X1175" s="164">
        <f>IF(BetTable[Odds]="","",(BetTable[WBA1-Commission])-BetTable[TS])</f>
        <v>36.540000000000006</v>
      </c>
      <c r="Y1175" s="168">
        <f>IF(BetTable[Outcome]="","",BetTable[WBA1]+BetTable[WBA2]+BetTable[WBA3]-BetTable[TS])</f>
        <v>36.540000000000006</v>
      </c>
      <c r="Z1175" s="164">
        <f>(((BetTable[Odds]-1)*BetTable[Stake])*(1-(BetTable[Comm %]))+BetTable[Stake])</f>
        <v>78.540000000000006</v>
      </c>
      <c r="AA1175" s="164">
        <f>(((BetTable[O2]-1)*BetTable[S2])*(1-(BetTable[C% 2]))+BetTable[S2])</f>
        <v>0</v>
      </c>
      <c r="AB1175" s="164">
        <f>(((BetTable[O3]-1)*BetTable[S3])*(1-(BetTable[C% 3]))+BetTable[S3])</f>
        <v>0</v>
      </c>
      <c r="AC1175" s="165">
        <f>IFERROR(IF(BetTable[Sport]="","",BetTable[R1]/BetTable[TS]),"")</f>
        <v>0.87000000000000011</v>
      </c>
      <c r="AD1175" s="165" t="str">
        <f>IF(BetTable[O2]="","",#REF!/BetTable[TS])</f>
        <v/>
      </c>
      <c r="AE1175" s="165" t="str">
        <f>IFERROR(IF(BetTable[Sport]="","",#REF!/BetTable[TS]),"")</f>
        <v/>
      </c>
      <c r="AF1175" s="164">
        <f>IF(BetTable[Outcome]="Win",BetTable[WBA1-Commission],IF(BetTable[Outcome]="Win Half Stake",(BetTable[Stake]/2)+BetTable[WBA1-Commission]/2,IF(BetTable[Outcome]="Lose Half Stake",BetTable[Stake]/2,IF(BetTable[Outcome]="Lose",0,IF(BetTable[Outcome]="Void",BetTable[Stake],)))))</f>
        <v>78.540000000000006</v>
      </c>
      <c r="AG1175" s="164">
        <f>IF(BetTable[Outcome2]="Win",BetTable[WBA2-Commission],IF(BetTable[Outcome2]="Win Half Stake",(BetTable[S2]/2)+BetTable[WBA2-Commission]/2,IF(BetTable[Outcome2]="Lose Half Stake",BetTable[S2]/2,IF(BetTable[Outcome2]="Lose",0,IF(BetTable[Outcome2]="Void",BetTable[S2],)))))</f>
        <v>0</v>
      </c>
      <c r="AH1175" s="164">
        <f>IF(BetTable[Outcome3]="Win",BetTable[WBA3-Commission],IF(BetTable[Outcome3]="Win Half Stake",(BetTable[S3]/2)+BetTable[WBA3-Commission]/2,IF(BetTable[Outcome3]="Lose Half Stake",BetTable[S3]/2,IF(BetTable[Outcome3]="Lose",0,IF(BetTable[Outcome3]="Void",BetTable[S3],)))))</f>
        <v>0</v>
      </c>
      <c r="AI1175" s="168">
        <f>IF(BetTable[Outcome]="",AI1174,BetTable[Result]+AI1174)</f>
        <v>2417.2327499999992</v>
      </c>
      <c r="AJ1175" s="160"/>
    </row>
    <row r="1176" spans="1:36" x14ac:dyDescent="0.2">
      <c r="A1176" s="159" t="s">
        <v>2791</v>
      </c>
      <c r="B1176" s="160" t="s">
        <v>7</v>
      </c>
      <c r="C1176" s="161" t="s">
        <v>1714</v>
      </c>
      <c r="D1176" s="161"/>
      <c r="E1176" s="161"/>
      <c r="F1176" s="162"/>
      <c r="G1176" s="162"/>
      <c r="H1176" s="162"/>
      <c r="I1176" s="160" t="s">
        <v>2859</v>
      </c>
      <c r="J1176" s="163">
        <v>2.02</v>
      </c>
      <c r="K1176" s="163"/>
      <c r="L1176" s="163"/>
      <c r="M1176" s="164">
        <v>50</v>
      </c>
      <c r="N1176" s="164"/>
      <c r="O1176" s="164"/>
      <c r="P1176" s="159" t="s">
        <v>2865</v>
      </c>
      <c r="Q1176" s="159" t="s">
        <v>530</v>
      </c>
      <c r="R1176" s="159" t="s">
        <v>2901</v>
      </c>
      <c r="S1176" s="165">
        <v>5.5780268770324298E-2</v>
      </c>
      <c r="T1176" s="166" t="s">
        <v>372</v>
      </c>
      <c r="U1176" s="166"/>
      <c r="V1176" s="166"/>
      <c r="W1176" s="167">
        <f>IF(BetTable[Sport]="","",BetTable[Stake]+BetTable[S2]+BetTable[S3])</f>
        <v>50</v>
      </c>
      <c r="X1176" s="164">
        <f>IF(BetTable[Odds]="","",(BetTable[WBA1-Commission])-BetTable[TS])</f>
        <v>51</v>
      </c>
      <c r="Y1176" s="168">
        <f>IF(BetTable[Outcome]="","",BetTable[WBA1]+BetTable[WBA2]+BetTable[WBA3]-BetTable[TS])</f>
        <v>51</v>
      </c>
      <c r="Z1176" s="164">
        <f>(((BetTable[Odds]-1)*BetTable[Stake])*(1-(BetTable[Comm %]))+BetTable[Stake])</f>
        <v>101</v>
      </c>
      <c r="AA1176" s="164">
        <f>(((BetTable[O2]-1)*BetTable[S2])*(1-(BetTable[C% 2]))+BetTable[S2])</f>
        <v>0</v>
      </c>
      <c r="AB1176" s="164">
        <f>(((BetTable[O3]-1)*BetTable[S3])*(1-(BetTable[C% 3]))+BetTable[S3])</f>
        <v>0</v>
      </c>
      <c r="AC1176" s="165">
        <f>IFERROR(IF(BetTable[Sport]="","",BetTable[R1]/BetTable[TS]),"")</f>
        <v>1.02</v>
      </c>
      <c r="AD1176" s="165" t="str">
        <f>IF(BetTable[O2]="","",#REF!/BetTable[TS])</f>
        <v/>
      </c>
      <c r="AE1176" s="165" t="str">
        <f>IFERROR(IF(BetTable[Sport]="","",#REF!/BetTable[TS]),"")</f>
        <v/>
      </c>
      <c r="AF1176" s="164">
        <f>IF(BetTable[Outcome]="Win",BetTable[WBA1-Commission],IF(BetTable[Outcome]="Win Half Stake",(BetTable[Stake]/2)+BetTable[WBA1-Commission]/2,IF(BetTable[Outcome]="Lose Half Stake",BetTable[Stake]/2,IF(BetTable[Outcome]="Lose",0,IF(BetTable[Outcome]="Void",BetTable[Stake],)))))</f>
        <v>101</v>
      </c>
      <c r="AG1176" s="164">
        <f>IF(BetTable[Outcome2]="Win",BetTable[WBA2-Commission],IF(BetTable[Outcome2]="Win Half Stake",(BetTable[S2]/2)+BetTable[WBA2-Commission]/2,IF(BetTable[Outcome2]="Lose Half Stake",BetTable[S2]/2,IF(BetTable[Outcome2]="Lose",0,IF(BetTable[Outcome2]="Void",BetTable[S2],)))))</f>
        <v>0</v>
      </c>
      <c r="AH1176" s="164">
        <f>IF(BetTable[Outcome3]="Win",BetTable[WBA3-Commission],IF(BetTable[Outcome3]="Win Half Stake",(BetTable[S3]/2)+BetTable[WBA3-Commission]/2,IF(BetTable[Outcome3]="Lose Half Stake",BetTable[S3]/2,IF(BetTable[Outcome3]="Lose",0,IF(BetTable[Outcome3]="Void",BetTable[S3],)))))</f>
        <v>0</v>
      </c>
      <c r="AI1176" s="168">
        <f>IF(BetTable[Outcome]="",AI1175,BetTable[Result]+AI1175)</f>
        <v>2468.2327499999992</v>
      </c>
      <c r="AJ1176" s="160"/>
    </row>
    <row r="1177" spans="1:36" x14ac:dyDescent="0.2">
      <c r="A1177" s="159" t="s">
        <v>2791</v>
      </c>
      <c r="B1177" s="160" t="s">
        <v>200</v>
      </c>
      <c r="C1177" s="161" t="s">
        <v>1714</v>
      </c>
      <c r="D1177" s="161"/>
      <c r="E1177" s="161"/>
      <c r="F1177" s="162"/>
      <c r="G1177" s="162"/>
      <c r="H1177" s="162"/>
      <c r="I1177" s="160" t="s">
        <v>2899</v>
      </c>
      <c r="J1177" s="163">
        <v>1.92</v>
      </c>
      <c r="K1177" s="163"/>
      <c r="L1177" s="163"/>
      <c r="M1177" s="164">
        <v>43</v>
      </c>
      <c r="N1177" s="164"/>
      <c r="O1177" s="164"/>
      <c r="P1177" s="159" t="s">
        <v>357</v>
      </c>
      <c r="Q1177" s="159" t="s">
        <v>458</v>
      </c>
      <c r="R1177" s="159" t="s">
        <v>2902</v>
      </c>
      <c r="S1177" s="165">
        <v>2.20273876239057E-2</v>
      </c>
      <c r="T1177" s="166" t="s">
        <v>383</v>
      </c>
      <c r="U1177" s="166"/>
      <c r="V1177" s="166"/>
      <c r="W1177" s="167">
        <f>IF(BetTable[Sport]="","",BetTable[Stake]+BetTable[S2]+BetTable[S3])</f>
        <v>43</v>
      </c>
      <c r="X1177" s="164">
        <f>IF(BetTable[Odds]="","",(BetTable[WBA1-Commission])-BetTable[TS])</f>
        <v>39.56</v>
      </c>
      <c r="Y1177" s="168">
        <f>IF(BetTable[Outcome]="","",BetTable[WBA1]+BetTable[WBA2]+BetTable[WBA3]-BetTable[TS])</f>
        <v>0</v>
      </c>
      <c r="Z1177" s="164">
        <f>(((BetTable[Odds]-1)*BetTable[Stake])*(1-(BetTable[Comm %]))+BetTable[Stake])</f>
        <v>82.56</v>
      </c>
      <c r="AA1177" s="164">
        <f>(((BetTable[O2]-1)*BetTable[S2])*(1-(BetTable[C% 2]))+BetTable[S2])</f>
        <v>0</v>
      </c>
      <c r="AB1177" s="164">
        <f>(((BetTable[O3]-1)*BetTable[S3])*(1-(BetTable[C% 3]))+BetTable[S3])</f>
        <v>0</v>
      </c>
      <c r="AC1177" s="165">
        <f>IFERROR(IF(BetTable[Sport]="","",BetTable[R1]/BetTable[TS]),"")</f>
        <v>0.92</v>
      </c>
      <c r="AD1177" s="165" t="str">
        <f>IF(BetTable[O2]="","",#REF!/BetTable[TS])</f>
        <v/>
      </c>
      <c r="AE1177" s="165" t="str">
        <f>IFERROR(IF(BetTable[Sport]="","",#REF!/BetTable[TS]),"")</f>
        <v/>
      </c>
      <c r="AF1177" s="164">
        <f>IF(BetTable[Outcome]="Win",BetTable[WBA1-Commission],IF(BetTable[Outcome]="Win Half Stake",(BetTable[Stake]/2)+BetTable[WBA1-Commission]/2,IF(BetTable[Outcome]="Lose Half Stake",BetTable[Stake]/2,IF(BetTable[Outcome]="Lose",0,IF(BetTable[Outcome]="Void",BetTable[Stake],)))))</f>
        <v>43</v>
      </c>
      <c r="AG1177" s="164">
        <f>IF(BetTable[Outcome2]="Win",BetTable[WBA2-Commission],IF(BetTable[Outcome2]="Win Half Stake",(BetTable[S2]/2)+BetTable[WBA2-Commission]/2,IF(BetTable[Outcome2]="Lose Half Stake",BetTable[S2]/2,IF(BetTable[Outcome2]="Lose",0,IF(BetTable[Outcome2]="Void",BetTable[S2],)))))</f>
        <v>0</v>
      </c>
      <c r="AH1177" s="164">
        <f>IF(BetTable[Outcome3]="Win",BetTable[WBA3-Commission],IF(BetTable[Outcome3]="Win Half Stake",(BetTable[S3]/2)+BetTable[WBA3-Commission]/2,IF(BetTable[Outcome3]="Lose Half Stake",BetTable[S3]/2,IF(BetTable[Outcome3]="Lose",0,IF(BetTable[Outcome3]="Void",BetTable[S3],)))))</f>
        <v>0</v>
      </c>
      <c r="AI1177" s="168">
        <f>IF(BetTable[Outcome]="",AI1176,BetTable[Result]+AI1176)</f>
        <v>2468.2327499999992</v>
      </c>
      <c r="AJ1177" s="160"/>
    </row>
    <row r="1178" spans="1:36" x14ac:dyDescent="0.2">
      <c r="A1178" s="159" t="s">
        <v>2791</v>
      </c>
      <c r="B1178" s="160" t="s">
        <v>7</v>
      </c>
      <c r="C1178" s="161" t="s">
        <v>1714</v>
      </c>
      <c r="D1178" s="161"/>
      <c r="E1178" s="161"/>
      <c r="F1178" s="162"/>
      <c r="G1178" s="162"/>
      <c r="H1178" s="162"/>
      <c r="I1178" s="160" t="s">
        <v>2903</v>
      </c>
      <c r="J1178" s="163">
        <v>1.84</v>
      </c>
      <c r="K1178" s="163"/>
      <c r="L1178" s="163"/>
      <c r="M1178" s="164">
        <v>47</v>
      </c>
      <c r="N1178" s="164"/>
      <c r="O1178" s="164"/>
      <c r="P1178" s="159" t="s">
        <v>1542</v>
      </c>
      <c r="Q1178" s="159" t="s">
        <v>540</v>
      </c>
      <c r="R1178" s="159" t="s">
        <v>2904</v>
      </c>
      <c r="S1178" s="165">
        <v>2.22637728135247E-2</v>
      </c>
      <c r="T1178" s="166" t="s">
        <v>372</v>
      </c>
      <c r="U1178" s="166"/>
      <c r="V1178" s="166"/>
      <c r="W1178" s="167">
        <f>IF(BetTable[Sport]="","",BetTable[Stake]+BetTable[S2]+BetTable[S3])</f>
        <v>47</v>
      </c>
      <c r="X1178" s="164">
        <f>IF(BetTable[Odds]="","",(BetTable[WBA1-Commission])-BetTable[TS])</f>
        <v>39.480000000000004</v>
      </c>
      <c r="Y1178" s="168">
        <f>IF(BetTable[Outcome]="","",BetTable[WBA1]+BetTable[WBA2]+BetTable[WBA3]-BetTable[TS])</f>
        <v>39.480000000000004</v>
      </c>
      <c r="Z1178" s="164">
        <f>(((BetTable[Odds]-1)*BetTable[Stake])*(1-(BetTable[Comm %]))+BetTable[Stake])</f>
        <v>86.48</v>
      </c>
      <c r="AA1178" s="164">
        <f>(((BetTable[O2]-1)*BetTable[S2])*(1-(BetTable[C% 2]))+BetTable[S2])</f>
        <v>0</v>
      </c>
      <c r="AB1178" s="164">
        <f>(((BetTable[O3]-1)*BetTable[S3])*(1-(BetTable[C% 3]))+BetTable[S3])</f>
        <v>0</v>
      </c>
      <c r="AC1178" s="165">
        <f>IFERROR(IF(BetTable[Sport]="","",BetTable[R1]/BetTable[TS]),"")</f>
        <v>0.84000000000000008</v>
      </c>
      <c r="AD1178" s="165" t="str">
        <f>IF(BetTable[O2]="","",#REF!/BetTable[TS])</f>
        <v/>
      </c>
      <c r="AE1178" s="165" t="str">
        <f>IFERROR(IF(BetTable[Sport]="","",#REF!/BetTable[TS]),"")</f>
        <v/>
      </c>
      <c r="AF1178" s="164">
        <f>IF(BetTable[Outcome]="Win",BetTable[WBA1-Commission],IF(BetTable[Outcome]="Win Half Stake",(BetTable[Stake]/2)+BetTable[WBA1-Commission]/2,IF(BetTable[Outcome]="Lose Half Stake",BetTable[Stake]/2,IF(BetTable[Outcome]="Lose",0,IF(BetTable[Outcome]="Void",BetTable[Stake],)))))</f>
        <v>86.48</v>
      </c>
      <c r="AG1178" s="164">
        <f>IF(BetTable[Outcome2]="Win",BetTable[WBA2-Commission],IF(BetTable[Outcome2]="Win Half Stake",(BetTable[S2]/2)+BetTable[WBA2-Commission]/2,IF(BetTable[Outcome2]="Lose Half Stake",BetTable[S2]/2,IF(BetTable[Outcome2]="Lose",0,IF(BetTable[Outcome2]="Void",BetTable[S2],)))))</f>
        <v>0</v>
      </c>
      <c r="AH1178" s="164">
        <f>IF(BetTable[Outcome3]="Win",BetTable[WBA3-Commission],IF(BetTable[Outcome3]="Win Half Stake",(BetTable[S3]/2)+BetTable[WBA3-Commission]/2,IF(BetTable[Outcome3]="Lose Half Stake",BetTable[S3]/2,IF(BetTable[Outcome3]="Lose",0,IF(BetTable[Outcome3]="Void",BetTable[S3],)))))</f>
        <v>0</v>
      </c>
      <c r="AI1178" s="168">
        <f>IF(BetTable[Outcome]="",AI1177,BetTable[Result]+AI1177)</f>
        <v>2507.7127499999992</v>
      </c>
      <c r="AJ1178" s="160"/>
    </row>
    <row r="1179" spans="1:36" x14ac:dyDescent="0.2">
      <c r="A1179" s="159" t="s">
        <v>2791</v>
      </c>
      <c r="B1179" s="160" t="s">
        <v>7</v>
      </c>
      <c r="C1179" s="161" t="s">
        <v>1714</v>
      </c>
      <c r="D1179" s="161"/>
      <c r="E1179" s="161"/>
      <c r="F1179" s="162"/>
      <c r="G1179" s="162"/>
      <c r="H1179" s="162"/>
      <c r="I1179" s="160" t="s">
        <v>2905</v>
      </c>
      <c r="J1179" s="163">
        <v>1.82</v>
      </c>
      <c r="K1179" s="163"/>
      <c r="L1179" s="163"/>
      <c r="M1179" s="164">
        <v>40</v>
      </c>
      <c r="N1179" s="164"/>
      <c r="O1179" s="164"/>
      <c r="P1179" s="159" t="s">
        <v>2906</v>
      </c>
      <c r="Q1179" s="159" t="s">
        <v>482</v>
      </c>
      <c r="R1179" s="159" t="s">
        <v>2907</v>
      </c>
      <c r="S1179" s="165">
        <v>1.8291510673382201E-2</v>
      </c>
      <c r="T1179" s="166" t="s">
        <v>372</v>
      </c>
      <c r="U1179" s="166"/>
      <c r="V1179" s="166"/>
      <c r="W1179" s="167">
        <f>IF(BetTable[Sport]="","",BetTable[Stake]+BetTable[S2]+BetTable[S3])</f>
        <v>40</v>
      </c>
      <c r="X1179" s="164">
        <f>IF(BetTable[Odds]="","",(BetTable[WBA1-Commission])-BetTable[TS])</f>
        <v>32.800000000000011</v>
      </c>
      <c r="Y1179" s="168">
        <f>IF(BetTable[Outcome]="","",BetTable[WBA1]+BetTable[WBA2]+BetTable[WBA3]-BetTable[TS])</f>
        <v>32.800000000000011</v>
      </c>
      <c r="Z1179" s="164">
        <f>(((BetTable[Odds]-1)*BetTable[Stake])*(1-(BetTable[Comm %]))+BetTable[Stake])</f>
        <v>72.800000000000011</v>
      </c>
      <c r="AA1179" s="164">
        <f>(((BetTable[O2]-1)*BetTable[S2])*(1-(BetTable[C% 2]))+BetTable[S2])</f>
        <v>0</v>
      </c>
      <c r="AB1179" s="164">
        <f>(((BetTable[O3]-1)*BetTable[S3])*(1-(BetTable[C% 3]))+BetTable[S3])</f>
        <v>0</v>
      </c>
      <c r="AC1179" s="165">
        <f>IFERROR(IF(BetTable[Sport]="","",BetTable[R1]/BetTable[TS]),"")</f>
        <v>0.82000000000000028</v>
      </c>
      <c r="AD1179" s="165" t="str">
        <f>IF(BetTable[O2]="","",#REF!/BetTable[TS])</f>
        <v/>
      </c>
      <c r="AE1179" s="165" t="str">
        <f>IFERROR(IF(BetTable[Sport]="","",#REF!/BetTable[TS]),"")</f>
        <v/>
      </c>
      <c r="AF1179" s="164">
        <f>IF(BetTable[Outcome]="Win",BetTable[WBA1-Commission],IF(BetTable[Outcome]="Win Half Stake",(BetTable[Stake]/2)+BetTable[WBA1-Commission]/2,IF(BetTable[Outcome]="Lose Half Stake",BetTable[Stake]/2,IF(BetTable[Outcome]="Lose",0,IF(BetTable[Outcome]="Void",BetTable[Stake],)))))</f>
        <v>72.800000000000011</v>
      </c>
      <c r="AG1179" s="164">
        <f>IF(BetTable[Outcome2]="Win",BetTable[WBA2-Commission],IF(BetTable[Outcome2]="Win Half Stake",(BetTable[S2]/2)+BetTable[WBA2-Commission]/2,IF(BetTable[Outcome2]="Lose Half Stake",BetTable[S2]/2,IF(BetTable[Outcome2]="Lose",0,IF(BetTable[Outcome2]="Void",BetTable[S2],)))))</f>
        <v>0</v>
      </c>
      <c r="AH1179" s="164">
        <f>IF(BetTable[Outcome3]="Win",BetTable[WBA3-Commission],IF(BetTable[Outcome3]="Win Half Stake",(BetTable[S3]/2)+BetTable[WBA3-Commission]/2,IF(BetTable[Outcome3]="Lose Half Stake",BetTable[S3]/2,IF(BetTable[Outcome3]="Lose",0,IF(BetTable[Outcome3]="Void",BetTable[S3],)))))</f>
        <v>0</v>
      </c>
      <c r="AI1179" s="168">
        <f>IF(BetTable[Outcome]="",AI1178,BetTable[Result]+AI1178)</f>
        <v>2540.5127499999994</v>
      </c>
      <c r="AJ1179" s="160"/>
    </row>
    <row r="1180" spans="1:36" x14ac:dyDescent="0.2">
      <c r="A1180" s="159" t="s">
        <v>2791</v>
      </c>
      <c r="B1180" s="160" t="s">
        <v>7</v>
      </c>
      <c r="C1180" s="161" t="s">
        <v>1714</v>
      </c>
      <c r="D1180" s="161"/>
      <c r="E1180" s="161"/>
      <c r="F1180" s="162"/>
      <c r="G1180" s="162"/>
      <c r="H1180" s="162"/>
      <c r="I1180" s="160" t="s">
        <v>2908</v>
      </c>
      <c r="J1180" s="163">
        <v>2.0099999999999998</v>
      </c>
      <c r="K1180" s="163"/>
      <c r="L1180" s="163"/>
      <c r="M1180" s="164">
        <v>34</v>
      </c>
      <c r="N1180" s="164"/>
      <c r="O1180" s="164"/>
      <c r="P1180" s="159" t="s">
        <v>1725</v>
      </c>
      <c r="Q1180" s="159" t="s">
        <v>503</v>
      </c>
      <c r="R1180" s="159" t="s">
        <v>2909</v>
      </c>
      <c r="S1180" s="165">
        <v>1.9211993963123199E-2</v>
      </c>
      <c r="T1180" s="166" t="s">
        <v>382</v>
      </c>
      <c r="U1180" s="166"/>
      <c r="V1180" s="166"/>
      <c r="W1180" s="167">
        <f>IF(BetTable[Sport]="","",BetTable[Stake]+BetTable[S2]+BetTable[S3])</f>
        <v>34</v>
      </c>
      <c r="X1180" s="164">
        <f>IF(BetTable[Odds]="","",(BetTable[WBA1-Commission])-BetTable[TS])</f>
        <v>34.339999999999989</v>
      </c>
      <c r="Y1180" s="168">
        <f>IF(BetTable[Outcome]="","",BetTable[WBA1]+BetTable[WBA2]+BetTable[WBA3]-BetTable[TS])</f>
        <v>-34</v>
      </c>
      <c r="Z1180" s="164">
        <f>(((BetTable[Odds]-1)*BetTable[Stake])*(1-(BetTable[Comm %]))+BetTable[Stake])</f>
        <v>68.339999999999989</v>
      </c>
      <c r="AA1180" s="164">
        <f>(((BetTable[O2]-1)*BetTable[S2])*(1-(BetTable[C% 2]))+BetTable[S2])</f>
        <v>0</v>
      </c>
      <c r="AB1180" s="164">
        <f>(((BetTable[O3]-1)*BetTable[S3])*(1-(BetTable[C% 3]))+BetTable[S3])</f>
        <v>0</v>
      </c>
      <c r="AC1180" s="165">
        <f>IFERROR(IF(BetTable[Sport]="","",BetTable[R1]/BetTable[TS]),"")</f>
        <v>1.0099999999999998</v>
      </c>
      <c r="AD1180" s="165" t="str">
        <f>IF(BetTable[O2]="","",#REF!/BetTable[TS])</f>
        <v/>
      </c>
      <c r="AE1180" s="165" t="str">
        <f>IFERROR(IF(BetTable[Sport]="","",#REF!/BetTable[TS]),"")</f>
        <v/>
      </c>
      <c r="AF1180" s="164">
        <f>IF(BetTable[Outcome]="Win",BetTable[WBA1-Commission],IF(BetTable[Outcome]="Win Half Stake",(BetTable[Stake]/2)+BetTable[WBA1-Commission]/2,IF(BetTable[Outcome]="Lose Half Stake",BetTable[Stake]/2,IF(BetTable[Outcome]="Lose",0,IF(BetTable[Outcome]="Void",BetTable[Stake],)))))</f>
        <v>0</v>
      </c>
      <c r="AG1180" s="164">
        <f>IF(BetTable[Outcome2]="Win",BetTable[WBA2-Commission],IF(BetTable[Outcome2]="Win Half Stake",(BetTable[S2]/2)+BetTable[WBA2-Commission]/2,IF(BetTable[Outcome2]="Lose Half Stake",BetTable[S2]/2,IF(BetTable[Outcome2]="Lose",0,IF(BetTable[Outcome2]="Void",BetTable[S2],)))))</f>
        <v>0</v>
      </c>
      <c r="AH1180" s="164">
        <f>IF(BetTable[Outcome3]="Win",BetTable[WBA3-Commission],IF(BetTable[Outcome3]="Win Half Stake",(BetTable[S3]/2)+BetTable[WBA3-Commission]/2,IF(BetTable[Outcome3]="Lose Half Stake",BetTable[S3]/2,IF(BetTable[Outcome3]="Lose",0,IF(BetTable[Outcome3]="Void",BetTable[S3],)))))</f>
        <v>0</v>
      </c>
      <c r="AI1180" s="168">
        <f>IF(BetTable[Outcome]="",AI1179,BetTable[Result]+AI1179)</f>
        <v>2506.5127499999994</v>
      </c>
      <c r="AJ1180" s="160"/>
    </row>
    <row r="1181" spans="1:36" x14ac:dyDescent="0.2">
      <c r="A1181" s="159" t="s">
        <v>2791</v>
      </c>
      <c r="B1181" s="160" t="s">
        <v>7</v>
      </c>
      <c r="C1181" s="161" t="s">
        <v>1714</v>
      </c>
      <c r="D1181" s="161"/>
      <c r="E1181" s="161"/>
      <c r="F1181" s="162"/>
      <c r="G1181" s="162"/>
      <c r="H1181" s="162"/>
      <c r="I1181" s="160" t="s">
        <v>2910</v>
      </c>
      <c r="J1181" s="163">
        <v>1.84</v>
      </c>
      <c r="K1181" s="163"/>
      <c r="L1181" s="163"/>
      <c r="M1181" s="164">
        <v>39</v>
      </c>
      <c r="N1181" s="164"/>
      <c r="O1181" s="164"/>
      <c r="P1181" s="159" t="s">
        <v>1041</v>
      </c>
      <c r="Q1181" s="159" t="s">
        <v>506</v>
      </c>
      <c r="R1181" s="159" t="s">
        <v>2911</v>
      </c>
      <c r="S1181" s="165">
        <v>3.2331290816213699E-2</v>
      </c>
      <c r="T1181" s="166" t="s">
        <v>372</v>
      </c>
      <c r="U1181" s="166"/>
      <c r="V1181" s="166"/>
      <c r="W1181" s="167">
        <f>IF(BetTable[Sport]="","",BetTable[Stake]+BetTable[S2]+BetTable[S3])</f>
        <v>39</v>
      </c>
      <c r="X1181" s="164">
        <f>IF(BetTable[Odds]="","",(BetTable[WBA1-Commission])-BetTable[TS])</f>
        <v>32.760000000000005</v>
      </c>
      <c r="Y1181" s="168">
        <f>IF(BetTable[Outcome]="","",BetTable[WBA1]+BetTable[WBA2]+BetTable[WBA3]-BetTable[TS])</f>
        <v>32.760000000000005</v>
      </c>
      <c r="Z1181" s="164">
        <f>(((BetTable[Odds]-1)*BetTable[Stake])*(1-(BetTable[Comm %]))+BetTable[Stake])</f>
        <v>71.760000000000005</v>
      </c>
      <c r="AA1181" s="164">
        <f>(((BetTable[O2]-1)*BetTable[S2])*(1-(BetTable[C% 2]))+BetTable[S2])</f>
        <v>0</v>
      </c>
      <c r="AB1181" s="164">
        <f>(((BetTable[O3]-1)*BetTable[S3])*(1-(BetTable[C% 3]))+BetTable[S3])</f>
        <v>0</v>
      </c>
      <c r="AC1181" s="165">
        <f>IFERROR(IF(BetTable[Sport]="","",BetTable[R1]/BetTable[TS]),"")</f>
        <v>0.84000000000000008</v>
      </c>
      <c r="AD1181" s="165" t="str">
        <f>IF(BetTable[O2]="","",#REF!/BetTable[TS])</f>
        <v/>
      </c>
      <c r="AE1181" s="165" t="str">
        <f>IFERROR(IF(BetTable[Sport]="","",#REF!/BetTable[TS]),"")</f>
        <v/>
      </c>
      <c r="AF1181" s="164">
        <f>IF(BetTable[Outcome]="Win",BetTable[WBA1-Commission],IF(BetTable[Outcome]="Win Half Stake",(BetTable[Stake]/2)+BetTable[WBA1-Commission]/2,IF(BetTable[Outcome]="Lose Half Stake",BetTable[Stake]/2,IF(BetTable[Outcome]="Lose",0,IF(BetTable[Outcome]="Void",BetTable[Stake],)))))</f>
        <v>71.760000000000005</v>
      </c>
      <c r="AG1181" s="164">
        <f>IF(BetTable[Outcome2]="Win",BetTable[WBA2-Commission],IF(BetTable[Outcome2]="Win Half Stake",(BetTable[S2]/2)+BetTable[WBA2-Commission]/2,IF(BetTable[Outcome2]="Lose Half Stake",BetTable[S2]/2,IF(BetTable[Outcome2]="Lose",0,IF(BetTable[Outcome2]="Void",BetTable[S2],)))))</f>
        <v>0</v>
      </c>
      <c r="AH1181" s="164">
        <f>IF(BetTable[Outcome3]="Win",BetTable[WBA3-Commission],IF(BetTable[Outcome3]="Win Half Stake",(BetTable[S3]/2)+BetTable[WBA3-Commission]/2,IF(BetTable[Outcome3]="Lose Half Stake",BetTable[S3]/2,IF(BetTable[Outcome3]="Lose",0,IF(BetTable[Outcome3]="Void",BetTable[S3],)))))</f>
        <v>0</v>
      </c>
      <c r="AI1181" s="168">
        <f>IF(BetTable[Outcome]="",AI1180,BetTable[Result]+AI1180)</f>
        <v>2539.2727499999996</v>
      </c>
      <c r="AJ1181" s="160"/>
    </row>
    <row r="1182" spans="1:36" x14ac:dyDescent="0.2">
      <c r="A1182" s="159" t="s">
        <v>2791</v>
      </c>
      <c r="B1182" s="160" t="s">
        <v>7</v>
      </c>
      <c r="C1182" s="161" t="s">
        <v>1714</v>
      </c>
      <c r="D1182" s="161"/>
      <c r="E1182" s="161"/>
      <c r="F1182" s="162"/>
      <c r="G1182" s="162"/>
      <c r="H1182" s="162"/>
      <c r="I1182" s="160" t="s">
        <v>2854</v>
      </c>
      <c r="J1182" s="163">
        <v>1.9</v>
      </c>
      <c r="K1182" s="163"/>
      <c r="L1182" s="163"/>
      <c r="M1182" s="164">
        <v>39</v>
      </c>
      <c r="N1182" s="164"/>
      <c r="O1182" s="164"/>
      <c r="P1182" s="159" t="s">
        <v>2264</v>
      </c>
      <c r="Q1182" s="159" t="s">
        <v>1205</v>
      </c>
      <c r="R1182" s="159" t="s">
        <v>2912</v>
      </c>
      <c r="S1182" s="165">
        <v>3.5153320999983598E-2</v>
      </c>
      <c r="T1182" s="166" t="s">
        <v>382</v>
      </c>
      <c r="U1182" s="166"/>
      <c r="V1182" s="166"/>
      <c r="W1182" s="167">
        <f>IF(BetTable[Sport]="","",BetTable[Stake]+BetTable[S2]+BetTable[S3])</f>
        <v>39</v>
      </c>
      <c r="X1182" s="164">
        <f>IF(BetTable[Odds]="","",(BetTable[WBA1-Commission])-BetTable[TS])</f>
        <v>35.099999999999994</v>
      </c>
      <c r="Y1182" s="168">
        <f>IF(BetTable[Outcome]="","",BetTable[WBA1]+BetTable[WBA2]+BetTable[WBA3]-BetTable[TS])</f>
        <v>-39</v>
      </c>
      <c r="Z1182" s="164">
        <f>(((BetTable[Odds]-1)*BetTable[Stake])*(1-(BetTable[Comm %]))+BetTable[Stake])</f>
        <v>74.099999999999994</v>
      </c>
      <c r="AA1182" s="164">
        <f>(((BetTable[O2]-1)*BetTable[S2])*(1-(BetTable[C% 2]))+BetTable[S2])</f>
        <v>0</v>
      </c>
      <c r="AB1182" s="164">
        <f>(((BetTable[O3]-1)*BetTable[S3])*(1-(BetTable[C% 3]))+BetTable[S3])</f>
        <v>0</v>
      </c>
      <c r="AC1182" s="165">
        <f>IFERROR(IF(BetTable[Sport]="","",BetTable[R1]/BetTable[TS]),"")</f>
        <v>0.8999999999999998</v>
      </c>
      <c r="AD1182" s="165" t="str">
        <f>IF(BetTable[O2]="","",#REF!/BetTable[TS])</f>
        <v/>
      </c>
      <c r="AE1182" s="165" t="str">
        <f>IFERROR(IF(BetTable[Sport]="","",#REF!/BetTable[TS]),"")</f>
        <v/>
      </c>
      <c r="AF1182" s="164">
        <f>IF(BetTable[Outcome]="Win",BetTable[WBA1-Commission],IF(BetTable[Outcome]="Win Half Stake",(BetTable[Stake]/2)+BetTable[WBA1-Commission]/2,IF(BetTable[Outcome]="Lose Half Stake",BetTable[Stake]/2,IF(BetTable[Outcome]="Lose",0,IF(BetTable[Outcome]="Void",BetTable[Stake],)))))</f>
        <v>0</v>
      </c>
      <c r="AG1182" s="164">
        <f>IF(BetTable[Outcome2]="Win",BetTable[WBA2-Commission],IF(BetTable[Outcome2]="Win Half Stake",(BetTable[S2]/2)+BetTable[WBA2-Commission]/2,IF(BetTable[Outcome2]="Lose Half Stake",BetTable[S2]/2,IF(BetTable[Outcome2]="Lose",0,IF(BetTable[Outcome2]="Void",BetTable[S2],)))))</f>
        <v>0</v>
      </c>
      <c r="AH1182" s="164">
        <f>IF(BetTable[Outcome3]="Win",BetTable[WBA3-Commission],IF(BetTable[Outcome3]="Win Half Stake",(BetTable[S3]/2)+BetTable[WBA3-Commission]/2,IF(BetTable[Outcome3]="Lose Half Stake",BetTable[S3]/2,IF(BetTable[Outcome3]="Lose",0,IF(BetTable[Outcome3]="Void",BetTable[S3],)))))</f>
        <v>0</v>
      </c>
      <c r="AI1182" s="168">
        <f>IF(BetTable[Outcome]="",AI1181,BetTable[Result]+AI1181)</f>
        <v>2500.2727499999996</v>
      </c>
      <c r="AJ1182" s="160"/>
    </row>
    <row r="1183" spans="1:36" x14ac:dyDescent="0.2">
      <c r="A1183" s="159" t="s">
        <v>2791</v>
      </c>
      <c r="B1183" s="160" t="s">
        <v>200</v>
      </c>
      <c r="C1183" s="161" t="s">
        <v>1714</v>
      </c>
      <c r="D1183" s="161"/>
      <c r="E1183" s="161"/>
      <c r="F1183" s="162"/>
      <c r="G1183" s="162"/>
      <c r="H1183" s="162"/>
      <c r="I1183" s="160" t="s">
        <v>2913</v>
      </c>
      <c r="J1183" s="163">
        <v>4.3</v>
      </c>
      <c r="K1183" s="163"/>
      <c r="L1183" s="163"/>
      <c r="M1183" s="164">
        <v>31</v>
      </c>
      <c r="N1183" s="164"/>
      <c r="O1183" s="164"/>
      <c r="P1183" s="159" t="s">
        <v>494</v>
      </c>
      <c r="Q1183" s="159" t="s">
        <v>547</v>
      </c>
      <c r="R1183" s="159" t="s">
        <v>2914</v>
      </c>
      <c r="S1183" s="165">
        <v>5.7108225209026503E-2</v>
      </c>
      <c r="T1183" s="166" t="s">
        <v>382</v>
      </c>
      <c r="U1183" s="166"/>
      <c r="V1183" s="166"/>
      <c r="W1183" s="167">
        <f>IF(BetTable[Sport]="","",BetTable[Stake]+BetTable[S2]+BetTable[S3])</f>
        <v>31</v>
      </c>
      <c r="X1183" s="164">
        <f>IF(BetTable[Odds]="","",(BetTable[WBA1-Commission])-BetTable[TS])</f>
        <v>102.30000000000001</v>
      </c>
      <c r="Y1183" s="168">
        <f>IF(BetTable[Outcome]="","",BetTable[WBA1]+BetTable[WBA2]+BetTable[WBA3]-BetTable[TS])</f>
        <v>-31</v>
      </c>
      <c r="Z1183" s="164">
        <f>(((BetTable[Odds]-1)*BetTable[Stake])*(1-(BetTable[Comm %]))+BetTable[Stake])</f>
        <v>133.30000000000001</v>
      </c>
      <c r="AA1183" s="164">
        <f>(((BetTable[O2]-1)*BetTable[S2])*(1-(BetTable[C% 2]))+BetTable[S2])</f>
        <v>0</v>
      </c>
      <c r="AB1183" s="164">
        <f>(((BetTable[O3]-1)*BetTable[S3])*(1-(BetTable[C% 3]))+BetTable[S3])</f>
        <v>0</v>
      </c>
      <c r="AC1183" s="165">
        <f>IFERROR(IF(BetTable[Sport]="","",BetTable[R1]/BetTable[TS]),"")</f>
        <v>3.3000000000000003</v>
      </c>
      <c r="AD1183" s="165" t="str">
        <f>IF(BetTable[O2]="","",#REF!/BetTable[TS])</f>
        <v/>
      </c>
      <c r="AE1183" s="165" t="str">
        <f>IFERROR(IF(BetTable[Sport]="","",#REF!/BetTable[TS]),"")</f>
        <v/>
      </c>
      <c r="AF1183" s="164">
        <f>IF(BetTable[Outcome]="Win",BetTable[WBA1-Commission],IF(BetTable[Outcome]="Win Half Stake",(BetTable[Stake]/2)+BetTable[WBA1-Commission]/2,IF(BetTable[Outcome]="Lose Half Stake",BetTable[Stake]/2,IF(BetTable[Outcome]="Lose",0,IF(BetTable[Outcome]="Void",BetTable[Stake],)))))</f>
        <v>0</v>
      </c>
      <c r="AG1183" s="164">
        <f>IF(BetTable[Outcome2]="Win",BetTable[WBA2-Commission],IF(BetTable[Outcome2]="Win Half Stake",(BetTable[S2]/2)+BetTable[WBA2-Commission]/2,IF(BetTable[Outcome2]="Lose Half Stake",BetTable[S2]/2,IF(BetTable[Outcome2]="Lose",0,IF(BetTable[Outcome2]="Void",BetTable[S2],)))))</f>
        <v>0</v>
      </c>
      <c r="AH1183" s="164">
        <f>IF(BetTable[Outcome3]="Win",BetTable[WBA3-Commission],IF(BetTable[Outcome3]="Win Half Stake",(BetTable[S3]/2)+BetTable[WBA3-Commission]/2,IF(BetTable[Outcome3]="Lose Half Stake",BetTable[S3]/2,IF(BetTable[Outcome3]="Lose",0,IF(BetTable[Outcome3]="Void",BetTable[S3],)))))</f>
        <v>0</v>
      </c>
      <c r="AI1183" s="168">
        <f>IF(BetTable[Outcome]="",AI1182,BetTable[Result]+AI1182)</f>
        <v>2469.2727499999996</v>
      </c>
      <c r="AJ1183" s="160"/>
    </row>
    <row r="1184" spans="1:36" x14ac:dyDescent="0.2">
      <c r="A1184" s="159" t="s">
        <v>2791</v>
      </c>
      <c r="B1184" s="160" t="s">
        <v>200</v>
      </c>
      <c r="C1184" s="161" t="s">
        <v>1714</v>
      </c>
      <c r="D1184" s="161"/>
      <c r="E1184" s="161"/>
      <c r="F1184" s="162"/>
      <c r="G1184" s="162"/>
      <c r="H1184" s="162"/>
      <c r="I1184" s="160" t="s">
        <v>2915</v>
      </c>
      <c r="J1184" s="163">
        <v>1.7</v>
      </c>
      <c r="K1184" s="163"/>
      <c r="L1184" s="163"/>
      <c r="M1184" s="164">
        <v>42</v>
      </c>
      <c r="N1184" s="164"/>
      <c r="O1184" s="164"/>
      <c r="P1184" s="159" t="s">
        <v>351</v>
      </c>
      <c r="Q1184" s="159" t="s">
        <v>547</v>
      </c>
      <c r="R1184" s="159" t="s">
        <v>2916</v>
      </c>
      <c r="S1184" s="165">
        <v>1.6635590594192E-2</v>
      </c>
      <c r="T1184" s="166" t="s">
        <v>549</v>
      </c>
      <c r="U1184" s="166"/>
      <c r="V1184" s="166"/>
      <c r="W1184" s="167">
        <f>IF(BetTable[Sport]="","",BetTable[Stake]+BetTable[S2]+BetTable[S3])</f>
        <v>42</v>
      </c>
      <c r="X1184" s="164">
        <f>IF(BetTable[Odds]="","",(BetTable[WBA1-Commission])-BetTable[TS])</f>
        <v>29.400000000000006</v>
      </c>
      <c r="Y1184" s="168">
        <f>IF(BetTable[Outcome]="","",BetTable[WBA1]+BetTable[WBA2]+BetTable[WBA3]-BetTable[TS])</f>
        <v>-21</v>
      </c>
      <c r="Z1184" s="164">
        <f>(((BetTable[Odds]-1)*BetTable[Stake])*(1-(BetTable[Comm %]))+BetTable[Stake])</f>
        <v>71.400000000000006</v>
      </c>
      <c r="AA1184" s="164">
        <f>(((BetTable[O2]-1)*BetTable[S2])*(1-(BetTable[C% 2]))+BetTable[S2])</f>
        <v>0</v>
      </c>
      <c r="AB1184" s="164">
        <f>(((BetTable[O3]-1)*BetTable[S3])*(1-(BetTable[C% 3]))+BetTable[S3])</f>
        <v>0</v>
      </c>
      <c r="AC1184" s="165">
        <f>IFERROR(IF(BetTable[Sport]="","",BetTable[R1]/BetTable[TS]),"")</f>
        <v>0.70000000000000018</v>
      </c>
      <c r="AD1184" s="165" t="str">
        <f>IF(BetTable[O2]="","",#REF!/BetTable[TS])</f>
        <v/>
      </c>
      <c r="AE1184" s="165" t="str">
        <f>IFERROR(IF(BetTable[Sport]="","",#REF!/BetTable[TS]),"")</f>
        <v/>
      </c>
      <c r="AF1184" s="164">
        <f>IF(BetTable[Outcome]="Win",BetTable[WBA1-Commission],IF(BetTable[Outcome]="Win Half Stake",(BetTable[Stake]/2)+BetTable[WBA1-Commission]/2,IF(BetTable[Outcome]="Lose Half Stake",BetTable[Stake]/2,IF(BetTable[Outcome]="Lose",0,IF(BetTable[Outcome]="Void",BetTable[Stake],)))))</f>
        <v>21</v>
      </c>
      <c r="AG1184" s="164">
        <f>IF(BetTable[Outcome2]="Win",BetTable[WBA2-Commission],IF(BetTable[Outcome2]="Win Half Stake",(BetTable[S2]/2)+BetTable[WBA2-Commission]/2,IF(BetTable[Outcome2]="Lose Half Stake",BetTable[S2]/2,IF(BetTable[Outcome2]="Lose",0,IF(BetTable[Outcome2]="Void",BetTable[S2],)))))</f>
        <v>0</v>
      </c>
      <c r="AH1184" s="164">
        <f>IF(BetTable[Outcome3]="Win",BetTable[WBA3-Commission],IF(BetTable[Outcome3]="Win Half Stake",(BetTable[S3]/2)+BetTable[WBA3-Commission]/2,IF(BetTable[Outcome3]="Lose Half Stake",BetTable[S3]/2,IF(BetTable[Outcome3]="Lose",0,IF(BetTable[Outcome3]="Void",BetTable[S3],)))))</f>
        <v>0</v>
      </c>
      <c r="AI1184" s="168">
        <f>IF(BetTable[Outcome]="",AI1183,BetTable[Result]+AI1183)</f>
        <v>2448.2727499999996</v>
      </c>
      <c r="AJ1184" s="160"/>
    </row>
    <row r="1185" spans="1:36" x14ac:dyDescent="0.2">
      <c r="A1185" s="159" t="s">
        <v>2791</v>
      </c>
      <c r="B1185" s="160" t="s">
        <v>7</v>
      </c>
      <c r="C1185" s="161" t="s">
        <v>1714</v>
      </c>
      <c r="D1185" s="161"/>
      <c r="E1185" s="161"/>
      <c r="F1185" s="162"/>
      <c r="G1185" s="162"/>
      <c r="H1185" s="162"/>
      <c r="I1185" s="160" t="s">
        <v>2917</v>
      </c>
      <c r="J1185" s="163">
        <v>1.96</v>
      </c>
      <c r="K1185" s="163"/>
      <c r="L1185" s="163"/>
      <c r="M1185" s="164">
        <v>35</v>
      </c>
      <c r="N1185" s="164"/>
      <c r="O1185" s="164"/>
      <c r="P1185" s="159" t="s">
        <v>1646</v>
      </c>
      <c r="Q1185" s="159" t="s">
        <v>581</v>
      </c>
      <c r="R1185" s="159" t="s">
        <v>2918</v>
      </c>
      <c r="S1185" s="165">
        <v>1.8733814854900999E-2</v>
      </c>
      <c r="T1185" s="166" t="s">
        <v>372</v>
      </c>
      <c r="U1185" s="166"/>
      <c r="V1185" s="166"/>
      <c r="W1185" s="167">
        <f>IF(BetTable[Sport]="","",BetTable[Stake]+BetTable[S2]+BetTable[S3])</f>
        <v>35</v>
      </c>
      <c r="X1185" s="164">
        <f>IF(BetTable[Odds]="","",(BetTable[WBA1-Commission])-BetTable[TS])</f>
        <v>33.599999999999994</v>
      </c>
      <c r="Y1185" s="168">
        <f>IF(BetTable[Outcome]="","",BetTable[WBA1]+BetTable[WBA2]+BetTable[WBA3]-BetTable[TS])</f>
        <v>33.599999999999994</v>
      </c>
      <c r="Z1185" s="164">
        <f>(((BetTable[Odds]-1)*BetTable[Stake])*(1-(BetTable[Comm %]))+BetTable[Stake])</f>
        <v>68.599999999999994</v>
      </c>
      <c r="AA1185" s="164">
        <f>(((BetTable[O2]-1)*BetTable[S2])*(1-(BetTable[C% 2]))+BetTable[S2])</f>
        <v>0</v>
      </c>
      <c r="AB1185" s="164">
        <f>(((BetTable[O3]-1)*BetTable[S3])*(1-(BetTable[C% 3]))+BetTable[S3])</f>
        <v>0</v>
      </c>
      <c r="AC1185" s="165">
        <f>IFERROR(IF(BetTable[Sport]="","",BetTable[R1]/BetTable[TS]),"")</f>
        <v>0.95999999999999985</v>
      </c>
      <c r="AD1185" s="165" t="str">
        <f>IF(BetTable[O2]="","",#REF!/BetTable[TS])</f>
        <v/>
      </c>
      <c r="AE1185" s="165" t="str">
        <f>IFERROR(IF(BetTable[Sport]="","",#REF!/BetTable[TS]),"")</f>
        <v/>
      </c>
      <c r="AF1185" s="164">
        <f>IF(BetTable[Outcome]="Win",BetTable[WBA1-Commission],IF(BetTable[Outcome]="Win Half Stake",(BetTable[Stake]/2)+BetTable[WBA1-Commission]/2,IF(BetTable[Outcome]="Lose Half Stake",BetTable[Stake]/2,IF(BetTable[Outcome]="Lose",0,IF(BetTable[Outcome]="Void",BetTable[Stake],)))))</f>
        <v>68.599999999999994</v>
      </c>
      <c r="AG1185" s="164">
        <f>IF(BetTable[Outcome2]="Win",BetTable[WBA2-Commission],IF(BetTable[Outcome2]="Win Half Stake",(BetTable[S2]/2)+BetTable[WBA2-Commission]/2,IF(BetTable[Outcome2]="Lose Half Stake",BetTable[S2]/2,IF(BetTable[Outcome2]="Lose",0,IF(BetTable[Outcome2]="Void",BetTable[S2],)))))</f>
        <v>0</v>
      </c>
      <c r="AH1185" s="164">
        <f>IF(BetTable[Outcome3]="Win",BetTable[WBA3-Commission],IF(BetTable[Outcome3]="Win Half Stake",(BetTable[S3]/2)+BetTable[WBA3-Commission]/2,IF(BetTable[Outcome3]="Lose Half Stake",BetTable[S3]/2,IF(BetTable[Outcome3]="Lose",0,IF(BetTable[Outcome3]="Void",BetTable[S3],)))))</f>
        <v>0</v>
      </c>
      <c r="AI1185" s="168">
        <f>IF(BetTable[Outcome]="",AI1184,BetTable[Result]+AI1184)</f>
        <v>2481.8727499999995</v>
      </c>
      <c r="AJ1185" s="160"/>
    </row>
    <row r="1186" spans="1:36" x14ac:dyDescent="0.2">
      <c r="A1186" s="159" t="s">
        <v>2791</v>
      </c>
      <c r="B1186" s="160" t="s">
        <v>200</v>
      </c>
      <c r="C1186" s="161" t="s">
        <v>1714</v>
      </c>
      <c r="D1186" s="161"/>
      <c r="E1186" s="161"/>
      <c r="F1186" s="162"/>
      <c r="G1186" s="162"/>
      <c r="H1186" s="162"/>
      <c r="I1186" s="160" t="s">
        <v>2919</v>
      </c>
      <c r="J1186" s="163">
        <v>2.09</v>
      </c>
      <c r="K1186" s="163"/>
      <c r="L1186" s="163"/>
      <c r="M1186" s="164">
        <v>43</v>
      </c>
      <c r="N1186" s="164"/>
      <c r="O1186" s="164"/>
      <c r="P1186" s="159" t="s">
        <v>448</v>
      </c>
      <c r="Q1186" s="159" t="s">
        <v>564</v>
      </c>
      <c r="R1186" s="159" t="s">
        <v>2920</v>
      </c>
      <c r="S1186" s="165">
        <v>2.60342750499977E-2</v>
      </c>
      <c r="T1186" s="166" t="s">
        <v>372</v>
      </c>
      <c r="U1186" s="166"/>
      <c r="V1186" s="166"/>
      <c r="W1186" s="167">
        <f>IF(BetTable[Sport]="","",BetTable[Stake]+BetTable[S2]+BetTable[S3])</f>
        <v>43</v>
      </c>
      <c r="X1186" s="164">
        <f>IF(BetTable[Odds]="","",(BetTable[WBA1-Commission])-BetTable[TS])</f>
        <v>46.86999999999999</v>
      </c>
      <c r="Y1186" s="168">
        <f>IF(BetTable[Outcome]="","",BetTable[WBA1]+BetTable[WBA2]+BetTable[WBA3]-BetTable[TS])</f>
        <v>46.86999999999999</v>
      </c>
      <c r="Z1186" s="164">
        <f>(((BetTable[Odds]-1)*BetTable[Stake])*(1-(BetTable[Comm %]))+BetTable[Stake])</f>
        <v>89.86999999999999</v>
      </c>
      <c r="AA1186" s="164">
        <f>(((BetTable[O2]-1)*BetTable[S2])*(1-(BetTable[C% 2]))+BetTable[S2])</f>
        <v>0</v>
      </c>
      <c r="AB1186" s="164">
        <f>(((BetTable[O3]-1)*BetTable[S3])*(1-(BetTable[C% 3]))+BetTable[S3])</f>
        <v>0</v>
      </c>
      <c r="AC1186" s="165">
        <f>IFERROR(IF(BetTable[Sport]="","",BetTable[R1]/BetTable[TS]),"")</f>
        <v>1.0899999999999999</v>
      </c>
      <c r="AD1186" s="165" t="str">
        <f>IF(BetTable[O2]="","",#REF!/BetTable[TS])</f>
        <v/>
      </c>
      <c r="AE1186" s="165" t="str">
        <f>IFERROR(IF(BetTable[Sport]="","",#REF!/BetTable[TS]),"")</f>
        <v/>
      </c>
      <c r="AF1186" s="164">
        <f>IF(BetTable[Outcome]="Win",BetTable[WBA1-Commission],IF(BetTable[Outcome]="Win Half Stake",(BetTable[Stake]/2)+BetTable[WBA1-Commission]/2,IF(BetTable[Outcome]="Lose Half Stake",BetTable[Stake]/2,IF(BetTable[Outcome]="Lose",0,IF(BetTable[Outcome]="Void",BetTable[Stake],)))))</f>
        <v>89.86999999999999</v>
      </c>
      <c r="AG1186" s="164">
        <f>IF(BetTable[Outcome2]="Win",BetTable[WBA2-Commission],IF(BetTable[Outcome2]="Win Half Stake",(BetTable[S2]/2)+BetTable[WBA2-Commission]/2,IF(BetTable[Outcome2]="Lose Half Stake",BetTable[S2]/2,IF(BetTable[Outcome2]="Lose",0,IF(BetTable[Outcome2]="Void",BetTable[S2],)))))</f>
        <v>0</v>
      </c>
      <c r="AH1186" s="164">
        <f>IF(BetTable[Outcome3]="Win",BetTable[WBA3-Commission],IF(BetTable[Outcome3]="Win Half Stake",(BetTable[S3]/2)+BetTable[WBA3-Commission]/2,IF(BetTable[Outcome3]="Lose Half Stake",BetTable[S3]/2,IF(BetTable[Outcome3]="Lose",0,IF(BetTable[Outcome3]="Void",BetTable[S3],)))))</f>
        <v>0</v>
      </c>
      <c r="AI1186" s="168">
        <f>IF(BetTable[Outcome]="",AI1185,BetTable[Result]+AI1185)</f>
        <v>2528.7427499999994</v>
      </c>
      <c r="AJ1186" s="160"/>
    </row>
    <row r="1187" spans="1:36" x14ac:dyDescent="0.2">
      <c r="A1187" s="159" t="s">
        <v>2791</v>
      </c>
      <c r="B1187" s="160" t="s">
        <v>7</v>
      </c>
      <c r="C1187" s="161" t="s">
        <v>1714</v>
      </c>
      <c r="D1187" s="161"/>
      <c r="E1187" s="161"/>
      <c r="F1187" s="162"/>
      <c r="G1187" s="162"/>
      <c r="H1187" s="162"/>
      <c r="I1187" s="160" t="s">
        <v>2921</v>
      </c>
      <c r="J1187" s="163">
        <v>2.17</v>
      </c>
      <c r="K1187" s="163"/>
      <c r="L1187" s="163"/>
      <c r="M1187" s="164">
        <v>46</v>
      </c>
      <c r="N1187" s="164"/>
      <c r="O1187" s="164"/>
      <c r="P1187" s="159" t="s">
        <v>1188</v>
      </c>
      <c r="Q1187" s="159" t="s">
        <v>569</v>
      </c>
      <c r="R1187" s="159" t="s">
        <v>2922</v>
      </c>
      <c r="S1187" s="165">
        <v>3.0309455018091E-2</v>
      </c>
      <c r="T1187" s="166" t="s">
        <v>382</v>
      </c>
      <c r="U1187" s="166"/>
      <c r="V1187" s="166"/>
      <c r="W1187" s="167">
        <f>IF(BetTable[Sport]="","",BetTable[Stake]+BetTable[S2]+BetTable[S3])</f>
        <v>46</v>
      </c>
      <c r="X1187" s="164">
        <f>IF(BetTable[Odds]="","",(BetTable[WBA1-Commission])-BetTable[TS])</f>
        <v>53.819999999999993</v>
      </c>
      <c r="Y1187" s="168">
        <f>IF(BetTable[Outcome]="","",BetTable[WBA1]+BetTable[WBA2]+BetTable[WBA3]-BetTable[TS])</f>
        <v>-46</v>
      </c>
      <c r="Z1187" s="164">
        <f>(((BetTable[Odds]-1)*BetTable[Stake])*(1-(BetTable[Comm %]))+BetTable[Stake])</f>
        <v>99.82</v>
      </c>
      <c r="AA1187" s="164">
        <f>(((BetTable[O2]-1)*BetTable[S2])*(1-(BetTable[C% 2]))+BetTable[S2])</f>
        <v>0</v>
      </c>
      <c r="AB1187" s="164">
        <f>(((BetTable[O3]-1)*BetTable[S3])*(1-(BetTable[C% 3]))+BetTable[S3])</f>
        <v>0</v>
      </c>
      <c r="AC1187" s="165">
        <f>IFERROR(IF(BetTable[Sport]="","",BetTable[R1]/BetTable[TS]),"")</f>
        <v>1.17</v>
      </c>
      <c r="AD1187" s="165" t="str">
        <f>IF(BetTable[O2]="","",#REF!/BetTable[TS])</f>
        <v/>
      </c>
      <c r="AE1187" s="165" t="str">
        <f>IFERROR(IF(BetTable[Sport]="","",#REF!/BetTable[TS]),"")</f>
        <v/>
      </c>
      <c r="AF1187" s="164">
        <f>IF(BetTable[Outcome]="Win",BetTable[WBA1-Commission],IF(BetTable[Outcome]="Win Half Stake",(BetTable[Stake]/2)+BetTable[WBA1-Commission]/2,IF(BetTable[Outcome]="Lose Half Stake",BetTable[Stake]/2,IF(BetTable[Outcome]="Lose",0,IF(BetTable[Outcome]="Void",BetTable[Stake],)))))</f>
        <v>0</v>
      </c>
      <c r="AG1187" s="164">
        <f>IF(BetTable[Outcome2]="Win",BetTable[WBA2-Commission],IF(BetTable[Outcome2]="Win Half Stake",(BetTable[S2]/2)+BetTable[WBA2-Commission]/2,IF(BetTable[Outcome2]="Lose Half Stake",BetTable[S2]/2,IF(BetTable[Outcome2]="Lose",0,IF(BetTable[Outcome2]="Void",BetTable[S2],)))))</f>
        <v>0</v>
      </c>
      <c r="AH1187" s="164">
        <f>IF(BetTable[Outcome3]="Win",BetTable[WBA3-Commission],IF(BetTable[Outcome3]="Win Half Stake",(BetTable[S3]/2)+BetTable[WBA3-Commission]/2,IF(BetTable[Outcome3]="Lose Half Stake",BetTable[S3]/2,IF(BetTable[Outcome3]="Lose",0,IF(BetTable[Outcome3]="Void",BetTable[S3],)))))</f>
        <v>0</v>
      </c>
      <c r="AI1187" s="168">
        <f>IF(BetTable[Outcome]="",AI1186,BetTable[Result]+AI1186)</f>
        <v>2482.7427499999994</v>
      </c>
      <c r="AJ1187" s="160"/>
    </row>
    <row r="1188" spans="1:36" x14ac:dyDescent="0.2">
      <c r="A1188" s="159" t="s">
        <v>2791</v>
      </c>
      <c r="B1188" s="160" t="s">
        <v>200</v>
      </c>
      <c r="C1188" s="161" t="s">
        <v>1714</v>
      </c>
      <c r="D1188" s="161"/>
      <c r="E1188" s="161"/>
      <c r="F1188" s="162"/>
      <c r="G1188" s="162"/>
      <c r="H1188" s="162"/>
      <c r="I1188" s="160" t="s">
        <v>2923</v>
      </c>
      <c r="J1188" s="163">
        <v>1.63</v>
      </c>
      <c r="K1188" s="163"/>
      <c r="L1188" s="163"/>
      <c r="M1188" s="164">
        <v>46</v>
      </c>
      <c r="N1188" s="164"/>
      <c r="O1188" s="164"/>
      <c r="P1188" s="159" t="s">
        <v>635</v>
      </c>
      <c r="Q1188" s="159" t="s">
        <v>432</v>
      </c>
      <c r="R1188" s="159" t="s">
        <v>2924</v>
      </c>
      <c r="S1188" s="165">
        <v>1.6168912966695901E-2</v>
      </c>
      <c r="T1188" s="166" t="s">
        <v>382</v>
      </c>
      <c r="U1188" s="166"/>
      <c r="V1188" s="166"/>
      <c r="W1188" s="167">
        <f>IF(BetTable[Sport]="","",BetTable[Stake]+BetTable[S2]+BetTable[S3])</f>
        <v>46</v>
      </c>
      <c r="X1188" s="164">
        <f>IF(BetTable[Odds]="","",(BetTable[WBA1-Commission])-BetTable[TS])</f>
        <v>28.97999999999999</v>
      </c>
      <c r="Y1188" s="168">
        <f>IF(BetTable[Outcome]="","",BetTable[WBA1]+BetTable[WBA2]+BetTable[WBA3]-BetTable[TS])</f>
        <v>-46</v>
      </c>
      <c r="Z1188" s="164">
        <f>(((BetTable[Odds]-1)*BetTable[Stake])*(1-(BetTable[Comm %]))+BetTable[Stake])</f>
        <v>74.97999999999999</v>
      </c>
      <c r="AA1188" s="164">
        <f>(((BetTable[O2]-1)*BetTable[S2])*(1-(BetTable[C% 2]))+BetTable[S2])</f>
        <v>0</v>
      </c>
      <c r="AB1188" s="164">
        <f>(((BetTable[O3]-1)*BetTable[S3])*(1-(BetTable[C% 3]))+BetTable[S3])</f>
        <v>0</v>
      </c>
      <c r="AC1188" s="165">
        <f>IFERROR(IF(BetTable[Sport]="","",BetTable[R1]/BetTable[TS]),"")</f>
        <v>0.62999999999999978</v>
      </c>
      <c r="AD1188" s="165" t="str">
        <f>IF(BetTable[O2]="","",#REF!/BetTable[TS])</f>
        <v/>
      </c>
      <c r="AE1188" s="165" t="str">
        <f>IFERROR(IF(BetTable[Sport]="","",#REF!/BetTable[TS]),"")</f>
        <v/>
      </c>
      <c r="AF1188" s="164">
        <f>IF(BetTable[Outcome]="Win",BetTable[WBA1-Commission],IF(BetTable[Outcome]="Win Half Stake",(BetTable[Stake]/2)+BetTable[WBA1-Commission]/2,IF(BetTable[Outcome]="Lose Half Stake",BetTable[Stake]/2,IF(BetTable[Outcome]="Lose",0,IF(BetTable[Outcome]="Void",BetTable[Stake],)))))</f>
        <v>0</v>
      </c>
      <c r="AG1188" s="164">
        <f>IF(BetTable[Outcome2]="Win",BetTable[WBA2-Commission],IF(BetTable[Outcome2]="Win Half Stake",(BetTable[S2]/2)+BetTable[WBA2-Commission]/2,IF(BetTable[Outcome2]="Lose Half Stake",BetTable[S2]/2,IF(BetTable[Outcome2]="Lose",0,IF(BetTable[Outcome2]="Void",BetTable[S2],)))))</f>
        <v>0</v>
      </c>
      <c r="AH1188" s="164">
        <f>IF(BetTable[Outcome3]="Win",BetTable[WBA3-Commission],IF(BetTable[Outcome3]="Win Half Stake",(BetTable[S3]/2)+BetTable[WBA3-Commission]/2,IF(BetTable[Outcome3]="Lose Half Stake",BetTable[S3]/2,IF(BetTable[Outcome3]="Lose",0,IF(BetTable[Outcome3]="Void",BetTable[S3],)))))</f>
        <v>0</v>
      </c>
      <c r="AI1188" s="168">
        <f>IF(BetTable[Outcome]="",AI1187,BetTable[Result]+AI1187)</f>
        <v>2436.7427499999994</v>
      </c>
      <c r="AJ1188" s="160"/>
    </row>
    <row r="1189" spans="1:36" x14ac:dyDescent="0.2">
      <c r="A1189" s="159" t="s">
        <v>2791</v>
      </c>
      <c r="B1189" s="160" t="s">
        <v>7</v>
      </c>
      <c r="C1189" s="161" t="s">
        <v>91</v>
      </c>
      <c r="D1189" s="161"/>
      <c r="E1189" s="161"/>
      <c r="F1189" s="162"/>
      <c r="G1189" s="162"/>
      <c r="H1189" s="162"/>
      <c r="I1189" s="160" t="s">
        <v>2925</v>
      </c>
      <c r="J1189" s="163">
        <v>1.94</v>
      </c>
      <c r="K1189" s="163"/>
      <c r="L1189" s="163"/>
      <c r="M1189" s="164">
        <v>40</v>
      </c>
      <c r="N1189" s="164"/>
      <c r="O1189" s="164"/>
      <c r="P1189" s="159" t="s">
        <v>1153</v>
      </c>
      <c r="Q1189" s="159" t="s">
        <v>470</v>
      </c>
      <c r="R1189" s="159" t="s">
        <v>2926</v>
      </c>
      <c r="S1189" s="165">
        <v>2.1259358760858198E-2</v>
      </c>
      <c r="T1189" s="166" t="s">
        <v>372</v>
      </c>
      <c r="U1189" s="166"/>
      <c r="V1189" s="166"/>
      <c r="W1189" s="167">
        <f>IF(BetTable[Sport]="","",BetTable[Stake]+BetTable[S2]+BetTable[S3])</f>
        <v>40</v>
      </c>
      <c r="X1189" s="164">
        <f>IF(BetTable[Odds]="","",(BetTable[WBA1-Commission])-BetTable[TS])</f>
        <v>37.599999999999994</v>
      </c>
      <c r="Y1189" s="168">
        <f>IF(BetTable[Outcome]="","",BetTable[WBA1]+BetTable[WBA2]+BetTable[WBA3]-BetTable[TS])</f>
        <v>37.599999999999994</v>
      </c>
      <c r="Z1189" s="164">
        <f>(((BetTable[Odds]-1)*BetTable[Stake])*(1-(BetTable[Comm %]))+BetTable[Stake])</f>
        <v>77.599999999999994</v>
      </c>
      <c r="AA1189" s="164">
        <f>(((BetTable[O2]-1)*BetTable[S2])*(1-(BetTable[C% 2]))+BetTable[S2])</f>
        <v>0</v>
      </c>
      <c r="AB1189" s="164">
        <f>(((BetTable[O3]-1)*BetTable[S3])*(1-(BetTable[C% 3]))+BetTable[S3])</f>
        <v>0</v>
      </c>
      <c r="AC1189" s="165">
        <f>IFERROR(IF(BetTable[Sport]="","",BetTable[R1]/BetTable[TS]),"")</f>
        <v>0.93999999999999984</v>
      </c>
      <c r="AD1189" s="165" t="str">
        <f>IF(BetTable[O2]="","",#REF!/BetTable[TS])</f>
        <v/>
      </c>
      <c r="AE1189" s="165" t="str">
        <f>IFERROR(IF(BetTable[Sport]="","",#REF!/BetTable[TS]),"")</f>
        <v/>
      </c>
      <c r="AF1189" s="164">
        <f>IF(BetTable[Outcome]="Win",BetTable[WBA1-Commission],IF(BetTable[Outcome]="Win Half Stake",(BetTable[Stake]/2)+BetTable[WBA1-Commission]/2,IF(BetTable[Outcome]="Lose Half Stake",BetTable[Stake]/2,IF(BetTable[Outcome]="Lose",0,IF(BetTable[Outcome]="Void",BetTable[Stake],)))))</f>
        <v>77.599999999999994</v>
      </c>
      <c r="AG1189" s="164">
        <f>IF(BetTable[Outcome2]="Win",BetTable[WBA2-Commission],IF(BetTable[Outcome2]="Win Half Stake",(BetTable[S2]/2)+BetTable[WBA2-Commission]/2,IF(BetTable[Outcome2]="Lose Half Stake",BetTable[S2]/2,IF(BetTable[Outcome2]="Lose",0,IF(BetTable[Outcome2]="Void",BetTable[S2],)))))</f>
        <v>0</v>
      </c>
      <c r="AH1189" s="164">
        <f>IF(BetTable[Outcome3]="Win",BetTable[WBA3-Commission],IF(BetTable[Outcome3]="Win Half Stake",(BetTable[S3]/2)+BetTable[WBA3-Commission]/2,IF(BetTable[Outcome3]="Lose Half Stake",BetTable[S3]/2,IF(BetTable[Outcome3]="Lose",0,IF(BetTable[Outcome3]="Void",BetTable[S3],)))))</f>
        <v>0</v>
      </c>
      <c r="AI1189" s="168">
        <f>IF(BetTable[Outcome]="",AI1188,BetTable[Result]+AI1188)</f>
        <v>2474.3427499999993</v>
      </c>
      <c r="AJ1189" s="160"/>
    </row>
    <row r="1190" spans="1:36" x14ac:dyDescent="0.2">
      <c r="A1190" s="159" t="s">
        <v>2791</v>
      </c>
      <c r="B1190" s="160" t="s">
        <v>200</v>
      </c>
      <c r="C1190" s="161" t="s">
        <v>185</v>
      </c>
      <c r="D1190" s="161"/>
      <c r="E1190" s="161"/>
      <c r="F1190" s="162"/>
      <c r="G1190" s="162"/>
      <c r="H1190" s="162"/>
      <c r="I1190" s="160" t="s">
        <v>2834</v>
      </c>
      <c r="J1190" s="163">
        <v>3.6</v>
      </c>
      <c r="K1190" s="163"/>
      <c r="L1190" s="163"/>
      <c r="M1190" s="164">
        <v>12</v>
      </c>
      <c r="N1190" s="164"/>
      <c r="O1190" s="164"/>
      <c r="P1190" s="159" t="s">
        <v>494</v>
      </c>
      <c r="Q1190" s="159" t="s">
        <v>474</v>
      </c>
      <c r="R1190" s="159" t="s">
        <v>2927</v>
      </c>
      <c r="S1190" s="165">
        <v>1.69017705992765E-2</v>
      </c>
      <c r="T1190" s="166" t="s">
        <v>382</v>
      </c>
      <c r="U1190" s="166"/>
      <c r="V1190" s="166"/>
      <c r="W1190" s="167">
        <f>IF(BetTable[Sport]="","",BetTable[Stake]+BetTable[S2]+BetTable[S3])</f>
        <v>12</v>
      </c>
      <c r="X1190" s="164">
        <f>IF(BetTable[Odds]="","",(BetTable[WBA1-Commission])-BetTable[TS])</f>
        <v>31.200000000000003</v>
      </c>
      <c r="Y1190" s="168">
        <f>IF(BetTable[Outcome]="","",BetTable[WBA1]+BetTable[WBA2]+BetTable[WBA3]-BetTable[TS])</f>
        <v>-12</v>
      </c>
      <c r="Z1190" s="164">
        <f>(((BetTable[Odds]-1)*BetTable[Stake])*(1-(BetTable[Comm %]))+BetTable[Stake])</f>
        <v>43.2</v>
      </c>
      <c r="AA1190" s="164">
        <f>(((BetTable[O2]-1)*BetTable[S2])*(1-(BetTable[C% 2]))+BetTable[S2])</f>
        <v>0</v>
      </c>
      <c r="AB1190" s="164">
        <f>(((BetTable[O3]-1)*BetTable[S3])*(1-(BetTable[C% 3]))+BetTable[S3])</f>
        <v>0</v>
      </c>
      <c r="AC1190" s="165">
        <f>IFERROR(IF(BetTable[Sport]="","",BetTable[R1]/BetTable[TS]),"")</f>
        <v>2.6</v>
      </c>
      <c r="AD1190" s="165" t="str">
        <f>IF(BetTable[O2]="","",#REF!/BetTable[TS])</f>
        <v/>
      </c>
      <c r="AE1190" s="165" t="str">
        <f>IFERROR(IF(BetTable[Sport]="","",#REF!/BetTable[TS]),"")</f>
        <v/>
      </c>
      <c r="AF1190" s="164">
        <f>IF(BetTable[Outcome]="Win",BetTable[WBA1-Commission],IF(BetTable[Outcome]="Win Half Stake",(BetTable[Stake]/2)+BetTable[WBA1-Commission]/2,IF(BetTable[Outcome]="Lose Half Stake",BetTable[Stake]/2,IF(BetTable[Outcome]="Lose",0,IF(BetTable[Outcome]="Void",BetTable[Stake],)))))</f>
        <v>0</v>
      </c>
      <c r="AG1190" s="164">
        <f>IF(BetTable[Outcome2]="Win",BetTable[WBA2-Commission],IF(BetTable[Outcome2]="Win Half Stake",(BetTable[S2]/2)+BetTable[WBA2-Commission]/2,IF(BetTable[Outcome2]="Lose Half Stake",BetTable[S2]/2,IF(BetTable[Outcome2]="Lose",0,IF(BetTable[Outcome2]="Void",BetTable[S2],)))))</f>
        <v>0</v>
      </c>
      <c r="AH1190" s="164">
        <f>IF(BetTable[Outcome3]="Win",BetTable[WBA3-Commission],IF(BetTable[Outcome3]="Win Half Stake",(BetTable[S3]/2)+BetTable[WBA3-Commission]/2,IF(BetTable[Outcome3]="Lose Half Stake",BetTable[S3]/2,IF(BetTable[Outcome3]="Lose",0,IF(BetTable[Outcome3]="Void",BetTable[S3],)))))</f>
        <v>0</v>
      </c>
      <c r="AI1190" s="168">
        <f>IF(BetTable[Outcome]="",AI1189,BetTable[Result]+AI1189)</f>
        <v>2462.3427499999993</v>
      </c>
      <c r="AJ1190" s="160"/>
    </row>
    <row r="1191" spans="1:36" x14ac:dyDescent="0.2">
      <c r="A1191" s="159" t="s">
        <v>2791</v>
      </c>
      <c r="B1191" s="160" t="s">
        <v>200</v>
      </c>
      <c r="C1191" s="161" t="s">
        <v>1714</v>
      </c>
      <c r="D1191" s="161"/>
      <c r="E1191" s="161"/>
      <c r="F1191" s="162"/>
      <c r="G1191" s="162"/>
      <c r="H1191" s="162"/>
      <c r="I1191" s="160" t="s">
        <v>2928</v>
      </c>
      <c r="J1191" s="163">
        <v>2.02</v>
      </c>
      <c r="K1191" s="163"/>
      <c r="L1191" s="163"/>
      <c r="M1191" s="164">
        <v>65</v>
      </c>
      <c r="N1191" s="164"/>
      <c r="O1191" s="164"/>
      <c r="P1191" s="159" t="s">
        <v>864</v>
      </c>
      <c r="Q1191" s="159" t="s">
        <v>547</v>
      </c>
      <c r="R1191" s="159" t="s">
        <v>2929</v>
      </c>
      <c r="S1191" s="165">
        <v>3.7245137411363899E-2</v>
      </c>
      <c r="T1191" s="166" t="s">
        <v>382</v>
      </c>
      <c r="U1191" s="166"/>
      <c r="V1191" s="166"/>
      <c r="W1191" s="167">
        <f>IF(BetTable[Sport]="","",BetTable[Stake]+BetTable[S2]+BetTable[S3])</f>
        <v>65</v>
      </c>
      <c r="X1191" s="164">
        <f>IF(BetTable[Odds]="","",(BetTable[WBA1-Commission])-BetTable[TS])</f>
        <v>66.300000000000011</v>
      </c>
      <c r="Y1191" s="168">
        <f>IF(BetTable[Outcome]="","",BetTable[WBA1]+BetTable[WBA2]+BetTable[WBA3]-BetTable[TS])</f>
        <v>-65</v>
      </c>
      <c r="Z1191" s="164">
        <f>(((BetTable[Odds]-1)*BetTable[Stake])*(1-(BetTable[Comm %]))+BetTable[Stake])</f>
        <v>131.30000000000001</v>
      </c>
      <c r="AA1191" s="164">
        <f>(((BetTable[O2]-1)*BetTable[S2])*(1-(BetTable[C% 2]))+BetTable[S2])</f>
        <v>0</v>
      </c>
      <c r="AB1191" s="164">
        <f>(((BetTable[O3]-1)*BetTable[S3])*(1-(BetTable[C% 3]))+BetTable[S3])</f>
        <v>0</v>
      </c>
      <c r="AC1191" s="165">
        <f>IFERROR(IF(BetTable[Sport]="","",BetTable[R1]/BetTable[TS]),"")</f>
        <v>1.0200000000000002</v>
      </c>
      <c r="AD1191" s="165" t="str">
        <f>IF(BetTable[O2]="","",#REF!/BetTable[TS])</f>
        <v/>
      </c>
      <c r="AE1191" s="165" t="str">
        <f>IFERROR(IF(BetTable[Sport]="","",#REF!/BetTable[TS]),"")</f>
        <v/>
      </c>
      <c r="AF1191" s="164">
        <f>IF(BetTable[Outcome]="Win",BetTable[WBA1-Commission],IF(BetTable[Outcome]="Win Half Stake",(BetTable[Stake]/2)+BetTable[WBA1-Commission]/2,IF(BetTable[Outcome]="Lose Half Stake",BetTable[Stake]/2,IF(BetTable[Outcome]="Lose",0,IF(BetTable[Outcome]="Void",BetTable[Stake],)))))</f>
        <v>0</v>
      </c>
      <c r="AG1191" s="164">
        <f>IF(BetTable[Outcome2]="Win",BetTable[WBA2-Commission],IF(BetTable[Outcome2]="Win Half Stake",(BetTable[S2]/2)+BetTable[WBA2-Commission]/2,IF(BetTable[Outcome2]="Lose Half Stake",BetTable[S2]/2,IF(BetTable[Outcome2]="Lose",0,IF(BetTable[Outcome2]="Void",BetTable[S2],)))))</f>
        <v>0</v>
      </c>
      <c r="AH1191" s="164">
        <f>IF(BetTable[Outcome3]="Win",BetTable[WBA3-Commission],IF(BetTable[Outcome3]="Win Half Stake",(BetTable[S3]/2)+BetTable[WBA3-Commission]/2,IF(BetTable[Outcome3]="Lose Half Stake",BetTable[S3]/2,IF(BetTable[Outcome3]="Lose",0,IF(BetTable[Outcome3]="Void",BetTable[S3],)))))</f>
        <v>0</v>
      </c>
      <c r="AI1191" s="168">
        <f>IF(BetTable[Outcome]="",AI1190,BetTable[Result]+AI1190)</f>
        <v>2397.3427499999993</v>
      </c>
      <c r="AJ1191" s="160"/>
    </row>
    <row r="1192" spans="1:36" x14ac:dyDescent="0.2">
      <c r="A1192" s="159" t="s">
        <v>2791</v>
      </c>
      <c r="B1192" s="160" t="s">
        <v>200</v>
      </c>
      <c r="C1192" s="161" t="s">
        <v>1714</v>
      </c>
      <c r="D1192" s="161"/>
      <c r="E1192" s="161"/>
      <c r="F1192" s="162"/>
      <c r="G1192" s="162"/>
      <c r="H1192" s="162"/>
      <c r="I1192" s="160" t="s">
        <v>2930</v>
      </c>
      <c r="J1192" s="163">
        <v>2.0419999999999998</v>
      </c>
      <c r="K1192" s="163"/>
      <c r="L1192" s="163"/>
      <c r="M1192" s="164">
        <v>40</v>
      </c>
      <c r="N1192" s="164"/>
      <c r="O1192" s="164"/>
      <c r="P1192" s="159" t="s">
        <v>635</v>
      </c>
      <c r="Q1192" s="159" t="s">
        <v>547</v>
      </c>
      <c r="R1192" s="159" t="s">
        <v>2931</v>
      </c>
      <c r="S1192" s="165">
        <v>2.3281413601113101E-2</v>
      </c>
      <c r="T1192" s="166" t="s">
        <v>382</v>
      </c>
      <c r="U1192" s="166"/>
      <c r="V1192" s="166"/>
      <c r="W1192" s="167">
        <f>IF(BetTable[Sport]="","",BetTable[Stake]+BetTable[S2]+BetTable[S3])</f>
        <v>40</v>
      </c>
      <c r="X1192" s="164">
        <f>IF(BetTable[Odds]="","",(BetTable[WBA1-Commission])-BetTable[TS])</f>
        <v>41.679999999999993</v>
      </c>
      <c r="Y1192" s="168">
        <f>IF(BetTable[Outcome]="","",BetTable[WBA1]+BetTable[WBA2]+BetTable[WBA3]-BetTable[TS])</f>
        <v>-40</v>
      </c>
      <c r="Z1192" s="164">
        <f>(((BetTable[Odds]-1)*BetTable[Stake])*(1-(BetTable[Comm %]))+BetTable[Stake])</f>
        <v>81.679999999999993</v>
      </c>
      <c r="AA1192" s="164">
        <f>(((BetTable[O2]-1)*BetTable[S2])*(1-(BetTable[C% 2]))+BetTable[S2])</f>
        <v>0</v>
      </c>
      <c r="AB1192" s="164">
        <f>(((BetTable[O3]-1)*BetTable[S3])*(1-(BetTable[C% 3]))+BetTable[S3])</f>
        <v>0</v>
      </c>
      <c r="AC1192" s="165">
        <f>IFERROR(IF(BetTable[Sport]="","",BetTable[R1]/BetTable[TS]),"")</f>
        <v>1.0419999999999998</v>
      </c>
      <c r="AD1192" s="165" t="str">
        <f>IF(BetTable[O2]="","",#REF!/BetTable[TS])</f>
        <v/>
      </c>
      <c r="AE1192" s="165" t="str">
        <f>IFERROR(IF(BetTable[Sport]="","",#REF!/BetTable[TS]),"")</f>
        <v/>
      </c>
      <c r="AF1192" s="164">
        <f>IF(BetTable[Outcome]="Win",BetTable[WBA1-Commission],IF(BetTable[Outcome]="Win Half Stake",(BetTable[Stake]/2)+BetTable[WBA1-Commission]/2,IF(BetTable[Outcome]="Lose Half Stake",BetTable[Stake]/2,IF(BetTable[Outcome]="Lose",0,IF(BetTable[Outcome]="Void",BetTable[Stake],)))))</f>
        <v>0</v>
      </c>
      <c r="AG1192" s="164">
        <f>IF(BetTable[Outcome2]="Win",BetTable[WBA2-Commission],IF(BetTable[Outcome2]="Win Half Stake",(BetTable[S2]/2)+BetTable[WBA2-Commission]/2,IF(BetTable[Outcome2]="Lose Half Stake",BetTable[S2]/2,IF(BetTable[Outcome2]="Lose",0,IF(BetTable[Outcome2]="Void",BetTable[S2],)))))</f>
        <v>0</v>
      </c>
      <c r="AH1192" s="164">
        <f>IF(BetTable[Outcome3]="Win",BetTable[WBA3-Commission],IF(BetTable[Outcome3]="Win Half Stake",(BetTable[S3]/2)+BetTable[WBA3-Commission]/2,IF(BetTable[Outcome3]="Lose Half Stake",BetTable[S3]/2,IF(BetTable[Outcome3]="Lose",0,IF(BetTable[Outcome3]="Void",BetTable[S3],)))))</f>
        <v>0</v>
      </c>
      <c r="AI1192" s="168">
        <f>IF(BetTable[Outcome]="",AI1191,BetTable[Result]+AI1191)</f>
        <v>2357.3427499999993</v>
      </c>
      <c r="AJ1192" s="160"/>
    </row>
    <row r="1193" spans="1:36" x14ac:dyDescent="0.2">
      <c r="A1193" s="159" t="s">
        <v>2791</v>
      </c>
      <c r="B1193" s="160" t="s">
        <v>200</v>
      </c>
      <c r="C1193" s="161" t="s">
        <v>1714</v>
      </c>
      <c r="D1193" s="161"/>
      <c r="E1193" s="161"/>
      <c r="F1193" s="162"/>
      <c r="G1193" s="162"/>
      <c r="H1193" s="162"/>
      <c r="I1193" s="160" t="s">
        <v>2932</v>
      </c>
      <c r="J1193" s="163">
        <v>1.94</v>
      </c>
      <c r="K1193" s="163"/>
      <c r="L1193" s="163"/>
      <c r="M1193" s="164">
        <v>69</v>
      </c>
      <c r="N1193" s="164"/>
      <c r="O1193" s="164"/>
      <c r="P1193" s="159" t="s">
        <v>637</v>
      </c>
      <c r="Q1193" s="159" t="s">
        <v>547</v>
      </c>
      <c r="R1193" s="159" t="s">
        <v>2933</v>
      </c>
      <c r="S1193" s="165">
        <v>3.6222363368271997E-2</v>
      </c>
      <c r="T1193" s="166" t="s">
        <v>382</v>
      </c>
      <c r="U1193" s="166"/>
      <c r="V1193" s="166"/>
      <c r="W1193" s="167">
        <f>IF(BetTable[Sport]="","",BetTable[Stake]+BetTable[S2]+BetTable[S3])</f>
        <v>69</v>
      </c>
      <c r="X1193" s="164">
        <f>IF(BetTable[Odds]="","",(BetTable[WBA1-Commission])-BetTable[TS])</f>
        <v>64.860000000000014</v>
      </c>
      <c r="Y1193" s="168">
        <f>IF(BetTable[Outcome]="","",BetTable[WBA1]+BetTable[WBA2]+BetTable[WBA3]-BetTable[TS])</f>
        <v>-69</v>
      </c>
      <c r="Z1193" s="164">
        <f>(((BetTable[Odds]-1)*BetTable[Stake])*(1-(BetTable[Comm %]))+BetTable[Stake])</f>
        <v>133.86000000000001</v>
      </c>
      <c r="AA1193" s="164">
        <f>(((BetTable[O2]-1)*BetTable[S2])*(1-(BetTable[C% 2]))+BetTable[S2])</f>
        <v>0</v>
      </c>
      <c r="AB1193" s="164">
        <f>(((BetTable[O3]-1)*BetTable[S3])*(1-(BetTable[C% 3]))+BetTable[S3])</f>
        <v>0</v>
      </c>
      <c r="AC1193" s="165">
        <f>IFERROR(IF(BetTable[Sport]="","",BetTable[R1]/BetTable[TS]),"")</f>
        <v>0.94000000000000017</v>
      </c>
      <c r="AD1193" s="165" t="str">
        <f>IF(BetTable[O2]="","",#REF!/BetTable[TS])</f>
        <v/>
      </c>
      <c r="AE1193" s="165" t="str">
        <f>IFERROR(IF(BetTable[Sport]="","",#REF!/BetTable[TS]),"")</f>
        <v/>
      </c>
      <c r="AF1193" s="164">
        <f>IF(BetTable[Outcome]="Win",BetTable[WBA1-Commission],IF(BetTable[Outcome]="Win Half Stake",(BetTable[Stake]/2)+BetTable[WBA1-Commission]/2,IF(BetTable[Outcome]="Lose Half Stake",BetTable[Stake]/2,IF(BetTable[Outcome]="Lose",0,IF(BetTable[Outcome]="Void",BetTable[Stake],)))))</f>
        <v>0</v>
      </c>
      <c r="AG1193" s="164">
        <f>IF(BetTable[Outcome2]="Win",BetTable[WBA2-Commission],IF(BetTable[Outcome2]="Win Half Stake",(BetTable[S2]/2)+BetTable[WBA2-Commission]/2,IF(BetTable[Outcome2]="Lose Half Stake",BetTable[S2]/2,IF(BetTable[Outcome2]="Lose",0,IF(BetTable[Outcome2]="Void",BetTable[S2],)))))</f>
        <v>0</v>
      </c>
      <c r="AH1193" s="164">
        <f>IF(BetTable[Outcome3]="Win",BetTable[WBA3-Commission],IF(BetTable[Outcome3]="Win Half Stake",(BetTable[S3]/2)+BetTable[WBA3-Commission]/2,IF(BetTable[Outcome3]="Lose Half Stake",BetTable[S3]/2,IF(BetTable[Outcome3]="Lose",0,IF(BetTable[Outcome3]="Void",BetTable[S3],)))))</f>
        <v>0</v>
      </c>
      <c r="AI1193" s="168">
        <f>IF(BetTable[Outcome]="",AI1192,BetTable[Result]+AI1192)</f>
        <v>2288.3427499999993</v>
      </c>
      <c r="AJ1193" s="160"/>
    </row>
    <row r="1194" spans="1:36" x14ac:dyDescent="0.2">
      <c r="A1194" s="159" t="s">
        <v>2791</v>
      </c>
      <c r="B1194" s="160" t="s">
        <v>200</v>
      </c>
      <c r="C1194" s="161" t="s">
        <v>1714</v>
      </c>
      <c r="D1194" s="161"/>
      <c r="E1194" s="161"/>
      <c r="F1194" s="162"/>
      <c r="G1194" s="162"/>
      <c r="H1194" s="162"/>
      <c r="I1194" s="160" t="s">
        <v>2936</v>
      </c>
      <c r="J1194" s="163">
        <v>2.02</v>
      </c>
      <c r="K1194" s="163"/>
      <c r="L1194" s="163"/>
      <c r="M1194" s="164">
        <v>38</v>
      </c>
      <c r="N1194" s="164"/>
      <c r="O1194" s="164"/>
      <c r="P1194" s="159" t="s">
        <v>1109</v>
      </c>
      <c r="Q1194" s="159" t="s">
        <v>547</v>
      </c>
      <c r="R1194" s="159" t="s">
        <v>2937</v>
      </c>
      <c r="S1194" s="165">
        <v>2.1506956891132498E-2</v>
      </c>
      <c r="T1194" s="166" t="s">
        <v>549</v>
      </c>
      <c r="U1194" s="166"/>
      <c r="V1194" s="166"/>
      <c r="W1194" s="167">
        <f>IF(BetTable[Sport]="","",BetTable[Stake]+BetTable[S2]+BetTable[S3])</f>
        <v>38</v>
      </c>
      <c r="X1194" s="164">
        <f>IF(BetTable[Odds]="","",(BetTable[WBA1-Commission])-BetTable[TS])</f>
        <v>38.759999999999991</v>
      </c>
      <c r="Y1194" s="168">
        <f>IF(BetTable[Outcome]="","",BetTable[WBA1]+BetTable[WBA2]+BetTable[WBA3]-BetTable[TS])</f>
        <v>-19</v>
      </c>
      <c r="Z1194" s="164">
        <f>(((BetTable[Odds]-1)*BetTable[Stake])*(1-(BetTable[Comm %]))+BetTable[Stake])</f>
        <v>76.759999999999991</v>
      </c>
      <c r="AA1194" s="164">
        <f>(((BetTable[O2]-1)*BetTable[S2])*(1-(BetTable[C% 2]))+BetTable[S2])</f>
        <v>0</v>
      </c>
      <c r="AB1194" s="164">
        <f>(((BetTable[O3]-1)*BetTable[S3])*(1-(BetTable[C% 3]))+BetTable[S3])</f>
        <v>0</v>
      </c>
      <c r="AC1194" s="165">
        <f>IFERROR(IF(BetTable[Sport]="","",BetTable[R1]/BetTable[TS]),"")</f>
        <v>1.0199999999999998</v>
      </c>
      <c r="AD1194" s="165" t="str">
        <f>IF(BetTable[O2]="","",#REF!/BetTable[TS])</f>
        <v/>
      </c>
      <c r="AE1194" s="165" t="str">
        <f>IFERROR(IF(BetTable[Sport]="","",#REF!/BetTable[TS]),"")</f>
        <v/>
      </c>
      <c r="AF1194" s="164">
        <f>IF(BetTable[Outcome]="Win",BetTable[WBA1-Commission],IF(BetTable[Outcome]="Win Half Stake",(BetTable[Stake]/2)+BetTable[WBA1-Commission]/2,IF(BetTable[Outcome]="Lose Half Stake",BetTable[Stake]/2,IF(BetTable[Outcome]="Lose",0,IF(BetTable[Outcome]="Void",BetTable[Stake],)))))</f>
        <v>19</v>
      </c>
      <c r="AG1194" s="164">
        <f>IF(BetTable[Outcome2]="Win",BetTable[WBA2-Commission],IF(BetTable[Outcome2]="Win Half Stake",(BetTable[S2]/2)+BetTable[WBA2-Commission]/2,IF(BetTable[Outcome2]="Lose Half Stake",BetTable[S2]/2,IF(BetTable[Outcome2]="Lose",0,IF(BetTable[Outcome2]="Void",BetTable[S2],)))))</f>
        <v>0</v>
      </c>
      <c r="AH1194" s="164">
        <f>IF(BetTable[Outcome3]="Win",BetTable[WBA3-Commission],IF(BetTable[Outcome3]="Win Half Stake",(BetTable[S3]/2)+BetTable[WBA3-Commission]/2,IF(BetTable[Outcome3]="Lose Half Stake",BetTable[S3]/2,IF(BetTable[Outcome3]="Lose",0,IF(BetTable[Outcome3]="Void",BetTable[S3],)))))</f>
        <v>0</v>
      </c>
      <c r="AI1194" s="168">
        <f>IF(BetTable[Outcome]="",AI1193,BetTable[Result]+AI1193)</f>
        <v>2269.3427499999993</v>
      </c>
      <c r="AJ1194" s="160"/>
    </row>
    <row r="1195" spans="1:36" x14ac:dyDescent="0.2">
      <c r="A1195" s="159" t="s">
        <v>2791</v>
      </c>
      <c r="B1195" s="160" t="s">
        <v>200</v>
      </c>
      <c r="C1195" s="161" t="s">
        <v>1714</v>
      </c>
      <c r="D1195" s="161"/>
      <c r="E1195" s="161"/>
      <c r="F1195" s="162"/>
      <c r="G1195" s="162"/>
      <c r="H1195" s="162"/>
      <c r="I1195" s="160" t="s">
        <v>2934</v>
      </c>
      <c r="J1195" s="163">
        <v>1.91</v>
      </c>
      <c r="K1195" s="163"/>
      <c r="L1195" s="163"/>
      <c r="M1195" s="164">
        <v>48</v>
      </c>
      <c r="N1195" s="164"/>
      <c r="O1195" s="164"/>
      <c r="P1195" s="159" t="s">
        <v>1572</v>
      </c>
      <c r="Q1195" s="159" t="s">
        <v>547</v>
      </c>
      <c r="R1195" s="159" t="s">
        <v>2935</v>
      </c>
      <c r="S1195" s="165">
        <v>2.43394936301503E-2</v>
      </c>
      <c r="T1195" s="166" t="s">
        <v>372</v>
      </c>
      <c r="U1195" s="166"/>
      <c r="V1195" s="166"/>
      <c r="W1195" s="167">
        <f>IF(BetTable[Sport]="","",BetTable[Stake]+BetTable[S2]+BetTable[S3])</f>
        <v>48</v>
      </c>
      <c r="X1195" s="164">
        <f>IF(BetTable[Odds]="","",(BetTable[WBA1-Commission])-BetTable[TS])</f>
        <v>43.679999999999993</v>
      </c>
      <c r="Y1195" s="168">
        <f>IF(BetTable[Outcome]="","",BetTable[WBA1]+BetTable[WBA2]+BetTable[WBA3]-BetTable[TS])</f>
        <v>43.679999999999993</v>
      </c>
      <c r="Z1195" s="164">
        <f>(((BetTable[Odds]-1)*BetTable[Stake])*(1-(BetTable[Comm %]))+BetTable[Stake])</f>
        <v>91.679999999999993</v>
      </c>
      <c r="AA1195" s="164">
        <f>(((BetTable[O2]-1)*BetTable[S2])*(1-(BetTable[C% 2]))+BetTable[S2])</f>
        <v>0</v>
      </c>
      <c r="AB1195" s="164">
        <f>(((BetTable[O3]-1)*BetTable[S3])*(1-(BetTable[C% 3]))+BetTable[S3])</f>
        <v>0</v>
      </c>
      <c r="AC1195" s="165">
        <f>IFERROR(IF(BetTable[Sport]="","",BetTable[R1]/BetTable[TS]),"")</f>
        <v>0.90999999999999981</v>
      </c>
      <c r="AD1195" s="165" t="str">
        <f>IF(BetTable[O2]="","",#REF!/BetTable[TS])</f>
        <v/>
      </c>
      <c r="AE1195" s="165" t="str">
        <f>IFERROR(IF(BetTable[Sport]="","",#REF!/BetTable[TS]),"")</f>
        <v/>
      </c>
      <c r="AF1195" s="164">
        <f>IF(BetTable[Outcome]="Win",BetTable[WBA1-Commission],IF(BetTable[Outcome]="Win Half Stake",(BetTable[Stake]/2)+BetTable[WBA1-Commission]/2,IF(BetTable[Outcome]="Lose Half Stake",BetTable[Stake]/2,IF(BetTable[Outcome]="Lose",0,IF(BetTable[Outcome]="Void",BetTable[Stake],)))))</f>
        <v>91.679999999999993</v>
      </c>
      <c r="AG1195" s="164">
        <f>IF(BetTable[Outcome2]="Win",BetTable[WBA2-Commission],IF(BetTable[Outcome2]="Win Half Stake",(BetTable[S2]/2)+BetTable[WBA2-Commission]/2,IF(BetTable[Outcome2]="Lose Half Stake",BetTable[S2]/2,IF(BetTable[Outcome2]="Lose",0,IF(BetTable[Outcome2]="Void",BetTable[S2],)))))</f>
        <v>0</v>
      </c>
      <c r="AH1195" s="164">
        <f>IF(BetTable[Outcome3]="Win",BetTable[WBA3-Commission],IF(BetTable[Outcome3]="Win Half Stake",(BetTable[S3]/2)+BetTable[WBA3-Commission]/2,IF(BetTable[Outcome3]="Lose Half Stake",BetTable[S3]/2,IF(BetTable[Outcome3]="Lose",0,IF(BetTable[Outcome3]="Void",BetTable[S3],)))))</f>
        <v>0</v>
      </c>
      <c r="AI1195" s="168">
        <f>IF(BetTable[Outcome]="",AI1194,BetTable[Result]+AI1194)</f>
        <v>2313.0227499999992</v>
      </c>
      <c r="AJ1195" s="160"/>
    </row>
    <row r="1196" spans="1:36" x14ac:dyDescent="0.2">
      <c r="A1196" s="159" t="s">
        <v>2791</v>
      </c>
      <c r="B1196" s="160" t="s">
        <v>7</v>
      </c>
      <c r="C1196" s="161" t="s">
        <v>1714</v>
      </c>
      <c r="D1196" s="161"/>
      <c r="E1196" s="161"/>
      <c r="F1196" s="162"/>
      <c r="G1196" s="162"/>
      <c r="H1196" s="162"/>
      <c r="I1196" s="160" t="s">
        <v>2938</v>
      </c>
      <c r="J1196" s="163">
        <v>2.0699999999999998</v>
      </c>
      <c r="K1196" s="163"/>
      <c r="L1196" s="163"/>
      <c r="M1196" s="164">
        <v>34</v>
      </c>
      <c r="N1196" s="164"/>
      <c r="O1196" s="164"/>
      <c r="P1196" s="159" t="s">
        <v>2449</v>
      </c>
      <c r="Q1196" s="159" t="s">
        <v>581</v>
      </c>
      <c r="R1196" s="159" t="s">
        <v>2939</v>
      </c>
      <c r="S1196" s="165">
        <v>2.0503529676778098E-2</v>
      </c>
      <c r="T1196" s="166" t="s">
        <v>382</v>
      </c>
      <c r="U1196" s="166"/>
      <c r="V1196" s="166"/>
      <c r="W1196" s="167">
        <f>IF(BetTable[Sport]="","",BetTable[Stake]+BetTable[S2]+BetTable[S3])</f>
        <v>34</v>
      </c>
      <c r="X1196" s="164">
        <f>IF(BetTable[Odds]="","",(BetTable[WBA1-Commission])-BetTable[TS])</f>
        <v>36.379999999999995</v>
      </c>
      <c r="Y1196" s="168">
        <f>IF(BetTable[Outcome]="","",BetTable[WBA1]+BetTable[WBA2]+BetTable[WBA3]-BetTable[TS])</f>
        <v>-34</v>
      </c>
      <c r="Z1196" s="164">
        <f>(((BetTable[Odds]-1)*BetTable[Stake])*(1-(BetTable[Comm %]))+BetTable[Stake])</f>
        <v>70.38</v>
      </c>
      <c r="AA1196" s="164">
        <f>(((BetTable[O2]-1)*BetTable[S2])*(1-(BetTable[C% 2]))+BetTable[S2])</f>
        <v>0</v>
      </c>
      <c r="AB1196" s="164">
        <f>(((BetTable[O3]-1)*BetTable[S3])*(1-(BetTable[C% 3]))+BetTable[S3])</f>
        <v>0</v>
      </c>
      <c r="AC1196" s="165">
        <f>IFERROR(IF(BetTable[Sport]="","",BetTable[R1]/BetTable[TS]),"")</f>
        <v>1.0699999999999998</v>
      </c>
      <c r="AD1196" s="165" t="str">
        <f>IF(BetTable[O2]="","",#REF!/BetTable[TS])</f>
        <v/>
      </c>
      <c r="AE1196" s="165" t="str">
        <f>IFERROR(IF(BetTable[Sport]="","",#REF!/BetTable[TS]),"")</f>
        <v/>
      </c>
      <c r="AF1196" s="164">
        <f>IF(BetTable[Outcome]="Win",BetTable[WBA1-Commission],IF(BetTable[Outcome]="Win Half Stake",(BetTable[Stake]/2)+BetTable[WBA1-Commission]/2,IF(BetTable[Outcome]="Lose Half Stake",BetTable[Stake]/2,IF(BetTable[Outcome]="Lose",0,IF(BetTable[Outcome]="Void",BetTable[Stake],)))))</f>
        <v>0</v>
      </c>
      <c r="AG1196" s="164">
        <f>IF(BetTable[Outcome2]="Win",BetTable[WBA2-Commission],IF(BetTable[Outcome2]="Win Half Stake",(BetTable[S2]/2)+BetTable[WBA2-Commission]/2,IF(BetTable[Outcome2]="Lose Half Stake",BetTable[S2]/2,IF(BetTable[Outcome2]="Lose",0,IF(BetTable[Outcome2]="Void",BetTable[S2],)))))</f>
        <v>0</v>
      </c>
      <c r="AH1196" s="164">
        <f>IF(BetTable[Outcome3]="Win",BetTable[WBA3-Commission],IF(BetTable[Outcome3]="Win Half Stake",(BetTable[S3]/2)+BetTable[WBA3-Commission]/2,IF(BetTable[Outcome3]="Lose Half Stake",BetTable[S3]/2,IF(BetTable[Outcome3]="Lose",0,IF(BetTable[Outcome3]="Void",BetTable[S3],)))))</f>
        <v>0</v>
      </c>
      <c r="AI1196" s="168">
        <f>IF(BetTable[Outcome]="",AI1195,BetTable[Result]+AI1195)</f>
        <v>2279.0227499999992</v>
      </c>
      <c r="AJ1196" s="160"/>
    </row>
    <row r="1197" spans="1:36" x14ac:dyDescent="0.2">
      <c r="A1197" s="159" t="s">
        <v>2791</v>
      </c>
      <c r="B1197" s="160" t="s">
        <v>200</v>
      </c>
      <c r="C1197" s="161" t="s">
        <v>1714</v>
      </c>
      <c r="D1197" s="161"/>
      <c r="E1197" s="161"/>
      <c r="F1197" s="162"/>
      <c r="G1197" s="162"/>
      <c r="H1197" s="162"/>
      <c r="I1197" s="160" t="s">
        <v>2940</v>
      </c>
      <c r="J1197" s="163">
        <v>1.98</v>
      </c>
      <c r="K1197" s="163"/>
      <c r="L1197" s="163"/>
      <c r="M1197" s="164">
        <v>50</v>
      </c>
      <c r="N1197" s="164"/>
      <c r="O1197" s="164"/>
      <c r="P1197" s="159" t="s">
        <v>864</v>
      </c>
      <c r="Q1197" s="159" t="s">
        <v>547</v>
      </c>
      <c r="R1197" s="159" t="s">
        <v>2941</v>
      </c>
      <c r="S1197" s="165">
        <v>2.7684745842961801E-2</v>
      </c>
      <c r="T1197" s="166" t="s">
        <v>382</v>
      </c>
      <c r="U1197" s="166"/>
      <c r="V1197" s="166"/>
      <c r="W1197" s="167">
        <f>IF(BetTable[Sport]="","",BetTable[Stake]+BetTable[S2]+BetTable[S3])</f>
        <v>50</v>
      </c>
      <c r="X1197" s="164">
        <f>IF(BetTable[Odds]="","",(BetTable[WBA1-Commission])-BetTable[TS])</f>
        <v>49</v>
      </c>
      <c r="Y1197" s="168">
        <f>IF(BetTable[Outcome]="","",BetTable[WBA1]+BetTable[WBA2]+BetTable[WBA3]-BetTable[TS])</f>
        <v>-50</v>
      </c>
      <c r="Z1197" s="164">
        <f>(((BetTable[Odds]-1)*BetTable[Stake])*(1-(BetTable[Comm %]))+BetTable[Stake])</f>
        <v>99</v>
      </c>
      <c r="AA1197" s="164">
        <f>(((BetTable[O2]-1)*BetTable[S2])*(1-(BetTable[C% 2]))+BetTable[S2])</f>
        <v>0</v>
      </c>
      <c r="AB1197" s="164">
        <f>(((BetTable[O3]-1)*BetTable[S3])*(1-(BetTable[C% 3]))+BetTable[S3])</f>
        <v>0</v>
      </c>
      <c r="AC1197" s="165">
        <f>IFERROR(IF(BetTable[Sport]="","",BetTable[R1]/BetTable[TS]),"")</f>
        <v>0.98</v>
      </c>
      <c r="AD1197" s="165" t="str">
        <f>IF(BetTable[O2]="","",#REF!/BetTable[TS])</f>
        <v/>
      </c>
      <c r="AE1197" s="165" t="str">
        <f>IFERROR(IF(BetTable[Sport]="","",#REF!/BetTable[TS]),"")</f>
        <v/>
      </c>
      <c r="AF1197" s="164">
        <f>IF(BetTable[Outcome]="Win",BetTable[WBA1-Commission],IF(BetTable[Outcome]="Win Half Stake",(BetTable[Stake]/2)+BetTable[WBA1-Commission]/2,IF(BetTable[Outcome]="Lose Half Stake",BetTable[Stake]/2,IF(BetTable[Outcome]="Lose",0,IF(BetTable[Outcome]="Void",BetTable[Stake],)))))</f>
        <v>0</v>
      </c>
      <c r="AG1197" s="164">
        <f>IF(BetTable[Outcome2]="Win",BetTable[WBA2-Commission],IF(BetTable[Outcome2]="Win Half Stake",(BetTable[S2]/2)+BetTable[WBA2-Commission]/2,IF(BetTable[Outcome2]="Lose Half Stake",BetTable[S2]/2,IF(BetTable[Outcome2]="Lose",0,IF(BetTable[Outcome2]="Void",BetTable[S2],)))))</f>
        <v>0</v>
      </c>
      <c r="AH1197" s="164">
        <f>IF(BetTable[Outcome3]="Win",BetTable[WBA3-Commission],IF(BetTable[Outcome3]="Win Half Stake",(BetTable[S3]/2)+BetTable[WBA3-Commission]/2,IF(BetTable[Outcome3]="Lose Half Stake",BetTable[S3]/2,IF(BetTable[Outcome3]="Lose",0,IF(BetTable[Outcome3]="Void",BetTable[S3],)))))</f>
        <v>0</v>
      </c>
      <c r="AI1197" s="168">
        <f>IF(BetTable[Outcome]="",AI1196,BetTable[Result]+AI1196)</f>
        <v>2229.0227499999992</v>
      </c>
      <c r="AJ1197" s="160"/>
    </row>
    <row r="1198" spans="1:36" x14ac:dyDescent="0.2">
      <c r="A1198" s="159" t="s">
        <v>2791</v>
      </c>
      <c r="B1198" s="160" t="s">
        <v>7</v>
      </c>
      <c r="C1198" s="161" t="s">
        <v>1714</v>
      </c>
      <c r="D1198" s="161"/>
      <c r="E1198" s="161"/>
      <c r="F1198" s="162"/>
      <c r="G1198" s="162"/>
      <c r="H1198" s="162"/>
      <c r="I1198" s="160" t="s">
        <v>2942</v>
      </c>
      <c r="J1198" s="163">
        <v>1.86</v>
      </c>
      <c r="K1198" s="163"/>
      <c r="L1198" s="163"/>
      <c r="M1198" s="164">
        <v>35</v>
      </c>
      <c r="N1198" s="164"/>
      <c r="O1198" s="164"/>
      <c r="P1198" s="159" t="s">
        <v>620</v>
      </c>
      <c r="Q1198" s="159" t="s">
        <v>1291</v>
      </c>
      <c r="R1198" s="159" t="s">
        <v>2943</v>
      </c>
      <c r="S1198" s="165">
        <v>1.69731571745474E-2</v>
      </c>
      <c r="T1198" s="166" t="s">
        <v>382</v>
      </c>
      <c r="U1198" s="166"/>
      <c r="V1198" s="166"/>
      <c r="W1198" s="167">
        <f>IF(BetTable[Sport]="","",BetTable[Stake]+BetTable[S2]+BetTable[S3])</f>
        <v>35</v>
      </c>
      <c r="X1198" s="164">
        <f>IF(BetTable[Odds]="","",(BetTable[WBA1-Commission])-BetTable[TS])</f>
        <v>30.100000000000009</v>
      </c>
      <c r="Y1198" s="168">
        <f>IF(BetTable[Outcome]="","",BetTable[WBA1]+BetTable[WBA2]+BetTable[WBA3]-BetTable[TS])</f>
        <v>-35</v>
      </c>
      <c r="Z1198" s="164">
        <f>(((BetTable[Odds]-1)*BetTable[Stake])*(1-(BetTable[Comm %]))+BetTable[Stake])</f>
        <v>65.100000000000009</v>
      </c>
      <c r="AA1198" s="164">
        <f>(((BetTable[O2]-1)*BetTable[S2])*(1-(BetTable[C% 2]))+BetTable[S2])</f>
        <v>0</v>
      </c>
      <c r="AB1198" s="164">
        <f>(((BetTable[O3]-1)*BetTable[S3])*(1-(BetTable[C% 3]))+BetTable[S3])</f>
        <v>0</v>
      </c>
      <c r="AC1198" s="165">
        <f>IFERROR(IF(BetTable[Sport]="","",BetTable[R1]/BetTable[TS]),"")</f>
        <v>0.86000000000000021</v>
      </c>
      <c r="AD1198" s="165" t="str">
        <f>IF(BetTable[O2]="","",#REF!/BetTable[TS])</f>
        <v/>
      </c>
      <c r="AE1198" s="165" t="str">
        <f>IFERROR(IF(BetTable[Sport]="","",#REF!/BetTable[TS]),"")</f>
        <v/>
      </c>
      <c r="AF1198" s="164">
        <f>IF(BetTable[Outcome]="Win",BetTable[WBA1-Commission],IF(BetTable[Outcome]="Win Half Stake",(BetTable[Stake]/2)+BetTable[WBA1-Commission]/2,IF(BetTable[Outcome]="Lose Half Stake",BetTable[Stake]/2,IF(BetTable[Outcome]="Lose",0,IF(BetTable[Outcome]="Void",BetTable[Stake],)))))</f>
        <v>0</v>
      </c>
      <c r="AG1198" s="164">
        <f>IF(BetTable[Outcome2]="Win",BetTable[WBA2-Commission],IF(BetTable[Outcome2]="Win Half Stake",(BetTable[S2]/2)+BetTable[WBA2-Commission]/2,IF(BetTable[Outcome2]="Lose Half Stake",BetTable[S2]/2,IF(BetTable[Outcome2]="Lose",0,IF(BetTable[Outcome2]="Void",BetTable[S2],)))))</f>
        <v>0</v>
      </c>
      <c r="AH1198" s="164">
        <f>IF(BetTable[Outcome3]="Win",BetTable[WBA3-Commission],IF(BetTable[Outcome3]="Win Half Stake",(BetTable[S3]/2)+BetTable[WBA3-Commission]/2,IF(BetTable[Outcome3]="Lose Half Stake",BetTable[S3]/2,IF(BetTable[Outcome3]="Lose",0,IF(BetTable[Outcome3]="Void",BetTable[S3],)))))</f>
        <v>0</v>
      </c>
      <c r="AI1198" s="168">
        <f>IF(BetTable[Outcome]="",AI1197,BetTable[Result]+AI1197)</f>
        <v>2194.0227499999992</v>
      </c>
      <c r="AJ1198" s="160"/>
    </row>
    <row r="1199" spans="1:36" x14ac:dyDescent="0.2">
      <c r="A1199" s="159" t="s">
        <v>2791</v>
      </c>
      <c r="B1199" s="160" t="s">
        <v>7</v>
      </c>
      <c r="C1199" s="161" t="s">
        <v>91</v>
      </c>
      <c r="D1199" s="161"/>
      <c r="E1199" s="161"/>
      <c r="F1199" s="162"/>
      <c r="G1199" s="162"/>
      <c r="H1199" s="162"/>
      <c r="I1199" s="160" t="s">
        <v>2944</v>
      </c>
      <c r="J1199" s="163">
        <v>1.83</v>
      </c>
      <c r="K1199" s="163"/>
      <c r="L1199" s="163"/>
      <c r="M1199" s="164">
        <v>63</v>
      </c>
      <c r="N1199" s="164"/>
      <c r="O1199" s="164"/>
      <c r="P1199" s="159" t="s">
        <v>2491</v>
      </c>
      <c r="Q1199" s="159" t="s">
        <v>1101</v>
      </c>
      <c r="R1199" s="159" t="s">
        <v>2945</v>
      </c>
      <c r="S1199" s="165">
        <v>2.9443204358376999E-2</v>
      </c>
      <c r="T1199" s="166" t="s">
        <v>372</v>
      </c>
      <c r="U1199" s="166"/>
      <c r="V1199" s="166"/>
      <c r="W1199" s="167">
        <f>IF(BetTable[Sport]="","",BetTable[Stake]+BetTable[S2]+BetTable[S3])</f>
        <v>63</v>
      </c>
      <c r="X1199" s="164">
        <f>IF(BetTable[Odds]="","",(BetTable[WBA1-Commission])-BetTable[TS])</f>
        <v>52.290000000000006</v>
      </c>
      <c r="Y1199" s="168">
        <f>IF(BetTable[Outcome]="","",BetTable[WBA1]+BetTable[WBA2]+BetTable[WBA3]-BetTable[TS])</f>
        <v>52.290000000000006</v>
      </c>
      <c r="Z1199" s="164">
        <f>(((BetTable[Odds]-1)*BetTable[Stake])*(1-(BetTable[Comm %]))+BetTable[Stake])</f>
        <v>115.29</v>
      </c>
      <c r="AA1199" s="164">
        <f>(((BetTable[O2]-1)*BetTable[S2])*(1-(BetTable[C% 2]))+BetTable[S2])</f>
        <v>0</v>
      </c>
      <c r="AB1199" s="164">
        <f>(((BetTable[O3]-1)*BetTable[S3])*(1-(BetTable[C% 3]))+BetTable[S3])</f>
        <v>0</v>
      </c>
      <c r="AC1199" s="165">
        <f>IFERROR(IF(BetTable[Sport]="","",BetTable[R1]/BetTable[TS]),"")</f>
        <v>0.83000000000000007</v>
      </c>
      <c r="AD1199" s="165" t="str">
        <f>IF(BetTable[O2]="","",#REF!/BetTable[TS])</f>
        <v/>
      </c>
      <c r="AE1199" s="165" t="str">
        <f>IFERROR(IF(BetTable[Sport]="","",#REF!/BetTable[TS]),"")</f>
        <v/>
      </c>
      <c r="AF1199" s="164">
        <f>IF(BetTable[Outcome]="Win",BetTable[WBA1-Commission],IF(BetTable[Outcome]="Win Half Stake",(BetTable[Stake]/2)+BetTable[WBA1-Commission]/2,IF(BetTable[Outcome]="Lose Half Stake",BetTable[Stake]/2,IF(BetTable[Outcome]="Lose",0,IF(BetTable[Outcome]="Void",BetTable[Stake],)))))</f>
        <v>115.29</v>
      </c>
      <c r="AG1199" s="164">
        <f>IF(BetTable[Outcome2]="Win",BetTable[WBA2-Commission],IF(BetTable[Outcome2]="Win Half Stake",(BetTable[S2]/2)+BetTable[WBA2-Commission]/2,IF(BetTable[Outcome2]="Lose Half Stake",BetTable[S2]/2,IF(BetTable[Outcome2]="Lose",0,IF(BetTable[Outcome2]="Void",BetTable[S2],)))))</f>
        <v>0</v>
      </c>
      <c r="AH1199" s="164">
        <f>IF(BetTable[Outcome3]="Win",BetTable[WBA3-Commission],IF(BetTable[Outcome3]="Win Half Stake",(BetTable[S3]/2)+BetTable[WBA3-Commission]/2,IF(BetTable[Outcome3]="Lose Half Stake",BetTable[S3]/2,IF(BetTable[Outcome3]="Lose",0,IF(BetTable[Outcome3]="Void",BetTable[S3],)))))</f>
        <v>0</v>
      </c>
      <c r="AI1199" s="168">
        <f>IF(BetTable[Outcome]="",AI1198,BetTable[Result]+AI1198)</f>
        <v>2246.3127499999991</v>
      </c>
      <c r="AJ1199" s="160"/>
    </row>
    <row r="1200" spans="1:36" x14ac:dyDescent="0.2">
      <c r="A1200" s="159" t="s">
        <v>2791</v>
      </c>
      <c r="B1200" s="160" t="s">
        <v>7</v>
      </c>
      <c r="C1200" s="161" t="s">
        <v>1714</v>
      </c>
      <c r="D1200" s="161"/>
      <c r="E1200" s="161"/>
      <c r="F1200" s="162"/>
      <c r="G1200" s="162"/>
      <c r="H1200" s="162"/>
      <c r="I1200" s="160" t="s">
        <v>2946</v>
      </c>
      <c r="J1200" s="163">
        <v>1.91</v>
      </c>
      <c r="K1200" s="163"/>
      <c r="L1200" s="163"/>
      <c r="M1200" s="164">
        <v>31</v>
      </c>
      <c r="N1200" s="164"/>
      <c r="O1200" s="164"/>
      <c r="P1200" s="159" t="s">
        <v>2073</v>
      </c>
      <c r="Q1200" s="159" t="s">
        <v>482</v>
      </c>
      <c r="R1200" s="159" t="s">
        <v>2947</v>
      </c>
      <c r="S1200" s="165">
        <v>1.6704328313364498E-2</v>
      </c>
      <c r="T1200" s="166" t="s">
        <v>372</v>
      </c>
      <c r="U1200" s="166"/>
      <c r="V1200" s="166"/>
      <c r="W1200" s="167">
        <f>IF(BetTable[Sport]="","",BetTable[Stake]+BetTable[S2]+BetTable[S3])</f>
        <v>31</v>
      </c>
      <c r="X1200" s="164">
        <f>IF(BetTable[Odds]="","",(BetTable[WBA1-Commission])-BetTable[TS])</f>
        <v>28.209999999999994</v>
      </c>
      <c r="Y1200" s="168">
        <f>IF(BetTable[Outcome]="","",BetTable[WBA1]+BetTable[WBA2]+BetTable[WBA3]-BetTable[TS])</f>
        <v>28.209999999999994</v>
      </c>
      <c r="Z1200" s="164">
        <f>(((BetTable[Odds]-1)*BetTable[Stake])*(1-(BetTable[Comm %]))+BetTable[Stake])</f>
        <v>59.209999999999994</v>
      </c>
      <c r="AA1200" s="164">
        <f>(((BetTable[O2]-1)*BetTable[S2])*(1-(BetTable[C% 2]))+BetTable[S2])</f>
        <v>0</v>
      </c>
      <c r="AB1200" s="164">
        <f>(((BetTable[O3]-1)*BetTable[S3])*(1-(BetTable[C% 3]))+BetTable[S3])</f>
        <v>0</v>
      </c>
      <c r="AC1200" s="165">
        <f>IFERROR(IF(BetTable[Sport]="","",BetTable[R1]/BetTable[TS]),"")</f>
        <v>0.90999999999999981</v>
      </c>
      <c r="AD1200" s="165" t="str">
        <f>IF(BetTable[O2]="","",#REF!/BetTable[TS])</f>
        <v/>
      </c>
      <c r="AE1200" s="165" t="str">
        <f>IFERROR(IF(BetTable[Sport]="","",#REF!/BetTable[TS]),"")</f>
        <v/>
      </c>
      <c r="AF1200" s="164">
        <f>IF(BetTable[Outcome]="Win",BetTable[WBA1-Commission],IF(BetTable[Outcome]="Win Half Stake",(BetTable[Stake]/2)+BetTable[WBA1-Commission]/2,IF(BetTable[Outcome]="Lose Half Stake",BetTable[Stake]/2,IF(BetTable[Outcome]="Lose",0,IF(BetTable[Outcome]="Void",BetTable[Stake],)))))</f>
        <v>59.209999999999994</v>
      </c>
      <c r="AG1200" s="164">
        <f>IF(BetTable[Outcome2]="Win",BetTable[WBA2-Commission],IF(BetTable[Outcome2]="Win Half Stake",(BetTable[S2]/2)+BetTable[WBA2-Commission]/2,IF(BetTable[Outcome2]="Lose Half Stake",BetTable[S2]/2,IF(BetTable[Outcome2]="Lose",0,IF(BetTable[Outcome2]="Void",BetTable[S2],)))))</f>
        <v>0</v>
      </c>
      <c r="AH1200" s="164">
        <f>IF(BetTable[Outcome3]="Win",BetTable[WBA3-Commission],IF(BetTable[Outcome3]="Win Half Stake",(BetTable[S3]/2)+BetTable[WBA3-Commission]/2,IF(BetTable[Outcome3]="Lose Half Stake",BetTable[S3]/2,IF(BetTable[Outcome3]="Lose",0,IF(BetTable[Outcome3]="Void",BetTable[S3],)))))</f>
        <v>0</v>
      </c>
      <c r="AI1200" s="168">
        <f>IF(BetTable[Outcome]="",AI1199,BetTable[Result]+AI1199)</f>
        <v>2274.5227499999992</v>
      </c>
      <c r="AJ1200" s="160"/>
    </row>
    <row r="1201" spans="1:36" x14ac:dyDescent="0.2">
      <c r="A1201" s="159" t="s">
        <v>2791</v>
      </c>
      <c r="B1201" s="160" t="s">
        <v>7</v>
      </c>
      <c r="C1201" s="161" t="s">
        <v>1714</v>
      </c>
      <c r="D1201" s="161"/>
      <c r="E1201" s="161"/>
      <c r="F1201" s="162"/>
      <c r="G1201" s="162"/>
      <c r="H1201" s="162"/>
      <c r="I1201" s="160" t="s">
        <v>2948</v>
      </c>
      <c r="J1201" s="163">
        <v>1.84</v>
      </c>
      <c r="K1201" s="163"/>
      <c r="L1201" s="163"/>
      <c r="M1201" s="164">
        <v>57</v>
      </c>
      <c r="N1201" s="164"/>
      <c r="O1201" s="164"/>
      <c r="P1201" s="159" t="s">
        <v>2949</v>
      </c>
      <c r="Q1201" s="159" t="s">
        <v>482</v>
      </c>
      <c r="R1201" s="159" t="s">
        <v>2950</v>
      </c>
      <c r="S1201" s="165">
        <v>2.9481527274188599E-2</v>
      </c>
      <c r="T1201" s="166" t="s">
        <v>382</v>
      </c>
      <c r="U1201" s="166"/>
      <c r="V1201" s="166"/>
      <c r="W1201" s="167">
        <f>IF(BetTable[Sport]="","",BetTable[Stake]+BetTable[S2]+BetTable[S3])</f>
        <v>57</v>
      </c>
      <c r="X1201" s="164">
        <f>IF(BetTable[Odds]="","",(BetTable[WBA1-Commission])-BetTable[TS])</f>
        <v>47.879999999999995</v>
      </c>
      <c r="Y1201" s="168">
        <f>IF(BetTable[Outcome]="","",BetTable[WBA1]+BetTable[WBA2]+BetTable[WBA3]-BetTable[TS])</f>
        <v>-57</v>
      </c>
      <c r="Z1201" s="164">
        <f>(((BetTable[Odds]-1)*BetTable[Stake])*(1-(BetTable[Comm %]))+BetTable[Stake])</f>
        <v>104.88</v>
      </c>
      <c r="AA1201" s="164">
        <f>(((BetTable[O2]-1)*BetTable[S2])*(1-(BetTable[C% 2]))+BetTable[S2])</f>
        <v>0</v>
      </c>
      <c r="AB1201" s="164">
        <f>(((BetTable[O3]-1)*BetTable[S3])*(1-(BetTable[C% 3]))+BetTable[S3])</f>
        <v>0</v>
      </c>
      <c r="AC1201" s="165">
        <f>IFERROR(IF(BetTable[Sport]="","",BetTable[R1]/BetTable[TS]),"")</f>
        <v>0.84</v>
      </c>
      <c r="AD1201" s="165" t="str">
        <f>IF(BetTable[O2]="","",#REF!/BetTable[TS])</f>
        <v/>
      </c>
      <c r="AE1201" s="165" t="str">
        <f>IFERROR(IF(BetTable[Sport]="","",#REF!/BetTable[TS]),"")</f>
        <v/>
      </c>
      <c r="AF1201" s="164">
        <f>IF(BetTable[Outcome]="Win",BetTable[WBA1-Commission],IF(BetTable[Outcome]="Win Half Stake",(BetTable[Stake]/2)+BetTable[WBA1-Commission]/2,IF(BetTable[Outcome]="Lose Half Stake",BetTable[Stake]/2,IF(BetTable[Outcome]="Lose",0,IF(BetTable[Outcome]="Void",BetTable[Stake],)))))</f>
        <v>0</v>
      </c>
      <c r="AG1201" s="164">
        <f>IF(BetTable[Outcome2]="Win",BetTable[WBA2-Commission],IF(BetTable[Outcome2]="Win Half Stake",(BetTable[S2]/2)+BetTable[WBA2-Commission]/2,IF(BetTable[Outcome2]="Lose Half Stake",BetTable[S2]/2,IF(BetTable[Outcome2]="Lose",0,IF(BetTable[Outcome2]="Void",BetTable[S2],)))))</f>
        <v>0</v>
      </c>
      <c r="AH1201" s="164">
        <f>IF(BetTable[Outcome3]="Win",BetTable[WBA3-Commission],IF(BetTable[Outcome3]="Win Half Stake",(BetTable[S3]/2)+BetTable[WBA3-Commission]/2,IF(BetTable[Outcome3]="Lose Half Stake",BetTable[S3]/2,IF(BetTable[Outcome3]="Lose",0,IF(BetTable[Outcome3]="Void",BetTable[S3],)))))</f>
        <v>0</v>
      </c>
      <c r="AI1201" s="168">
        <f>IF(BetTable[Outcome]="",AI1200,BetTable[Result]+AI1200)</f>
        <v>2217.5227499999992</v>
      </c>
      <c r="AJ1201" s="160"/>
    </row>
    <row r="1202" spans="1:36" x14ac:dyDescent="0.2">
      <c r="A1202" s="159" t="s">
        <v>2791</v>
      </c>
      <c r="B1202" s="160" t="s">
        <v>200</v>
      </c>
      <c r="C1202" s="161" t="s">
        <v>1714</v>
      </c>
      <c r="D1202" s="161"/>
      <c r="E1202" s="161"/>
      <c r="F1202" s="162"/>
      <c r="G1202" s="162"/>
      <c r="H1202" s="162"/>
      <c r="I1202" s="160" t="s">
        <v>2951</v>
      </c>
      <c r="J1202" s="163">
        <v>2.0099999999999998</v>
      </c>
      <c r="K1202" s="163"/>
      <c r="L1202" s="163"/>
      <c r="M1202" s="164">
        <v>41</v>
      </c>
      <c r="N1202" s="164"/>
      <c r="O1202" s="164"/>
      <c r="P1202" s="159" t="s">
        <v>864</v>
      </c>
      <c r="Q1202" s="159" t="s">
        <v>1763</v>
      </c>
      <c r="R1202" s="159" t="s">
        <v>2952</v>
      </c>
      <c r="S1202" s="165">
        <v>2.3411463917943701E-2</v>
      </c>
      <c r="T1202" s="166" t="s">
        <v>549</v>
      </c>
      <c r="U1202" s="166"/>
      <c r="V1202" s="166"/>
      <c r="W1202" s="167">
        <f>IF(BetTable[Sport]="","",BetTable[Stake]+BetTable[S2]+BetTable[S3])</f>
        <v>41</v>
      </c>
      <c r="X1202" s="164">
        <f>IF(BetTable[Odds]="","",(BetTable[WBA1-Commission])-BetTable[TS])</f>
        <v>41.41</v>
      </c>
      <c r="Y1202" s="168">
        <f>IF(BetTable[Outcome]="","",BetTable[WBA1]+BetTable[WBA2]+BetTable[WBA3]-BetTable[TS])</f>
        <v>-20.5</v>
      </c>
      <c r="Z1202" s="164">
        <f>(((BetTable[Odds]-1)*BetTable[Stake])*(1-(BetTable[Comm %]))+BetTable[Stake])</f>
        <v>82.41</v>
      </c>
      <c r="AA1202" s="164">
        <f>(((BetTable[O2]-1)*BetTable[S2])*(1-(BetTable[C% 2]))+BetTable[S2])</f>
        <v>0</v>
      </c>
      <c r="AB1202" s="164">
        <f>(((BetTable[O3]-1)*BetTable[S3])*(1-(BetTable[C% 3]))+BetTable[S3])</f>
        <v>0</v>
      </c>
      <c r="AC1202" s="165">
        <f>IFERROR(IF(BetTable[Sport]="","",BetTable[R1]/BetTable[TS]),"")</f>
        <v>1.01</v>
      </c>
      <c r="AD1202" s="165" t="str">
        <f>IF(BetTable[O2]="","",#REF!/BetTable[TS])</f>
        <v/>
      </c>
      <c r="AE1202" s="165" t="str">
        <f>IFERROR(IF(BetTable[Sport]="","",#REF!/BetTable[TS]),"")</f>
        <v/>
      </c>
      <c r="AF1202" s="164">
        <f>IF(BetTable[Outcome]="Win",BetTable[WBA1-Commission],IF(BetTable[Outcome]="Win Half Stake",(BetTable[Stake]/2)+BetTable[WBA1-Commission]/2,IF(BetTable[Outcome]="Lose Half Stake",BetTable[Stake]/2,IF(BetTable[Outcome]="Lose",0,IF(BetTable[Outcome]="Void",BetTable[Stake],)))))</f>
        <v>20.5</v>
      </c>
      <c r="AG1202" s="164">
        <f>IF(BetTable[Outcome2]="Win",BetTable[WBA2-Commission],IF(BetTable[Outcome2]="Win Half Stake",(BetTable[S2]/2)+BetTable[WBA2-Commission]/2,IF(BetTable[Outcome2]="Lose Half Stake",BetTable[S2]/2,IF(BetTable[Outcome2]="Lose",0,IF(BetTable[Outcome2]="Void",BetTable[S2],)))))</f>
        <v>0</v>
      </c>
      <c r="AH1202" s="164">
        <f>IF(BetTable[Outcome3]="Win",BetTable[WBA3-Commission],IF(BetTable[Outcome3]="Win Half Stake",(BetTable[S3]/2)+BetTable[WBA3-Commission]/2,IF(BetTable[Outcome3]="Lose Half Stake",BetTable[S3]/2,IF(BetTable[Outcome3]="Lose",0,IF(BetTable[Outcome3]="Void",BetTable[S3],)))))</f>
        <v>0</v>
      </c>
      <c r="AI1202" s="168">
        <f>IF(BetTable[Outcome]="",AI1201,BetTable[Result]+AI1201)</f>
        <v>2197.0227499999992</v>
      </c>
      <c r="AJ1202" s="160"/>
    </row>
    <row r="1203" spans="1:36" x14ac:dyDescent="0.2">
      <c r="A1203" s="159" t="s">
        <v>2791</v>
      </c>
      <c r="B1203" s="160" t="s">
        <v>200</v>
      </c>
      <c r="C1203" s="161" t="s">
        <v>1714</v>
      </c>
      <c r="D1203" s="161"/>
      <c r="E1203" s="161"/>
      <c r="F1203" s="162"/>
      <c r="G1203" s="162"/>
      <c r="H1203" s="162"/>
      <c r="I1203" s="160" t="s">
        <v>2953</v>
      </c>
      <c r="J1203" s="163">
        <v>1.31</v>
      </c>
      <c r="K1203" s="163"/>
      <c r="L1203" s="163"/>
      <c r="M1203" s="164">
        <v>97</v>
      </c>
      <c r="N1203" s="164"/>
      <c r="O1203" s="164"/>
      <c r="P1203" s="159" t="s">
        <v>428</v>
      </c>
      <c r="Q1203" s="159" t="s">
        <v>474</v>
      </c>
      <c r="R1203" s="159" t="s">
        <v>2954</v>
      </c>
      <c r="S1203" s="165">
        <v>1.6845766170067E-2</v>
      </c>
      <c r="T1203" s="166" t="s">
        <v>372</v>
      </c>
      <c r="U1203" s="166"/>
      <c r="V1203" s="166"/>
      <c r="W1203" s="167">
        <f>IF(BetTable[Sport]="","",BetTable[Stake]+BetTable[S2]+BetTable[S3])</f>
        <v>97</v>
      </c>
      <c r="X1203" s="164">
        <f>IF(BetTable[Odds]="","",(BetTable[WBA1-Commission])-BetTable[TS])</f>
        <v>30.070000000000007</v>
      </c>
      <c r="Y1203" s="168">
        <f>IF(BetTable[Outcome]="","",BetTable[WBA1]+BetTable[WBA2]+BetTable[WBA3]-BetTable[TS])</f>
        <v>30.070000000000007</v>
      </c>
      <c r="Z1203" s="164">
        <f>(((BetTable[Odds]-1)*BetTable[Stake])*(1-(BetTable[Comm %]))+BetTable[Stake])</f>
        <v>127.07000000000001</v>
      </c>
      <c r="AA1203" s="164">
        <f>(((BetTable[O2]-1)*BetTable[S2])*(1-(BetTable[C% 2]))+BetTable[S2])</f>
        <v>0</v>
      </c>
      <c r="AB1203" s="164">
        <f>(((BetTable[O3]-1)*BetTable[S3])*(1-(BetTable[C% 3]))+BetTable[S3])</f>
        <v>0</v>
      </c>
      <c r="AC1203" s="165">
        <f>IFERROR(IF(BetTable[Sport]="","",BetTable[R1]/BetTable[TS]),"")</f>
        <v>0.31000000000000005</v>
      </c>
      <c r="AD1203" s="165" t="str">
        <f>IF(BetTable[O2]="","",#REF!/BetTable[TS])</f>
        <v/>
      </c>
      <c r="AE1203" s="165" t="str">
        <f>IFERROR(IF(BetTable[Sport]="","",#REF!/BetTable[TS]),"")</f>
        <v/>
      </c>
      <c r="AF1203" s="164">
        <f>IF(BetTable[Outcome]="Win",BetTable[WBA1-Commission],IF(BetTable[Outcome]="Win Half Stake",(BetTable[Stake]/2)+BetTable[WBA1-Commission]/2,IF(BetTable[Outcome]="Lose Half Stake",BetTable[Stake]/2,IF(BetTable[Outcome]="Lose",0,IF(BetTable[Outcome]="Void",BetTable[Stake],)))))</f>
        <v>127.07000000000001</v>
      </c>
      <c r="AG1203" s="164">
        <f>IF(BetTable[Outcome2]="Win",BetTable[WBA2-Commission],IF(BetTable[Outcome2]="Win Half Stake",(BetTable[S2]/2)+BetTable[WBA2-Commission]/2,IF(BetTable[Outcome2]="Lose Half Stake",BetTable[S2]/2,IF(BetTable[Outcome2]="Lose",0,IF(BetTable[Outcome2]="Void",BetTable[S2],)))))</f>
        <v>0</v>
      </c>
      <c r="AH1203" s="164">
        <f>IF(BetTable[Outcome3]="Win",BetTable[WBA3-Commission],IF(BetTable[Outcome3]="Win Half Stake",(BetTable[S3]/2)+BetTable[WBA3-Commission]/2,IF(BetTable[Outcome3]="Lose Half Stake",BetTable[S3]/2,IF(BetTable[Outcome3]="Lose",0,IF(BetTable[Outcome3]="Void",BetTable[S3],)))))</f>
        <v>0</v>
      </c>
      <c r="AI1203" s="168">
        <f>IF(BetTable[Outcome]="",AI1202,BetTable[Result]+AI1202)</f>
        <v>2227.0927499999993</v>
      </c>
      <c r="AJ1203" s="160"/>
    </row>
    <row r="1204" spans="1:36" x14ac:dyDescent="0.2">
      <c r="A1204" s="159" t="s">
        <v>2791</v>
      </c>
      <c r="B1204" s="160" t="s">
        <v>7</v>
      </c>
      <c r="C1204" s="161" t="s">
        <v>1714</v>
      </c>
      <c r="D1204" s="161"/>
      <c r="E1204" s="161"/>
      <c r="F1204" s="162"/>
      <c r="G1204" s="162"/>
      <c r="H1204" s="162"/>
      <c r="I1204" s="160" t="s">
        <v>2955</v>
      </c>
      <c r="J1204" s="163">
        <v>1.92</v>
      </c>
      <c r="K1204" s="163"/>
      <c r="L1204" s="163"/>
      <c r="M1204" s="164">
        <v>33</v>
      </c>
      <c r="N1204" s="164"/>
      <c r="O1204" s="164"/>
      <c r="P1204" s="159" t="s">
        <v>1599</v>
      </c>
      <c r="Q1204" s="159" t="s">
        <v>482</v>
      </c>
      <c r="R1204" s="159" t="s">
        <v>2956</v>
      </c>
      <c r="S1204" s="165">
        <v>1.6979950146099501E-2</v>
      </c>
      <c r="T1204" s="166" t="s">
        <v>382</v>
      </c>
      <c r="U1204" s="166"/>
      <c r="V1204" s="166"/>
      <c r="W1204" s="167">
        <f>IF(BetTable[Sport]="","",BetTable[Stake]+BetTable[S2]+BetTable[S3])</f>
        <v>33</v>
      </c>
      <c r="X1204" s="164">
        <f>IF(BetTable[Odds]="","",(BetTable[WBA1-Commission])-BetTable[TS])</f>
        <v>30.36</v>
      </c>
      <c r="Y1204" s="168">
        <f>IF(BetTable[Outcome]="","",BetTable[WBA1]+BetTable[WBA2]+BetTable[WBA3]-BetTable[TS])</f>
        <v>-33</v>
      </c>
      <c r="Z1204" s="164">
        <f>(((BetTable[Odds]-1)*BetTable[Stake])*(1-(BetTable[Comm %]))+BetTable[Stake])</f>
        <v>63.36</v>
      </c>
      <c r="AA1204" s="164">
        <f>(((BetTable[O2]-1)*BetTable[S2])*(1-(BetTable[C% 2]))+BetTable[S2])</f>
        <v>0</v>
      </c>
      <c r="AB1204" s="164">
        <f>(((BetTable[O3]-1)*BetTable[S3])*(1-(BetTable[C% 3]))+BetTable[S3])</f>
        <v>0</v>
      </c>
      <c r="AC1204" s="165">
        <f>IFERROR(IF(BetTable[Sport]="","",BetTable[R1]/BetTable[TS]),"")</f>
        <v>0.91999999999999993</v>
      </c>
      <c r="AD1204" s="165" t="str">
        <f>IF(BetTable[O2]="","",#REF!/BetTable[TS])</f>
        <v/>
      </c>
      <c r="AE1204" s="165" t="str">
        <f>IFERROR(IF(BetTable[Sport]="","",#REF!/BetTable[TS]),"")</f>
        <v/>
      </c>
      <c r="AF1204" s="164">
        <f>IF(BetTable[Outcome]="Win",BetTable[WBA1-Commission],IF(BetTable[Outcome]="Win Half Stake",(BetTable[Stake]/2)+BetTable[WBA1-Commission]/2,IF(BetTable[Outcome]="Lose Half Stake",BetTable[Stake]/2,IF(BetTable[Outcome]="Lose",0,IF(BetTable[Outcome]="Void",BetTable[Stake],)))))</f>
        <v>0</v>
      </c>
      <c r="AG1204" s="164">
        <f>IF(BetTable[Outcome2]="Win",BetTable[WBA2-Commission],IF(BetTable[Outcome2]="Win Half Stake",(BetTable[S2]/2)+BetTable[WBA2-Commission]/2,IF(BetTable[Outcome2]="Lose Half Stake",BetTable[S2]/2,IF(BetTable[Outcome2]="Lose",0,IF(BetTable[Outcome2]="Void",BetTable[S2],)))))</f>
        <v>0</v>
      </c>
      <c r="AH1204" s="164">
        <f>IF(BetTable[Outcome3]="Win",BetTable[WBA3-Commission],IF(BetTable[Outcome3]="Win Half Stake",(BetTable[S3]/2)+BetTable[WBA3-Commission]/2,IF(BetTable[Outcome3]="Lose Half Stake",BetTable[S3]/2,IF(BetTable[Outcome3]="Lose",0,IF(BetTable[Outcome3]="Void",BetTable[S3],)))))</f>
        <v>0</v>
      </c>
      <c r="AI1204" s="168">
        <f>IF(BetTable[Outcome]="",AI1203,BetTable[Result]+AI1203)</f>
        <v>2194.0927499999993</v>
      </c>
      <c r="AJ1204" s="160"/>
    </row>
    <row r="1205" spans="1:36" x14ac:dyDescent="0.2">
      <c r="A1205" s="159" t="s">
        <v>2791</v>
      </c>
      <c r="B1205" s="160" t="s">
        <v>200</v>
      </c>
      <c r="C1205" s="161" t="s">
        <v>1714</v>
      </c>
      <c r="D1205" s="161"/>
      <c r="E1205" s="161"/>
      <c r="F1205" s="162"/>
      <c r="G1205" s="162"/>
      <c r="H1205" s="162"/>
      <c r="I1205" s="160" t="s">
        <v>2957</v>
      </c>
      <c r="J1205" s="163">
        <v>1.73</v>
      </c>
      <c r="K1205" s="163"/>
      <c r="L1205" s="163"/>
      <c r="M1205" s="164">
        <v>50</v>
      </c>
      <c r="N1205" s="164"/>
      <c r="O1205" s="164"/>
      <c r="P1205" s="159" t="s">
        <v>1572</v>
      </c>
      <c r="Q1205" s="159" t="s">
        <v>474</v>
      </c>
      <c r="R1205" s="159" t="s">
        <v>2958</v>
      </c>
      <c r="S1205" s="165">
        <v>2.0580160501322199E-2</v>
      </c>
      <c r="T1205" s="166" t="s">
        <v>382</v>
      </c>
      <c r="U1205" s="166"/>
      <c r="V1205" s="166"/>
      <c r="W1205" s="167">
        <f>IF(BetTable[Sport]="","",BetTable[Stake]+BetTable[S2]+BetTable[S3])</f>
        <v>50</v>
      </c>
      <c r="X1205" s="164">
        <f>IF(BetTable[Odds]="","",(BetTable[WBA1-Commission])-BetTable[TS])</f>
        <v>36.5</v>
      </c>
      <c r="Y1205" s="168">
        <f>IF(BetTable[Outcome]="","",BetTable[WBA1]+BetTable[WBA2]+BetTable[WBA3]-BetTable[TS])</f>
        <v>-50</v>
      </c>
      <c r="Z1205" s="164">
        <f>(((BetTable[Odds]-1)*BetTable[Stake])*(1-(BetTable[Comm %]))+BetTable[Stake])</f>
        <v>86.5</v>
      </c>
      <c r="AA1205" s="164">
        <f>(((BetTable[O2]-1)*BetTable[S2])*(1-(BetTable[C% 2]))+BetTable[S2])</f>
        <v>0</v>
      </c>
      <c r="AB1205" s="164">
        <f>(((BetTable[O3]-1)*BetTable[S3])*(1-(BetTable[C% 3]))+BetTable[S3])</f>
        <v>0</v>
      </c>
      <c r="AC1205" s="165">
        <f>IFERROR(IF(BetTable[Sport]="","",BetTable[R1]/BetTable[TS]),"")</f>
        <v>0.73</v>
      </c>
      <c r="AD1205" s="165" t="str">
        <f>IF(BetTable[O2]="","",#REF!/BetTable[TS])</f>
        <v/>
      </c>
      <c r="AE1205" s="165" t="str">
        <f>IFERROR(IF(BetTable[Sport]="","",#REF!/BetTable[TS]),"")</f>
        <v/>
      </c>
      <c r="AF1205" s="164">
        <f>IF(BetTable[Outcome]="Win",BetTable[WBA1-Commission],IF(BetTable[Outcome]="Win Half Stake",(BetTable[Stake]/2)+BetTable[WBA1-Commission]/2,IF(BetTable[Outcome]="Lose Half Stake",BetTable[Stake]/2,IF(BetTable[Outcome]="Lose",0,IF(BetTable[Outcome]="Void",BetTable[Stake],)))))</f>
        <v>0</v>
      </c>
      <c r="AG1205" s="164">
        <f>IF(BetTable[Outcome2]="Win",BetTable[WBA2-Commission],IF(BetTable[Outcome2]="Win Half Stake",(BetTable[S2]/2)+BetTable[WBA2-Commission]/2,IF(BetTable[Outcome2]="Lose Half Stake",BetTable[S2]/2,IF(BetTable[Outcome2]="Lose",0,IF(BetTable[Outcome2]="Void",BetTable[S2],)))))</f>
        <v>0</v>
      </c>
      <c r="AH1205" s="164">
        <f>IF(BetTable[Outcome3]="Win",BetTable[WBA3-Commission],IF(BetTable[Outcome3]="Win Half Stake",(BetTable[S3]/2)+BetTable[WBA3-Commission]/2,IF(BetTable[Outcome3]="Lose Half Stake",BetTable[S3]/2,IF(BetTable[Outcome3]="Lose",0,IF(BetTable[Outcome3]="Void",BetTable[S3],)))))</f>
        <v>0</v>
      </c>
      <c r="AI1205" s="168">
        <f>IF(BetTable[Outcome]="",AI1204,BetTable[Result]+AI1204)</f>
        <v>2144.0927499999993</v>
      </c>
      <c r="AJ1205" s="160"/>
    </row>
    <row r="1206" spans="1:36" x14ac:dyDescent="0.2">
      <c r="A1206" s="159" t="s">
        <v>2791</v>
      </c>
      <c r="B1206" s="160" t="s">
        <v>200</v>
      </c>
      <c r="C1206" s="161" t="s">
        <v>1714</v>
      </c>
      <c r="D1206" s="161"/>
      <c r="E1206" s="161"/>
      <c r="F1206" s="162"/>
      <c r="G1206" s="162"/>
      <c r="H1206" s="162"/>
      <c r="I1206" s="160" t="s">
        <v>2959</v>
      </c>
      <c r="J1206" s="163">
        <v>2</v>
      </c>
      <c r="K1206" s="163"/>
      <c r="L1206" s="163"/>
      <c r="M1206" s="164">
        <v>60</v>
      </c>
      <c r="N1206" s="164"/>
      <c r="O1206" s="164"/>
      <c r="P1206" s="159" t="s">
        <v>448</v>
      </c>
      <c r="Q1206" s="159" t="s">
        <v>540</v>
      </c>
      <c r="R1206" s="159" t="s">
        <v>2960</v>
      </c>
      <c r="S1206" s="165">
        <v>3.3574332369450503E-2</v>
      </c>
      <c r="T1206" s="166" t="s">
        <v>372</v>
      </c>
      <c r="U1206" s="166"/>
      <c r="V1206" s="166"/>
      <c r="W1206" s="167">
        <f>IF(BetTable[Sport]="","",BetTable[Stake]+BetTable[S2]+BetTable[S3])</f>
        <v>60</v>
      </c>
      <c r="X1206" s="164">
        <f>IF(BetTable[Odds]="","",(BetTable[WBA1-Commission])-BetTable[TS])</f>
        <v>60</v>
      </c>
      <c r="Y1206" s="168">
        <f>IF(BetTable[Outcome]="","",BetTable[WBA1]+BetTable[WBA2]+BetTable[WBA3]-BetTable[TS])</f>
        <v>60</v>
      </c>
      <c r="Z1206" s="164">
        <f>(((BetTable[Odds]-1)*BetTable[Stake])*(1-(BetTable[Comm %]))+BetTable[Stake])</f>
        <v>120</v>
      </c>
      <c r="AA1206" s="164">
        <f>(((BetTable[O2]-1)*BetTable[S2])*(1-(BetTable[C% 2]))+BetTable[S2])</f>
        <v>0</v>
      </c>
      <c r="AB1206" s="164">
        <f>(((BetTable[O3]-1)*BetTable[S3])*(1-(BetTable[C% 3]))+BetTable[S3])</f>
        <v>0</v>
      </c>
      <c r="AC1206" s="165">
        <f>IFERROR(IF(BetTable[Sport]="","",BetTable[R1]/BetTable[TS]),"")</f>
        <v>1</v>
      </c>
      <c r="AD1206" s="165" t="str">
        <f>IF(BetTable[O2]="","",#REF!/BetTable[TS])</f>
        <v/>
      </c>
      <c r="AE1206" s="165" t="str">
        <f>IFERROR(IF(BetTable[Sport]="","",#REF!/BetTable[TS]),"")</f>
        <v/>
      </c>
      <c r="AF1206" s="164">
        <f>IF(BetTable[Outcome]="Win",BetTable[WBA1-Commission],IF(BetTable[Outcome]="Win Half Stake",(BetTable[Stake]/2)+BetTable[WBA1-Commission]/2,IF(BetTable[Outcome]="Lose Half Stake",BetTable[Stake]/2,IF(BetTable[Outcome]="Lose",0,IF(BetTable[Outcome]="Void",BetTable[Stake],)))))</f>
        <v>120</v>
      </c>
      <c r="AG1206" s="164">
        <f>IF(BetTable[Outcome2]="Win",BetTable[WBA2-Commission],IF(BetTable[Outcome2]="Win Half Stake",(BetTable[S2]/2)+BetTable[WBA2-Commission]/2,IF(BetTable[Outcome2]="Lose Half Stake",BetTable[S2]/2,IF(BetTable[Outcome2]="Lose",0,IF(BetTable[Outcome2]="Void",BetTable[S2],)))))</f>
        <v>0</v>
      </c>
      <c r="AH1206" s="164">
        <f>IF(BetTable[Outcome3]="Win",BetTable[WBA3-Commission],IF(BetTable[Outcome3]="Win Half Stake",(BetTable[S3]/2)+BetTable[WBA3-Commission]/2,IF(BetTable[Outcome3]="Lose Half Stake",BetTable[S3]/2,IF(BetTable[Outcome3]="Lose",0,IF(BetTable[Outcome3]="Void",BetTable[S3],)))))</f>
        <v>0</v>
      </c>
      <c r="AI1206" s="168">
        <f>IF(BetTable[Outcome]="",AI1205,BetTable[Result]+AI1205)</f>
        <v>2204.0927499999993</v>
      </c>
      <c r="AJ1206" s="160"/>
    </row>
    <row r="1207" spans="1:36" x14ac:dyDescent="0.2">
      <c r="A1207" s="159" t="s">
        <v>2791</v>
      </c>
      <c r="B1207" s="160" t="s">
        <v>200</v>
      </c>
      <c r="C1207" s="161" t="s">
        <v>1714</v>
      </c>
      <c r="D1207" s="161"/>
      <c r="E1207" s="161"/>
      <c r="F1207" s="162"/>
      <c r="G1207" s="162"/>
      <c r="H1207" s="162"/>
      <c r="I1207" s="160" t="s">
        <v>2961</v>
      </c>
      <c r="J1207" s="163">
        <v>1.75</v>
      </c>
      <c r="K1207" s="163"/>
      <c r="L1207" s="163"/>
      <c r="M1207" s="164">
        <v>47</v>
      </c>
      <c r="N1207" s="164"/>
      <c r="O1207" s="164"/>
      <c r="P1207" s="159" t="s">
        <v>498</v>
      </c>
      <c r="Q1207" s="159" t="s">
        <v>540</v>
      </c>
      <c r="R1207" s="159" t="s">
        <v>2962</v>
      </c>
      <c r="S1207" s="165">
        <v>1.9785750166021299E-2</v>
      </c>
      <c r="T1207" s="166" t="s">
        <v>372</v>
      </c>
      <c r="U1207" s="166"/>
      <c r="V1207" s="166"/>
      <c r="W1207" s="167">
        <f>IF(BetTable[Sport]="","",BetTable[Stake]+BetTable[S2]+BetTable[S3])</f>
        <v>47</v>
      </c>
      <c r="X1207" s="164">
        <f>IF(BetTable[Odds]="","",(BetTable[WBA1-Commission])-BetTable[TS])</f>
        <v>35.25</v>
      </c>
      <c r="Y1207" s="168">
        <f>IF(BetTable[Outcome]="","",BetTable[WBA1]+BetTable[WBA2]+BetTable[WBA3]-BetTable[TS])</f>
        <v>35.25</v>
      </c>
      <c r="Z1207" s="164">
        <f>(((BetTable[Odds]-1)*BetTable[Stake])*(1-(BetTable[Comm %]))+BetTable[Stake])</f>
        <v>82.25</v>
      </c>
      <c r="AA1207" s="164">
        <f>(((BetTable[O2]-1)*BetTable[S2])*(1-(BetTable[C% 2]))+BetTable[S2])</f>
        <v>0</v>
      </c>
      <c r="AB1207" s="164">
        <f>(((BetTable[O3]-1)*BetTable[S3])*(1-(BetTable[C% 3]))+BetTable[S3])</f>
        <v>0</v>
      </c>
      <c r="AC1207" s="165">
        <f>IFERROR(IF(BetTable[Sport]="","",BetTable[R1]/BetTable[TS]),"")</f>
        <v>0.75</v>
      </c>
      <c r="AD1207" s="165" t="str">
        <f>IF(BetTable[O2]="","",#REF!/BetTable[TS])</f>
        <v/>
      </c>
      <c r="AE1207" s="165" t="str">
        <f>IFERROR(IF(BetTable[Sport]="","",#REF!/BetTable[TS]),"")</f>
        <v/>
      </c>
      <c r="AF1207" s="164">
        <f>IF(BetTable[Outcome]="Win",BetTable[WBA1-Commission],IF(BetTable[Outcome]="Win Half Stake",(BetTable[Stake]/2)+BetTable[WBA1-Commission]/2,IF(BetTable[Outcome]="Lose Half Stake",BetTable[Stake]/2,IF(BetTable[Outcome]="Lose",0,IF(BetTable[Outcome]="Void",BetTable[Stake],)))))</f>
        <v>82.25</v>
      </c>
      <c r="AG1207" s="164">
        <f>IF(BetTable[Outcome2]="Win",BetTable[WBA2-Commission],IF(BetTable[Outcome2]="Win Half Stake",(BetTable[S2]/2)+BetTable[WBA2-Commission]/2,IF(BetTable[Outcome2]="Lose Half Stake",BetTable[S2]/2,IF(BetTable[Outcome2]="Lose",0,IF(BetTable[Outcome2]="Void",BetTable[S2],)))))</f>
        <v>0</v>
      </c>
      <c r="AH1207" s="164">
        <f>IF(BetTable[Outcome3]="Win",BetTable[WBA3-Commission],IF(BetTable[Outcome3]="Win Half Stake",(BetTable[S3]/2)+BetTable[WBA3-Commission]/2,IF(BetTable[Outcome3]="Lose Half Stake",BetTable[S3]/2,IF(BetTable[Outcome3]="Lose",0,IF(BetTable[Outcome3]="Void",BetTable[S3],)))))</f>
        <v>0</v>
      </c>
      <c r="AI1207" s="168">
        <f>IF(BetTable[Outcome]="",AI1206,BetTable[Result]+AI1206)</f>
        <v>2239.3427499999993</v>
      </c>
      <c r="AJ1207" s="160"/>
    </row>
    <row r="1208" spans="1:36" x14ac:dyDescent="0.2">
      <c r="A1208" s="159" t="s">
        <v>2791</v>
      </c>
      <c r="B1208" s="160" t="s">
        <v>7</v>
      </c>
      <c r="C1208" s="161" t="s">
        <v>91</v>
      </c>
      <c r="D1208" s="161"/>
      <c r="E1208" s="161"/>
      <c r="F1208" s="162"/>
      <c r="G1208" s="162"/>
      <c r="H1208" s="162"/>
      <c r="I1208" s="160" t="s">
        <v>2963</v>
      </c>
      <c r="J1208" s="163">
        <v>1.86</v>
      </c>
      <c r="K1208" s="163"/>
      <c r="L1208" s="163"/>
      <c r="M1208" s="164">
        <v>64</v>
      </c>
      <c r="N1208" s="164"/>
      <c r="O1208" s="164"/>
      <c r="P1208" s="159" t="s">
        <v>2964</v>
      </c>
      <c r="Q1208" s="159" t="s">
        <v>968</v>
      </c>
      <c r="R1208" s="159" t="s">
        <v>2965</v>
      </c>
      <c r="S1208" s="165">
        <v>3.9940504218506798E-2</v>
      </c>
      <c r="T1208" s="166" t="s">
        <v>372</v>
      </c>
      <c r="U1208" s="166"/>
      <c r="V1208" s="166"/>
      <c r="W1208" s="167">
        <f>IF(BetTable[Sport]="","",BetTable[Stake]+BetTable[S2]+BetTable[S3])</f>
        <v>64</v>
      </c>
      <c r="X1208" s="164">
        <f>IF(BetTable[Odds]="","",(BetTable[WBA1-Commission])-BetTable[TS])</f>
        <v>55.040000000000006</v>
      </c>
      <c r="Y1208" s="168">
        <f>IF(BetTable[Outcome]="","",BetTable[WBA1]+BetTable[WBA2]+BetTable[WBA3]-BetTable[TS])</f>
        <v>55.040000000000006</v>
      </c>
      <c r="Z1208" s="164">
        <f>(((BetTable[Odds]-1)*BetTable[Stake])*(1-(BetTable[Comm %]))+BetTable[Stake])</f>
        <v>119.04</v>
      </c>
      <c r="AA1208" s="164">
        <f>(((BetTable[O2]-1)*BetTable[S2])*(1-(BetTable[C% 2]))+BetTable[S2])</f>
        <v>0</v>
      </c>
      <c r="AB1208" s="164">
        <f>(((BetTable[O3]-1)*BetTable[S3])*(1-(BetTable[C% 3]))+BetTable[S3])</f>
        <v>0</v>
      </c>
      <c r="AC1208" s="165">
        <f>IFERROR(IF(BetTable[Sport]="","",BetTable[R1]/BetTable[TS]),"")</f>
        <v>0.8600000000000001</v>
      </c>
      <c r="AD1208" s="165" t="str">
        <f>IF(BetTable[O2]="","",#REF!/BetTable[TS])</f>
        <v/>
      </c>
      <c r="AE1208" s="165" t="str">
        <f>IFERROR(IF(BetTable[Sport]="","",#REF!/BetTable[TS]),"")</f>
        <v/>
      </c>
      <c r="AF1208" s="164">
        <f>IF(BetTable[Outcome]="Win",BetTable[WBA1-Commission],IF(BetTable[Outcome]="Win Half Stake",(BetTable[Stake]/2)+BetTable[WBA1-Commission]/2,IF(BetTable[Outcome]="Lose Half Stake",BetTable[Stake]/2,IF(BetTable[Outcome]="Lose",0,IF(BetTable[Outcome]="Void",BetTable[Stake],)))))</f>
        <v>119.04</v>
      </c>
      <c r="AG1208" s="164">
        <f>IF(BetTable[Outcome2]="Win",BetTable[WBA2-Commission],IF(BetTable[Outcome2]="Win Half Stake",(BetTable[S2]/2)+BetTable[WBA2-Commission]/2,IF(BetTable[Outcome2]="Lose Half Stake",BetTable[S2]/2,IF(BetTable[Outcome2]="Lose",0,IF(BetTable[Outcome2]="Void",BetTable[S2],)))))</f>
        <v>0</v>
      </c>
      <c r="AH1208" s="164">
        <f>IF(BetTable[Outcome3]="Win",BetTable[WBA3-Commission],IF(BetTable[Outcome3]="Win Half Stake",(BetTable[S3]/2)+BetTable[WBA3-Commission]/2,IF(BetTable[Outcome3]="Lose Half Stake",BetTable[S3]/2,IF(BetTable[Outcome3]="Lose",0,IF(BetTable[Outcome3]="Void",BetTable[S3],)))))</f>
        <v>0</v>
      </c>
      <c r="AI1208" s="168">
        <f>IF(BetTable[Outcome]="",AI1207,BetTable[Result]+AI1207)</f>
        <v>2294.3827499999993</v>
      </c>
      <c r="AJ1208" s="160"/>
    </row>
    <row r="1209" spans="1:36" x14ac:dyDescent="0.2">
      <c r="A1209" s="159" t="s">
        <v>2791</v>
      </c>
      <c r="B1209" s="160" t="s">
        <v>200</v>
      </c>
      <c r="C1209" s="161" t="s">
        <v>1714</v>
      </c>
      <c r="D1209" s="161"/>
      <c r="E1209" s="161"/>
      <c r="F1209" s="162"/>
      <c r="G1209" s="162"/>
      <c r="H1209" s="162"/>
      <c r="I1209" s="160" t="s">
        <v>2966</v>
      </c>
      <c r="J1209" s="163">
        <v>2.08</v>
      </c>
      <c r="K1209" s="163"/>
      <c r="L1209" s="163"/>
      <c r="M1209" s="164">
        <v>54</v>
      </c>
      <c r="N1209" s="164"/>
      <c r="O1209" s="164"/>
      <c r="P1209" s="159" t="s">
        <v>543</v>
      </c>
      <c r="Q1209" s="159" t="s">
        <v>773</v>
      </c>
      <c r="R1209" s="159" t="s">
        <v>2967</v>
      </c>
      <c r="S1209" s="165">
        <v>3.30263183189662E-2</v>
      </c>
      <c r="T1209" s="166" t="s">
        <v>383</v>
      </c>
      <c r="U1209" s="166"/>
      <c r="V1209" s="166"/>
      <c r="W1209" s="167">
        <f>IF(BetTable[Sport]="","",BetTable[Stake]+BetTable[S2]+BetTable[S3])</f>
        <v>54</v>
      </c>
      <c r="X1209" s="164">
        <f>IF(BetTable[Odds]="","",(BetTable[WBA1-Commission])-BetTable[TS])</f>
        <v>58.320000000000007</v>
      </c>
      <c r="Y1209" s="168">
        <f>IF(BetTable[Outcome]="","",BetTable[WBA1]+BetTable[WBA2]+BetTable[WBA3]-BetTable[TS])</f>
        <v>0</v>
      </c>
      <c r="Z1209" s="164">
        <f>(((BetTable[Odds]-1)*BetTable[Stake])*(1-(BetTable[Comm %]))+BetTable[Stake])</f>
        <v>112.32000000000001</v>
      </c>
      <c r="AA1209" s="164">
        <f>(((BetTable[O2]-1)*BetTable[S2])*(1-(BetTable[C% 2]))+BetTable[S2])</f>
        <v>0</v>
      </c>
      <c r="AB1209" s="164">
        <f>(((BetTable[O3]-1)*BetTable[S3])*(1-(BetTable[C% 3]))+BetTable[S3])</f>
        <v>0</v>
      </c>
      <c r="AC1209" s="165">
        <f>IFERROR(IF(BetTable[Sport]="","",BetTable[R1]/BetTable[TS]),"")</f>
        <v>1.08</v>
      </c>
      <c r="AD1209" s="165" t="str">
        <f>IF(BetTable[O2]="","",#REF!/BetTable[TS])</f>
        <v/>
      </c>
      <c r="AE1209" s="165" t="str">
        <f>IFERROR(IF(BetTable[Sport]="","",#REF!/BetTable[TS]),"")</f>
        <v/>
      </c>
      <c r="AF1209" s="164">
        <f>IF(BetTable[Outcome]="Win",BetTable[WBA1-Commission],IF(BetTable[Outcome]="Win Half Stake",(BetTable[Stake]/2)+BetTable[WBA1-Commission]/2,IF(BetTable[Outcome]="Lose Half Stake",BetTable[Stake]/2,IF(BetTable[Outcome]="Lose",0,IF(BetTable[Outcome]="Void",BetTable[Stake],)))))</f>
        <v>54</v>
      </c>
      <c r="AG1209" s="164">
        <f>IF(BetTable[Outcome2]="Win",BetTable[WBA2-Commission],IF(BetTable[Outcome2]="Win Half Stake",(BetTable[S2]/2)+BetTable[WBA2-Commission]/2,IF(BetTable[Outcome2]="Lose Half Stake",BetTable[S2]/2,IF(BetTable[Outcome2]="Lose",0,IF(BetTable[Outcome2]="Void",BetTable[S2],)))))</f>
        <v>0</v>
      </c>
      <c r="AH1209" s="164">
        <f>IF(BetTable[Outcome3]="Win",BetTable[WBA3-Commission],IF(BetTable[Outcome3]="Win Half Stake",(BetTable[S3]/2)+BetTable[WBA3-Commission]/2,IF(BetTable[Outcome3]="Lose Half Stake",BetTable[S3]/2,IF(BetTable[Outcome3]="Lose",0,IF(BetTable[Outcome3]="Void",BetTable[S3],)))))</f>
        <v>0</v>
      </c>
      <c r="AI1209" s="168">
        <f>IF(BetTable[Outcome]="",AI1208,BetTable[Result]+AI1208)</f>
        <v>2294.3827499999993</v>
      </c>
      <c r="AJ1209" s="160"/>
    </row>
    <row r="1210" spans="1:36" x14ac:dyDescent="0.2">
      <c r="A1210" s="159" t="s">
        <v>2968</v>
      </c>
      <c r="B1210" s="160" t="s">
        <v>200</v>
      </c>
      <c r="C1210" s="161" t="s">
        <v>1714</v>
      </c>
      <c r="D1210" s="161"/>
      <c r="E1210" s="161"/>
      <c r="F1210" s="162"/>
      <c r="G1210" s="162"/>
      <c r="H1210" s="162"/>
      <c r="I1210" s="160" t="s">
        <v>2969</v>
      </c>
      <c r="J1210" s="163">
        <v>1.6</v>
      </c>
      <c r="K1210" s="163"/>
      <c r="L1210" s="163"/>
      <c r="M1210" s="164">
        <v>67</v>
      </c>
      <c r="N1210" s="164"/>
      <c r="O1210" s="164"/>
      <c r="P1210" s="159" t="s">
        <v>409</v>
      </c>
      <c r="Q1210" s="159" t="s">
        <v>968</v>
      </c>
      <c r="R1210" s="159" t="s">
        <v>2970</v>
      </c>
      <c r="S1210" s="165">
        <v>2.2746051084251599E-2</v>
      </c>
      <c r="T1210" s="166" t="s">
        <v>510</v>
      </c>
      <c r="U1210" s="166"/>
      <c r="V1210" s="166"/>
      <c r="W1210" s="167">
        <f>IF(BetTable[Sport]="","",BetTable[Stake]+BetTable[S2]+BetTable[S3])</f>
        <v>67</v>
      </c>
      <c r="X1210" s="164">
        <f>IF(BetTable[Odds]="","",(BetTable[WBA1-Commission])-BetTable[TS])</f>
        <v>40.200000000000003</v>
      </c>
      <c r="Y1210" s="168">
        <f>IF(BetTable[Outcome]="","",BetTable[WBA1]+BetTable[WBA2]+BetTable[WBA3]-BetTable[TS])</f>
        <v>20.099999999999994</v>
      </c>
      <c r="Z1210" s="164">
        <f>(((BetTable[Odds]-1)*BetTable[Stake])*(1-(BetTable[Comm %]))+BetTable[Stake])</f>
        <v>107.2</v>
      </c>
      <c r="AA1210" s="164">
        <f>(((BetTable[O2]-1)*BetTable[S2])*(1-(BetTable[C% 2]))+BetTable[S2])</f>
        <v>0</v>
      </c>
      <c r="AB1210" s="164">
        <f>(((BetTable[O3]-1)*BetTable[S3])*(1-(BetTable[C% 3]))+BetTable[S3])</f>
        <v>0</v>
      </c>
      <c r="AC1210" s="165">
        <f>IFERROR(IF(BetTable[Sport]="","",BetTable[R1]/BetTable[TS]),"")</f>
        <v>0.60000000000000009</v>
      </c>
      <c r="AD1210" s="165" t="str">
        <f>IF(BetTable[O2]="","",#REF!/BetTable[TS])</f>
        <v/>
      </c>
      <c r="AE1210" s="165" t="str">
        <f>IFERROR(IF(BetTable[Sport]="","",#REF!/BetTable[TS]),"")</f>
        <v/>
      </c>
      <c r="AF1210" s="164">
        <f>IF(BetTable[Outcome]="Win",BetTable[WBA1-Commission],IF(BetTable[Outcome]="Win Half Stake",(BetTable[Stake]/2)+BetTable[WBA1-Commission]/2,IF(BetTable[Outcome]="Lose Half Stake",BetTable[Stake]/2,IF(BetTable[Outcome]="Lose",0,IF(BetTable[Outcome]="Void",BetTable[Stake],)))))</f>
        <v>87.1</v>
      </c>
      <c r="AG1210" s="164">
        <f>IF(BetTable[Outcome2]="Win",BetTable[WBA2-Commission],IF(BetTable[Outcome2]="Win Half Stake",(BetTable[S2]/2)+BetTable[WBA2-Commission]/2,IF(BetTable[Outcome2]="Lose Half Stake",BetTable[S2]/2,IF(BetTable[Outcome2]="Lose",0,IF(BetTable[Outcome2]="Void",BetTable[S2],)))))</f>
        <v>0</v>
      </c>
      <c r="AH1210" s="164">
        <f>IF(BetTable[Outcome3]="Win",BetTable[WBA3-Commission],IF(BetTable[Outcome3]="Win Half Stake",(BetTable[S3]/2)+BetTable[WBA3-Commission]/2,IF(BetTable[Outcome3]="Lose Half Stake",BetTable[S3]/2,IF(BetTable[Outcome3]="Lose",0,IF(BetTable[Outcome3]="Void",BetTable[S3],)))))</f>
        <v>0</v>
      </c>
      <c r="AI1210" s="168">
        <f>IF(BetTable[Outcome]="",AI1209,BetTable[Result]+AI1209)</f>
        <v>2314.4827499999992</v>
      </c>
      <c r="AJ1210" s="160"/>
    </row>
    <row r="1211" spans="1:36" x14ac:dyDescent="0.2">
      <c r="A1211" s="159" t="s">
        <v>2968</v>
      </c>
      <c r="B1211" s="160" t="s">
        <v>7</v>
      </c>
      <c r="C1211" s="161" t="s">
        <v>1714</v>
      </c>
      <c r="D1211" s="161"/>
      <c r="E1211" s="161"/>
      <c r="F1211" s="162"/>
      <c r="G1211" s="162"/>
      <c r="H1211" s="162"/>
      <c r="I1211" s="160" t="s">
        <v>2971</v>
      </c>
      <c r="J1211" s="163">
        <v>2.11</v>
      </c>
      <c r="K1211" s="163"/>
      <c r="L1211" s="163"/>
      <c r="M1211" s="164">
        <v>33</v>
      </c>
      <c r="N1211" s="164"/>
      <c r="O1211" s="164"/>
      <c r="P1211" s="159" t="s">
        <v>1283</v>
      </c>
      <c r="Q1211" s="159" t="s">
        <v>530</v>
      </c>
      <c r="R1211" s="159" t="s">
        <v>2972</v>
      </c>
      <c r="S1211" s="165">
        <v>2.0823232345112699E-2</v>
      </c>
      <c r="T1211" s="166" t="s">
        <v>382</v>
      </c>
      <c r="U1211" s="166"/>
      <c r="V1211" s="166"/>
      <c r="W1211" s="167">
        <f>IF(BetTable[Sport]="","",BetTable[Stake]+BetTable[S2]+BetTable[S3])</f>
        <v>33</v>
      </c>
      <c r="X1211" s="164">
        <f>IF(BetTable[Odds]="","",(BetTable[WBA1-Commission])-BetTable[TS])</f>
        <v>36.629999999999995</v>
      </c>
      <c r="Y1211" s="168">
        <f>IF(BetTable[Outcome]="","",BetTable[WBA1]+BetTable[WBA2]+BetTable[WBA3]-BetTable[TS])</f>
        <v>-33</v>
      </c>
      <c r="Z1211" s="164">
        <f>(((BetTable[Odds]-1)*BetTable[Stake])*(1-(BetTable[Comm %]))+BetTable[Stake])</f>
        <v>69.63</v>
      </c>
      <c r="AA1211" s="164">
        <f>(((BetTable[O2]-1)*BetTable[S2])*(1-(BetTable[C% 2]))+BetTable[S2])</f>
        <v>0</v>
      </c>
      <c r="AB1211" s="164">
        <f>(((BetTable[O3]-1)*BetTable[S3])*(1-(BetTable[C% 3]))+BetTable[S3])</f>
        <v>0</v>
      </c>
      <c r="AC1211" s="165">
        <f>IFERROR(IF(BetTable[Sport]="","",BetTable[R1]/BetTable[TS]),"")</f>
        <v>1.1099999999999999</v>
      </c>
      <c r="AD1211" s="165" t="str">
        <f>IF(BetTable[O2]="","",#REF!/BetTable[TS])</f>
        <v/>
      </c>
      <c r="AE1211" s="165" t="str">
        <f>IFERROR(IF(BetTable[Sport]="","",#REF!/BetTable[TS]),"")</f>
        <v/>
      </c>
      <c r="AF1211" s="164">
        <f>IF(BetTable[Outcome]="Win",BetTable[WBA1-Commission],IF(BetTable[Outcome]="Win Half Stake",(BetTable[Stake]/2)+BetTable[WBA1-Commission]/2,IF(BetTable[Outcome]="Lose Half Stake",BetTable[Stake]/2,IF(BetTable[Outcome]="Lose",0,IF(BetTable[Outcome]="Void",BetTable[Stake],)))))</f>
        <v>0</v>
      </c>
      <c r="AG1211" s="164">
        <f>IF(BetTable[Outcome2]="Win",BetTable[WBA2-Commission],IF(BetTable[Outcome2]="Win Half Stake",(BetTable[S2]/2)+BetTable[WBA2-Commission]/2,IF(BetTable[Outcome2]="Lose Half Stake",BetTable[S2]/2,IF(BetTable[Outcome2]="Lose",0,IF(BetTable[Outcome2]="Void",BetTable[S2],)))))</f>
        <v>0</v>
      </c>
      <c r="AH1211" s="164">
        <f>IF(BetTable[Outcome3]="Win",BetTable[WBA3-Commission],IF(BetTable[Outcome3]="Win Half Stake",(BetTable[S3]/2)+BetTable[WBA3-Commission]/2,IF(BetTable[Outcome3]="Lose Half Stake",BetTable[S3]/2,IF(BetTable[Outcome3]="Lose",0,IF(BetTable[Outcome3]="Void",BetTable[S3],)))))</f>
        <v>0</v>
      </c>
      <c r="AI1211" s="168">
        <f>IF(BetTable[Outcome]="",AI1210,BetTable[Result]+AI1210)</f>
        <v>2281.4827499999992</v>
      </c>
      <c r="AJ1211" s="160"/>
    </row>
    <row r="1212" spans="1:36" x14ac:dyDescent="0.2">
      <c r="A1212" s="159" t="s">
        <v>2968</v>
      </c>
      <c r="B1212" s="160" t="s">
        <v>7</v>
      </c>
      <c r="C1212" s="161" t="s">
        <v>91</v>
      </c>
      <c r="D1212" s="161"/>
      <c r="E1212" s="161"/>
      <c r="F1212" s="162"/>
      <c r="G1212" s="162"/>
      <c r="H1212" s="162"/>
      <c r="I1212" s="160" t="s">
        <v>2971</v>
      </c>
      <c r="J1212" s="163">
        <v>1.86</v>
      </c>
      <c r="K1212" s="163"/>
      <c r="L1212" s="163"/>
      <c r="M1212" s="164">
        <v>39</v>
      </c>
      <c r="N1212" s="164"/>
      <c r="O1212" s="164"/>
      <c r="P1212" s="159" t="s">
        <v>747</v>
      </c>
      <c r="Q1212" s="159" t="s">
        <v>530</v>
      </c>
      <c r="R1212" s="159" t="s">
        <v>2973</v>
      </c>
      <c r="S1212" s="165">
        <v>1.88401071680247E-2</v>
      </c>
      <c r="T1212" s="166" t="s">
        <v>372</v>
      </c>
      <c r="U1212" s="166"/>
      <c r="V1212" s="166"/>
      <c r="W1212" s="167">
        <f>IF(BetTable[Sport]="","",BetTable[Stake]+BetTable[S2]+BetTable[S3])</f>
        <v>39</v>
      </c>
      <c r="X1212" s="164">
        <f>IF(BetTable[Odds]="","",(BetTable[WBA1-Commission])-BetTable[TS])</f>
        <v>33.540000000000006</v>
      </c>
      <c r="Y1212" s="168">
        <f>IF(BetTable[Outcome]="","",BetTable[WBA1]+BetTable[WBA2]+BetTable[WBA3]-BetTable[TS])</f>
        <v>33.540000000000006</v>
      </c>
      <c r="Z1212" s="164">
        <f>(((BetTable[Odds]-1)*BetTable[Stake])*(1-(BetTable[Comm %]))+BetTable[Stake])</f>
        <v>72.540000000000006</v>
      </c>
      <c r="AA1212" s="164">
        <f>(((BetTable[O2]-1)*BetTable[S2])*(1-(BetTable[C% 2]))+BetTable[S2])</f>
        <v>0</v>
      </c>
      <c r="AB1212" s="164">
        <f>(((BetTable[O3]-1)*BetTable[S3])*(1-(BetTable[C% 3]))+BetTable[S3])</f>
        <v>0</v>
      </c>
      <c r="AC1212" s="165">
        <f>IFERROR(IF(BetTable[Sport]="","",BetTable[R1]/BetTable[TS]),"")</f>
        <v>0.86000000000000021</v>
      </c>
      <c r="AD1212" s="165" t="str">
        <f>IF(BetTable[O2]="","",#REF!/BetTable[TS])</f>
        <v/>
      </c>
      <c r="AE1212" s="165" t="str">
        <f>IFERROR(IF(BetTable[Sport]="","",#REF!/BetTable[TS]),"")</f>
        <v/>
      </c>
      <c r="AF1212" s="164">
        <f>IF(BetTable[Outcome]="Win",BetTable[WBA1-Commission],IF(BetTable[Outcome]="Win Half Stake",(BetTable[Stake]/2)+BetTable[WBA1-Commission]/2,IF(BetTable[Outcome]="Lose Half Stake",BetTable[Stake]/2,IF(BetTable[Outcome]="Lose",0,IF(BetTable[Outcome]="Void",BetTable[Stake],)))))</f>
        <v>72.540000000000006</v>
      </c>
      <c r="AG1212" s="164">
        <f>IF(BetTable[Outcome2]="Win",BetTable[WBA2-Commission],IF(BetTable[Outcome2]="Win Half Stake",(BetTable[S2]/2)+BetTable[WBA2-Commission]/2,IF(BetTable[Outcome2]="Lose Half Stake",BetTable[S2]/2,IF(BetTable[Outcome2]="Lose",0,IF(BetTable[Outcome2]="Void",BetTable[S2],)))))</f>
        <v>0</v>
      </c>
      <c r="AH1212" s="164">
        <f>IF(BetTable[Outcome3]="Win",BetTable[WBA3-Commission],IF(BetTable[Outcome3]="Win Half Stake",(BetTable[S3]/2)+BetTable[WBA3-Commission]/2,IF(BetTable[Outcome3]="Lose Half Stake",BetTable[S3]/2,IF(BetTable[Outcome3]="Lose",0,IF(BetTable[Outcome3]="Void",BetTable[S3],)))))</f>
        <v>0</v>
      </c>
      <c r="AI1212" s="168">
        <f>IF(BetTable[Outcome]="",AI1211,BetTable[Result]+AI1211)</f>
        <v>2315.0227499999992</v>
      </c>
      <c r="AJ1212" s="160"/>
    </row>
    <row r="1213" spans="1:36" x14ac:dyDescent="0.2">
      <c r="A1213" s="159" t="s">
        <v>2968</v>
      </c>
      <c r="B1213" s="160" t="s">
        <v>200</v>
      </c>
      <c r="C1213" s="161" t="s">
        <v>1714</v>
      </c>
      <c r="D1213" s="161"/>
      <c r="E1213" s="161"/>
      <c r="F1213" s="162"/>
      <c r="G1213" s="162"/>
      <c r="H1213" s="162"/>
      <c r="I1213" s="160" t="s">
        <v>2974</v>
      </c>
      <c r="J1213" s="163">
        <v>5</v>
      </c>
      <c r="K1213" s="163"/>
      <c r="L1213" s="163"/>
      <c r="M1213" s="164">
        <v>16</v>
      </c>
      <c r="N1213" s="164"/>
      <c r="O1213" s="164"/>
      <c r="P1213" s="159" t="s">
        <v>435</v>
      </c>
      <c r="Q1213" s="159" t="s">
        <v>540</v>
      </c>
      <c r="R1213" s="159" t="s">
        <v>2975</v>
      </c>
      <c r="S1213" s="165">
        <v>5.7109881652789102E-2</v>
      </c>
      <c r="T1213" s="166" t="s">
        <v>372</v>
      </c>
      <c r="U1213" s="166"/>
      <c r="V1213" s="166"/>
      <c r="W1213" s="167">
        <f>IF(BetTable[Sport]="","",BetTable[Stake]+BetTable[S2]+BetTable[S3])</f>
        <v>16</v>
      </c>
      <c r="X1213" s="164">
        <f>IF(BetTable[Odds]="","",(BetTable[WBA1-Commission])-BetTable[TS])</f>
        <v>64</v>
      </c>
      <c r="Y1213" s="168">
        <f>IF(BetTable[Outcome]="","",BetTable[WBA1]+BetTable[WBA2]+BetTable[WBA3]-BetTable[TS])</f>
        <v>64</v>
      </c>
      <c r="Z1213" s="164">
        <f>(((BetTable[Odds]-1)*BetTable[Stake])*(1-(BetTable[Comm %]))+BetTable[Stake])</f>
        <v>80</v>
      </c>
      <c r="AA1213" s="164">
        <f>(((BetTable[O2]-1)*BetTable[S2])*(1-(BetTable[C% 2]))+BetTable[S2])</f>
        <v>0</v>
      </c>
      <c r="AB1213" s="164">
        <f>(((BetTable[O3]-1)*BetTable[S3])*(1-(BetTable[C% 3]))+BetTable[S3])</f>
        <v>0</v>
      </c>
      <c r="AC1213" s="165">
        <f>IFERROR(IF(BetTable[Sport]="","",BetTable[R1]/BetTable[TS]),"")</f>
        <v>4</v>
      </c>
      <c r="AD1213" s="165" t="str">
        <f>IF(BetTable[O2]="","",#REF!/BetTable[TS])</f>
        <v/>
      </c>
      <c r="AE1213" s="165" t="str">
        <f>IFERROR(IF(BetTable[Sport]="","",#REF!/BetTable[TS]),"")</f>
        <v/>
      </c>
      <c r="AF1213" s="164">
        <f>IF(BetTable[Outcome]="Win",BetTable[WBA1-Commission],IF(BetTable[Outcome]="Win Half Stake",(BetTable[Stake]/2)+BetTable[WBA1-Commission]/2,IF(BetTable[Outcome]="Lose Half Stake",BetTable[Stake]/2,IF(BetTable[Outcome]="Lose",0,IF(BetTable[Outcome]="Void",BetTable[Stake],)))))</f>
        <v>80</v>
      </c>
      <c r="AG1213" s="164">
        <f>IF(BetTable[Outcome2]="Win",BetTable[WBA2-Commission],IF(BetTable[Outcome2]="Win Half Stake",(BetTable[S2]/2)+BetTable[WBA2-Commission]/2,IF(BetTable[Outcome2]="Lose Half Stake",BetTable[S2]/2,IF(BetTable[Outcome2]="Lose",0,IF(BetTable[Outcome2]="Void",BetTable[S2],)))))</f>
        <v>0</v>
      </c>
      <c r="AH1213" s="164">
        <f>IF(BetTable[Outcome3]="Win",BetTable[WBA3-Commission],IF(BetTable[Outcome3]="Win Half Stake",(BetTable[S3]/2)+BetTable[WBA3-Commission]/2,IF(BetTable[Outcome3]="Lose Half Stake",BetTable[S3]/2,IF(BetTable[Outcome3]="Lose",0,IF(BetTable[Outcome3]="Void",BetTable[S3],)))))</f>
        <v>0</v>
      </c>
      <c r="AI1213" s="168">
        <f>IF(BetTable[Outcome]="",AI1212,BetTable[Result]+AI1212)</f>
        <v>2379.0227499999992</v>
      </c>
      <c r="AJ1213" s="160"/>
    </row>
    <row r="1214" spans="1:36" x14ac:dyDescent="0.2">
      <c r="A1214" s="159" t="s">
        <v>2968</v>
      </c>
      <c r="B1214" s="160" t="s">
        <v>200</v>
      </c>
      <c r="C1214" s="161" t="s">
        <v>1714</v>
      </c>
      <c r="D1214" s="161"/>
      <c r="E1214" s="161"/>
      <c r="F1214" s="162"/>
      <c r="G1214" s="162"/>
      <c r="H1214" s="162"/>
      <c r="I1214" s="160" t="s">
        <v>2976</v>
      </c>
      <c r="J1214" s="163">
        <v>2.36</v>
      </c>
      <c r="K1214" s="163"/>
      <c r="L1214" s="163"/>
      <c r="M1214" s="164">
        <v>28</v>
      </c>
      <c r="N1214" s="164"/>
      <c r="O1214" s="164"/>
      <c r="P1214" s="159" t="s">
        <v>360</v>
      </c>
      <c r="Q1214" s="159" t="s">
        <v>482</v>
      </c>
      <c r="R1214" s="159" t="s">
        <v>2977</v>
      </c>
      <c r="S1214" s="165">
        <v>2.1520684018255801E-2</v>
      </c>
      <c r="T1214" s="166" t="s">
        <v>383</v>
      </c>
      <c r="U1214" s="166"/>
      <c r="V1214" s="166"/>
      <c r="W1214" s="167">
        <f>IF(BetTable[Sport]="","",BetTable[Stake]+BetTable[S2]+BetTable[S3])</f>
        <v>28</v>
      </c>
      <c r="X1214" s="164">
        <f>IF(BetTable[Odds]="","",(BetTable[WBA1-Commission])-BetTable[TS])</f>
        <v>38.08</v>
      </c>
      <c r="Y1214" s="168">
        <f>IF(BetTable[Outcome]="","",BetTable[WBA1]+BetTable[WBA2]+BetTable[WBA3]-BetTable[TS])</f>
        <v>0</v>
      </c>
      <c r="Z1214" s="164">
        <f>(((BetTable[Odds]-1)*BetTable[Stake])*(1-(BetTable[Comm %]))+BetTable[Stake])</f>
        <v>66.08</v>
      </c>
      <c r="AA1214" s="164">
        <f>(((BetTable[O2]-1)*BetTable[S2])*(1-(BetTable[C% 2]))+BetTable[S2])</f>
        <v>0</v>
      </c>
      <c r="AB1214" s="164">
        <f>(((BetTable[O3]-1)*BetTable[S3])*(1-(BetTable[C% 3]))+BetTable[S3])</f>
        <v>0</v>
      </c>
      <c r="AC1214" s="165">
        <f>IFERROR(IF(BetTable[Sport]="","",BetTable[R1]/BetTable[TS]),"")</f>
        <v>1.3599999999999999</v>
      </c>
      <c r="AD1214" s="165" t="str">
        <f>IF(BetTable[O2]="","",#REF!/BetTable[TS])</f>
        <v/>
      </c>
      <c r="AE1214" s="165" t="str">
        <f>IFERROR(IF(BetTable[Sport]="","",#REF!/BetTable[TS]),"")</f>
        <v/>
      </c>
      <c r="AF1214" s="164">
        <f>IF(BetTable[Outcome]="Win",BetTable[WBA1-Commission],IF(BetTable[Outcome]="Win Half Stake",(BetTable[Stake]/2)+BetTable[WBA1-Commission]/2,IF(BetTable[Outcome]="Lose Half Stake",BetTable[Stake]/2,IF(BetTable[Outcome]="Lose",0,IF(BetTable[Outcome]="Void",BetTable[Stake],)))))</f>
        <v>28</v>
      </c>
      <c r="AG1214" s="164">
        <f>IF(BetTable[Outcome2]="Win",BetTable[WBA2-Commission],IF(BetTable[Outcome2]="Win Half Stake",(BetTable[S2]/2)+BetTable[WBA2-Commission]/2,IF(BetTable[Outcome2]="Lose Half Stake",BetTable[S2]/2,IF(BetTable[Outcome2]="Lose",0,IF(BetTable[Outcome2]="Void",BetTable[S2],)))))</f>
        <v>0</v>
      </c>
      <c r="AH1214" s="164">
        <f>IF(BetTable[Outcome3]="Win",BetTable[WBA3-Commission],IF(BetTable[Outcome3]="Win Half Stake",(BetTable[S3]/2)+BetTable[WBA3-Commission]/2,IF(BetTable[Outcome3]="Lose Half Stake",BetTable[S3]/2,IF(BetTable[Outcome3]="Lose",0,IF(BetTable[Outcome3]="Void",BetTable[S3],)))))</f>
        <v>0</v>
      </c>
      <c r="AI1214" s="168">
        <f>IF(BetTable[Outcome]="",AI1213,BetTable[Result]+AI1213)</f>
        <v>2379.0227499999992</v>
      </c>
      <c r="AJ1214" s="160"/>
    </row>
    <row r="1215" spans="1:36" x14ac:dyDescent="0.2">
      <c r="A1215" s="159" t="s">
        <v>2968</v>
      </c>
      <c r="B1215" s="160" t="s">
        <v>7</v>
      </c>
      <c r="C1215" s="161" t="s">
        <v>91</v>
      </c>
      <c r="D1215" s="161"/>
      <c r="E1215" s="161"/>
      <c r="F1215" s="162"/>
      <c r="G1215" s="162"/>
      <c r="H1215" s="162"/>
      <c r="I1215" s="160" t="s">
        <v>2963</v>
      </c>
      <c r="J1215" s="163">
        <v>1.88</v>
      </c>
      <c r="K1215" s="163"/>
      <c r="L1215" s="163"/>
      <c r="M1215" s="164">
        <v>43</v>
      </c>
      <c r="N1215" s="164"/>
      <c r="O1215" s="164"/>
      <c r="P1215" s="159" t="s">
        <v>2978</v>
      </c>
      <c r="Q1215" s="159" t="s">
        <v>968</v>
      </c>
      <c r="R1215" s="159" t="s">
        <v>2979</v>
      </c>
      <c r="S1215" s="165">
        <v>2.1150146922309099E-2</v>
      </c>
      <c r="T1215" s="166" t="s">
        <v>372</v>
      </c>
      <c r="U1215" s="166"/>
      <c r="V1215" s="166"/>
      <c r="W1215" s="167">
        <f>IF(BetTable[Sport]="","",BetTable[Stake]+BetTable[S2]+BetTable[S3])</f>
        <v>43</v>
      </c>
      <c r="X1215" s="164">
        <f>IF(BetTable[Odds]="","",(BetTable[WBA1-Commission])-BetTable[TS])</f>
        <v>37.840000000000003</v>
      </c>
      <c r="Y1215" s="168">
        <f>IF(BetTable[Outcome]="","",BetTable[WBA1]+BetTable[WBA2]+BetTable[WBA3]-BetTable[TS])</f>
        <v>37.840000000000003</v>
      </c>
      <c r="Z1215" s="164">
        <f>(((BetTable[Odds]-1)*BetTable[Stake])*(1-(BetTable[Comm %]))+BetTable[Stake])</f>
        <v>80.84</v>
      </c>
      <c r="AA1215" s="164">
        <f>(((BetTable[O2]-1)*BetTable[S2])*(1-(BetTable[C% 2]))+BetTable[S2])</f>
        <v>0</v>
      </c>
      <c r="AB1215" s="164">
        <f>(((BetTable[O3]-1)*BetTable[S3])*(1-(BetTable[C% 3]))+BetTable[S3])</f>
        <v>0</v>
      </c>
      <c r="AC1215" s="165">
        <f>IFERROR(IF(BetTable[Sport]="","",BetTable[R1]/BetTable[TS]),"")</f>
        <v>0.88000000000000012</v>
      </c>
      <c r="AD1215" s="165" t="str">
        <f>IF(BetTable[O2]="","",#REF!/BetTable[TS])</f>
        <v/>
      </c>
      <c r="AE1215" s="165" t="str">
        <f>IFERROR(IF(BetTable[Sport]="","",#REF!/BetTable[TS]),"")</f>
        <v/>
      </c>
      <c r="AF1215" s="164">
        <f>IF(BetTable[Outcome]="Win",BetTable[WBA1-Commission],IF(BetTable[Outcome]="Win Half Stake",(BetTable[Stake]/2)+BetTable[WBA1-Commission]/2,IF(BetTable[Outcome]="Lose Half Stake",BetTable[Stake]/2,IF(BetTable[Outcome]="Lose",0,IF(BetTable[Outcome]="Void",BetTable[Stake],)))))</f>
        <v>80.84</v>
      </c>
      <c r="AG1215" s="164">
        <f>IF(BetTable[Outcome2]="Win",BetTable[WBA2-Commission],IF(BetTable[Outcome2]="Win Half Stake",(BetTable[S2]/2)+BetTable[WBA2-Commission]/2,IF(BetTable[Outcome2]="Lose Half Stake",BetTable[S2]/2,IF(BetTable[Outcome2]="Lose",0,IF(BetTable[Outcome2]="Void",BetTable[S2],)))))</f>
        <v>0</v>
      </c>
      <c r="AH1215" s="164">
        <f>IF(BetTable[Outcome3]="Win",BetTable[WBA3-Commission],IF(BetTable[Outcome3]="Win Half Stake",(BetTable[S3]/2)+BetTable[WBA3-Commission]/2,IF(BetTable[Outcome3]="Lose Half Stake",BetTable[S3]/2,IF(BetTable[Outcome3]="Lose",0,IF(BetTable[Outcome3]="Void",BetTable[S3],)))))</f>
        <v>0</v>
      </c>
      <c r="AI1215" s="168">
        <f>IF(BetTable[Outcome]="",AI1214,BetTable[Result]+AI1214)</f>
        <v>2416.8627499999993</v>
      </c>
      <c r="AJ1215" s="160"/>
    </row>
    <row r="1216" spans="1:36" x14ac:dyDescent="0.2">
      <c r="A1216" s="159" t="s">
        <v>2968</v>
      </c>
      <c r="B1216" s="160" t="s">
        <v>175</v>
      </c>
      <c r="C1216" s="161" t="s">
        <v>91</v>
      </c>
      <c r="D1216" s="161"/>
      <c r="E1216" s="161"/>
      <c r="F1216" s="162"/>
      <c r="G1216" s="162"/>
      <c r="H1216" s="162"/>
      <c r="I1216" s="160" t="s">
        <v>2980</v>
      </c>
      <c r="J1216" s="163">
        <v>1.95</v>
      </c>
      <c r="K1216" s="163"/>
      <c r="L1216" s="163"/>
      <c r="M1216" s="164">
        <v>50</v>
      </c>
      <c r="N1216" s="164"/>
      <c r="O1216" s="164"/>
      <c r="P1216" s="159" t="s">
        <v>2981</v>
      </c>
      <c r="Q1216" s="159" t="s">
        <v>585</v>
      </c>
      <c r="R1216" s="159" t="s">
        <v>2982</v>
      </c>
      <c r="S1216" s="165">
        <v>2.6523582259625599E-2</v>
      </c>
      <c r="T1216" s="166" t="s">
        <v>372</v>
      </c>
      <c r="U1216" s="166"/>
      <c r="V1216" s="166"/>
      <c r="W1216" s="167">
        <f>IF(BetTable[Sport]="","",BetTable[Stake]+BetTable[S2]+BetTable[S3])</f>
        <v>50</v>
      </c>
      <c r="X1216" s="164">
        <f>IF(BetTable[Odds]="","",(BetTable[WBA1-Commission])-BetTable[TS])</f>
        <v>47.5</v>
      </c>
      <c r="Y1216" s="168">
        <f>IF(BetTable[Outcome]="","",BetTable[WBA1]+BetTable[WBA2]+BetTable[WBA3]-BetTable[TS])</f>
        <v>47.5</v>
      </c>
      <c r="Z1216" s="164">
        <f>(((BetTable[Odds]-1)*BetTable[Stake])*(1-(BetTable[Comm %]))+BetTable[Stake])</f>
        <v>97.5</v>
      </c>
      <c r="AA1216" s="164">
        <f>(((BetTable[O2]-1)*BetTable[S2])*(1-(BetTable[C% 2]))+BetTable[S2])</f>
        <v>0</v>
      </c>
      <c r="AB1216" s="164">
        <f>(((BetTable[O3]-1)*BetTable[S3])*(1-(BetTable[C% 3]))+BetTable[S3])</f>
        <v>0</v>
      </c>
      <c r="AC1216" s="165">
        <f>IFERROR(IF(BetTable[Sport]="","",BetTable[R1]/BetTable[TS]),"")</f>
        <v>0.95</v>
      </c>
      <c r="AD1216" s="165" t="str">
        <f>IF(BetTable[O2]="","",#REF!/BetTable[TS])</f>
        <v/>
      </c>
      <c r="AE1216" s="165" t="str">
        <f>IFERROR(IF(BetTable[Sport]="","",#REF!/BetTable[TS]),"")</f>
        <v/>
      </c>
      <c r="AF1216" s="164">
        <f>IF(BetTable[Outcome]="Win",BetTable[WBA1-Commission],IF(BetTable[Outcome]="Win Half Stake",(BetTable[Stake]/2)+BetTable[WBA1-Commission]/2,IF(BetTable[Outcome]="Lose Half Stake",BetTable[Stake]/2,IF(BetTable[Outcome]="Lose",0,IF(BetTable[Outcome]="Void",BetTable[Stake],)))))</f>
        <v>97.5</v>
      </c>
      <c r="AG1216" s="164">
        <f>IF(BetTable[Outcome2]="Win",BetTable[WBA2-Commission],IF(BetTable[Outcome2]="Win Half Stake",(BetTable[S2]/2)+BetTable[WBA2-Commission]/2,IF(BetTable[Outcome2]="Lose Half Stake",BetTable[S2]/2,IF(BetTable[Outcome2]="Lose",0,IF(BetTable[Outcome2]="Void",BetTable[S2],)))))</f>
        <v>0</v>
      </c>
      <c r="AH1216" s="164">
        <f>IF(BetTable[Outcome3]="Win",BetTable[WBA3-Commission],IF(BetTable[Outcome3]="Win Half Stake",(BetTable[S3]/2)+BetTable[WBA3-Commission]/2,IF(BetTable[Outcome3]="Lose Half Stake",BetTable[S3]/2,IF(BetTable[Outcome3]="Lose",0,IF(BetTable[Outcome3]="Void",BetTable[S3],)))))</f>
        <v>0</v>
      </c>
      <c r="AI1216" s="168">
        <f>IF(BetTable[Outcome]="",AI1215,BetTable[Result]+AI1215)</f>
        <v>2464.3627499999993</v>
      </c>
      <c r="AJ1216" s="160"/>
    </row>
    <row r="1217" spans="1:36" x14ac:dyDescent="0.2">
      <c r="A1217" s="159" t="s">
        <v>2968</v>
      </c>
      <c r="B1217" s="160" t="s">
        <v>7</v>
      </c>
      <c r="C1217" s="161" t="s">
        <v>91</v>
      </c>
      <c r="D1217" s="161"/>
      <c r="E1217" s="161"/>
      <c r="F1217" s="162"/>
      <c r="G1217" s="162"/>
      <c r="H1217" s="162"/>
      <c r="I1217" s="160" t="s">
        <v>2983</v>
      </c>
      <c r="J1217" s="163">
        <v>2.29</v>
      </c>
      <c r="K1217" s="163"/>
      <c r="L1217" s="163"/>
      <c r="M1217" s="164">
        <v>22</v>
      </c>
      <c r="N1217" s="164"/>
      <c r="O1217" s="164"/>
      <c r="P1217" s="159" t="s">
        <v>1569</v>
      </c>
      <c r="Q1217" s="159" t="s">
        <v>836</v>
      </c>
      <c r="R1217" s="159" t="s">
        <v>2984</v>
      </c>
      <c r="S1217" s="165">
        <v>1.6140058594376502E-2</v>
      </c>
      <c r="T1217" s="166" t="s">
        <v>372</v>
      </c>
      <c r="U1217" s="166"/>
      <c r="V1217" s="166"/>
      <c r="W1217" s="167">
        <f>IF(BetTable[Sport]="","",BetTable[Stake]+BetTable[S2]+BetTable[S3])</f>
        <v>22</v>
      </c>
      <c r="X1217" s="164">
        <f>IF(BetTable[Odds]="","",(BetTable[WBA1-Commission])-BetTable[TS])</f>
        <v>28.380000000000003</v>
      </c>
      <c r="Y1217" s="168">
        <f>IF(BetTable[Outcome]="","",BetTable[WBA1]+BetTable[WBA2]+BetTable[WBA3]-BetTable[TS])</f>
        <v>28.380000000000003</v>
      </c>
      <c r="Z1217" s="164">
        <f>(((BetTable[Odds]-1)*BetTable[Stake])*(1-(BetTable[Comm %]))+BetTable[Stake])</f>
        <v>50.38</v>
      </c>
      <c r="AA1217" s="164">
        <f>(((BetTable[O2]-1)*BetTable[S2])*(1-(BetTable[C% 2]))+BetTable[S2])</f>
        <v>0</v>
      </c>
      <c r="AB1217" s="164">
        <f>(((BetTable[O3]-1)*BetTable[S3])*(1-(BetTable[C% 3]))+BetTable[S3])</f>
        <v>0</v>
      </c>
      <c r="AC1217" s="165">
        <f>IFERROR(IF(BetTable[Sport]="","",BetTable[R1]/BetTable[TS]),"")</f>
        <v>1.29</v>
      </c>
      <c r="AD1217" s="165" t="str">
        <f>IF(BetTable[O2]="","",#REF!/BetTable[TS])</f>
        <v/>
      </c>
      <c r="AE1217" s="165" t="str">
        <f>IFERROR(IF(BetTable[Sport]="","",#REF!/BetTable[TS]),"")</f>
        <v/>
      </c>
      <c r="AF1217" s="164">
        <f>IF(BetTable[Outcome]="Win",BetTable[WBA1-Commission],IF(BetTable[Outcome]="Win Half Stake",(BetTable[Stake]/2)+BetTable[WBA1-Commission]/2,IF(BetTable[Outcome]="Lose Half Stake",BetTable[Stake]/2,IF(BetTable[Outcome]="Lose",0,IF(BetTable[Outcome]="Void",BetTable[Stake],)))))</f>
        <v>50.38</v>
      </c>
      <c r="AG1217" s="164">
        <f>IF(BetTable[Outcome2]="Win",BetTable[WBA2-Commission],IF(BetTable[Outcome2]="Win Half Stake",(BetTable[S2]/2)+BetTable[WBA2-Commission]/2,IF(BetTable[Outcome2]="Lose Half Stake",BetTable[S2]/2,IF(BetTable[Outcome2]="Lose",0,IF(BetTable[Outcome2]="Void",BetTable[S2],)))))</f>
        <v>0</v>
      </c>
      <c r="AH1217" s="164">
        <f>IF(BetTable[Outcome3]="Win",BetTable[WBA3-Commission],IF(BetTable[Outcome3]="Win Half Stake",(BetTable[S3]/2)+BetTable[WBA3-Commission]/2,IF(BetTable[Outcome3]="Lose Half Stake",BetTable[S3]/2,IF(BetTable[Outcome3]="Lose",0,IF(BetTable[Outcome3]="Void",BetTable[S3],)))))</f>
        <v>0</v>
      </c>
      <c r="AI1217" s="168">
        <f>IF(BetTable[Outcome]="",AI1216,BetTable[Result]+AI1216)</f>
        <v>2492.7427499999994</v>
      </c>
      <c r="AJ1217" s="160"/>
    </row>
    <row r="1218" spans="1:36" x14ac:dyDescent="0.2">
      <c r="A1218" s="159" t="s">
        <v>2968</v>
      </c>
      <c r="B1218" s="160" t="s">
        <v>8</v>
      </c>
      <c r="C1218" s="161" t="s">
        <v>91</v>
      </c>
      <c r="D1218" s="161"/>
      <c r="E1218" s="161"/>
      <c r="F1218" s="162"/>
      <c r="G1218" s="162"/>
      <c r="H1218" s="162"/>
      <c r="I1218" s="160" t="s">
        <v>2985</v>
      </c>
      <c r="J1218" s="163">
        <v>1.85</v>
      </c>
      <c r="K1218" s="163"/>
      <c r="L1218" s="163"/>
      <c r="M1218" s="164">
        <v>32</v>
      </c>
      <c r="N1218" s="164"/>
      <c r="O1218" s="164"/>
      <c r="P1218" s="159" t="s">
        <v>428</v>
      </c>
      <c r="Q1218" s="159" t="s">
        <v>488</v>
      </c>
      <c r="R1218" s="159" t="s">
        <v>2986</v>
      </c>
      <c r="S1218" s="165">
        <v>4.5726589532736402E-2</v>
      </c>
      <c r="T1218" s="166" t="s">
        <v>382</v>
      </c>
      <c r="U1218" s="166"/>
      <c r="V1218" s="166"/>
      <c r="W1218" s="167">
        <f>IF(BetTable[Sport]="","",BetTable[Stake]+BetTable[S2]+BetTable[S3])</f>
        <v>32</v>
      </c>
      <c r="X1218" s="164">
        <f>IF(BetTable[Odds]="","",(BetTable[WBA1-Commission])-BetTable[TS])</f>
        <v>27.200000000000003</v>
      </c>
      <c r="Y1218" s="168">
        <f>IF(BetTable[Outcome]="","",BetTable[WBA1]+BetTable[WBA2]+BetTable[WBA3]-BetTable[TS])</f>
        <v>-32</v>
      </c>
      <c r="Z1218" s="164">
        <f>(((BetTable[Odds]-1)*BetTable[Stake])*(1-(BetTable[Comm %]))+BetTable[Stake])</f>
        <v>59.2</v>
      </c>
      <c r="AA1218" s="164">
        <f>(((BetTable[O2]-1)*BetTable[S2])*(1-(BetTable[C% 2]))+BetTable[S2])</f>
        <v>0</v>
      </c>
      <c r="AB1218" s="164">
        <f>(((BetTable[O3]-1)*BetTable[S3])*(1-(BetTable[C% 3]))+BetTable[S3])</f>
        <v>0</v>
      </c>
      <c r="AC1218" s="165">
        <f>IFERROR(IF(BetTable[Sport]="","",BetTable[R1]/BetTable[TS]),"")</f>
        <v>0.85000000000000009</v>
      </c>
      <c r="AD1218" s="165" t="str">
        <f>IF(BetTable[O2]="","",#REF!/BetTable[TS])</f>
        <v/>
      </c>
      <c r="AE1218" s="165" t="str">
        <f>IFERROR(IF(BetTable[Sport]="","",#REF!/BetTable[TS]),"")</f>
        <v/>
      </c>
      <c r="AF1218" s="164">
        <f>IF(BetTable[Outcome]="Win",BetTable[WBA1-Commission],IF(BetTable[Outcome]="Win Half Stake",(BetTable[Stake]/2)+BetTable[WBA1-Commission]/2,IF(BetTable[Outcome]="Lose Half Stake",BetTable[Stake]/2,IF(BetTable[Outcome]="Lose",0,IF(BetTable[Outcome]="Void",BetTable[Stake],)))))</f>
        <v>0</v>
      </c>
      <c r="AG1218" s="164">
        <f>IF(BetTable[Outcome2]="Win",BetTable[WBA2-Commission],IF(BetTable[Outcome2]="Win Half Stake",(BetTable[S2]/2)+BetTable[WBA2-Commission]/2,IF(BetTable[Outcome2]="Lose Half Stake",BetTable[S2]/2,IF(BetTable[Outcome2]="Lose",0,IF(BetTable[Outcome2]="Void",BetTable[S2],)))))</f>
        <v>0</v>
      </c>
      <c r="AH1218" s="164">
        <f>IF(BetTable[Outcome3]="Win",BetTable[WBA3-Commission],IF(BetTable[Outcome3]="Win Half Stake",(BetTable[S3]/2)+BetTable[WBA3-Commission]/2,IF(BetTable[Outcome3]="Lose Half Stake",BetTable[S3]/2,IF(BetTable[Outcome3]="Lose",0,IF(BetTable[Outcome3]="Void",BetTable[S3],)))))</f>
        <v>0</v>
      </c>
      <c r="AI1218" s="168">
        <f>IF(BetTable[Outcome]="",AI1217,BetTable[Result]+AI1217)</f>
        <v>2460.7427499999994</v>
      </c>
      <c r="AJ1218" s="160"/>
    </row>
    <row r="1219" spans="1:36" x14ac:dyDescent="0.2">
      <c r="A1219" s="159" t="s">
        <v>2968</v>
      </c>
      <c r="B1219" s="160" t="s">
        <v>8</v>
      </c>
      <c r="C1219" s="161" t="s">
        <v>216</v>
      </c>
      <c r="D1219" s="161"/>
      <c r="E1219" s="161"/>
      <c r="F1219" s="162"/>
      <c r="G1219" s="162"/>
      <c r="H1219" s="162"/>
      <c r="I1219" s="160" t="s">
        <v>2987</v>
      </c>
      <c r="J1219" s="163">
        <v>2.65</v>
      </c>
      <c r="K1219" s="163"/>
      <c r="L1219" s="163"/>
      <c r="M1219" s="164">
        <v>25</v>
      </c>
      <c r="N1219" s="164"/>
      <c r="O1219" s="164"/>
      <c r="P1219" s="159" t="s">
        <v>435</v>
      </c>
      <c r="Q1219" s="159" t="s">
        <v>1171</v>
      </c>
      <c r="R1219" s="159" t="s">
        <v>2988</v>
      </c>
      <c r="S1219" s="165">
        <v>2.7086438058344701E-2</v>
      </c>
      <c r="T1219" s="166" t="s">
        <v>382</v>
      </c>
      <c r="U1219" s="166"/>
      <c r="V1219" s="166"/>
      <c r="W1219" s="167">
        <f>IF(BetTable[Sport]="","",BetTable[Stake]+BetTable[S2]+BetTable[S3])</f>
        <v>25</v>
      </c>
      <c r="X1219" s="164">
        <f>IF(BetTable[Odds]="","",(BetTable[WBA1-Commission])-BetTable[TS])</f>
        <v>41.25</v>
      </c>
      <c r="Y1219" s="168">
        <f>IF(BetTable[Outcome]="","",BetTable[WBA1]+BetTable[WBA2]+BetTable[WBA3]-BetTable[TS])</f>
        <v>-25</v>
      </c>
      <c r="Z1219" s="164">
        <f>(((BetTable[Odds]-1)*BetTable[Stake])*(1-(BetTable[Comm %]))+BetTable[Stake])</f>
        <v>66.25</v>
      </c>
      <c r="AA1219" s="164">
        <f>(((BetTable[O2]-1)*BetTable[S2])*(1-(BetTable[C% 2]))+BetTable[S2])</f>
        <v>0</v>
      </c>
      <c r="AB1219" s="164">
        <f>(((BetTable[O3]-1)*BetTable[S3])*(1-(BetTable[C% 3]))+BetTable[S3])</f>
        <v>0</v>
      </c>
      <c r="AC1219" s="165">
        <f>IFERROR(IF(BetTable[Sport]="","",BetTable[R1]/BetTable[TS]),"")</f>
        <v>1.65</v>
      </c>
      <c r="AD1219" s="165" t="str">
        <f>IF(BetTable[O2]="","",#REF!/BetTable[TS])</f>
        <v/>
      </c>
      <c r="AE1219" s="165" t="str">
        <f>IFERROR(IF(BetTable[Sport]="","",#REF!/BetTable[TS]),"")</f>
        <v/>
      </c>
      <c r="AF1219" s="164">
        <f>IF(BetTable[Outcome]="Win",BetTable[WBA1-Commission],IF(BetTable[Outcome]="Win Half Stake",(BetTable[Stake]/2)+BetTable[WBA1-Commission]/2,IF(BetTable[Outcome]="Lose Half Stake",BetTable[Stake]/2,IF(BetTable[Outcome]="Lose",0,IF(BetTable[Outcome]="Void",BetTable[Stake],)))))</f>
        <v>0</v>
      </c>
      <c r="AG1219" s="164">
        <f>IF(BetTable[Outcome2]="Win",BetTable[WBA2-Commission],IF(BetTable[Outcome2]="Win Half Stake",(BetTable[S2]/2)+BetTable[WBA2-Commission]/2,IF(BetTable[Outcome2]="Lose Half Stake",BetTable[S2]/2,IF(BetTable[Outcome2]="Lose",0,IF(BetTable[Outcome2]="Void",BetTable[S2],)))))</f>
        <v>0</v>
      </c>
      <c r="AH1219" s="164">
        <f>IF(BetTable[Outcome3]="Win",BetTable[WBA3-Commission],IF(BetTable[Outcome3]="Win Half Stake",(BetTable[S3]/2)+BetTable[WBA3-Commission]/2,IF(BetTable[Outcome3]="Lose Half Stake",BetTable[S3]/2,IF(BetTable[Outcome3]="Lose",0,IF(BetTable[Outcome3]="Void",BetTable[S3],)))))</f>
        <v>0</v>
      </c>
      <c r="AI1219" s="168">
        <f>IF(BetTable[Outcome]="",AI1218,BetTable[Result]+AI1218)</f>
        <v>2435.7427499999994</v>
      </c>
      <c r="AJ1219" s="160"/>
    </row>
    <row r="1220" spans="1:36" x14ac:dyDescent="0.2">
      <c r="A1220" s="159" t="s">
        <v>2968</v>
      </c>
      <c r="B1220" s="160" t="s">
        <v>7</v>
      </c>
      <c r="C1220" s="161" t="s">
        <v>216</v>
      </c>
      <c r="D1220" s="161"/>
      <c r="E1220" s="161"/>
      <c r="F1220" s="162"/>
      <c r="G1220" s="162"/>
      <c r="H1220" s="162"/>
      <c r="I1220" s="160" t="s">
        <v>2989</v>
      </c>
      <c r="J1220" s="163">
        <v>2.2999999999999998</v>
      </c>
      <c r="K1220" s="163"/>
      <c r="L1220" s="163"/>
      <c r="M1220" s="164">
        <v>27</v>
      </c>
      <c r="N1220" s="164"/>
      <c r="O1220" s="164"/>
      <c r="P1220" s="159" t="s">
        <v>428</v>
      </c>
      <c r="Q1220" s="159" t="s">
        <v>1291</v>
      </c>
      <c r="R1220" s="159" t="s">
        <v>2990</v>
      </c>
      <c r="S1220" s="165">
        <v>1.96939704602688E-2</v>
      </c>
      <c r="T1220" s="166" t="s">
        <v>372</v>
      </c>
      <c r="U1220" s="166"/>
      <c r="V1220" s="166"/>
      <c r="W1220" s="167">
        <f>IF(BetTable[Sport]="","",BetTable[Stake]+BetTable[S2]+BetTable[S3])</f>
        <v>27</v>
      </c>
      <c r="X1220" s="164">
        <f>IF(BetTable[Odds]="","",(BetTable[WBA1-Commission])-BetTable[TS])</f>
        <v>35.099999999999994</v>
      </c>
      <c r="Y1220" s="168">
        <f>IF(BetTable[Outcome]="","",BetTable[WBA1]+BetTable[WBA2]+BetTable[WBA3]-BetTable[TS])</f>
        <v>35.099999999999994</v>
      </c>
      <c r="Z1220" s="164">
        <f>(((BetTable[Odds]-1)*BetTable[Stake])*(1-(BetTable[Comm %]))+BetTable[Stake])</f>
        <v>62.099999999999994</v>
      </c>
      <c r="AA1220" s="164">
        <f>(((BetTable[O2]-1)*BetTable[S2])*(1-(BetTable[C% 2]))+BetTable[S2])</f>
        <v>0</v>
      </c>
      <c r="AB1220" s="164">
        <f>(((BetTable[O3]-1)*BetTable[S3])*(1-(BetTable[C% 3]))+BetTable[S3])</f>
        <v>0</v>
      </c>
      <c r="AC1220" s="165">
        <f>IFERROR(IF(BetTable[Sport]="","",BetTable[R1]/BetTable[TS]),"")</f>
        <v>1.2999999999999998</v>
      </c>
      <c r="AD1220" s="165" t="str">
        <f>IF(BetTable[O2]="","",#REF!/BetTable[TS])</f>
        <v/>
      </c>
      <c r="AE1220" s="165" t="str">
        <f>IFERROR(IF(BetTable[Sport]="","",#REF!/BetTable[TS]),"")</f>
        <v/>
      </c>
      <c r="AF1220" s="164">
        <f>IF(BetTable[Outcome]="Win",BetTable[WBA1-Commission],IF(BetTable[Outcome]="Win Half Stake",(BetTable[Stake]/2)+BetTable[WBA1-Commission]/2,IF(BetTable[Outcome]="Lose Half Stake",BetTable[Stake]/2,IF(BetTable[Outcome]="Lose",0,IF(BetTable[Outcome]="Void",BetTable[Stake],)))))</f>
        <v>62.099999999999994</v>
      </c>
      <c r="AG1220" s="164">
        <f>IF(BetTable[Outcome2]="Win",BetTable[WBA2-Commission],IF(BetTable[Outcome2]="Win Half Stake",(BetTable[S2]/2)+BetTable[WBA2-Commission]/2,IF(BetTable[Outcome2]="Lose Half Stake",BetTable[S2]/2,IF(BetTable[Outcome2]="Lose",0,IF(BetTable[Outcome2]="Void",BetTable[S2],)))))</f>
        <v>0</v>
      </c>
      <c r="AH1220" s="164">
        <f>IF(BetTable[Outcome3]="Win",BetTable[WBA3-Commission],IF(BetTable[Outcome3]="Win Half Stake",(BetTable[S3]/2)+BetTable[WBA3-Commission]/2,IF(BetTable[Outcome3]="Lose Half Stake",BetTable[S3]/2,IF(BetTable[Outcome3]="Lose",0,IF(BetTable[Outcome3]="Void",BetTable[S3],)))))</f>
        <v>0</v>
      </c>
      <c r="AI1220" s="168">
        <f>IF(BetTable[Outcome]="",AI1219,BetTable[Result]+AI1219)</f>
        <v>2470.8427499999993</v>
      </c>
      <c r="AJ1220" s="160"/>
    </row>
    <row r="1221" spans="1:36" x14ac:dyDescent="0.2">
      <c r="A1221" s="159" t="s">
        <v>2968</v>
      </c>
      <c r="B1221" s="160" t="s">
        <v>7</v>
      </c>
      <c r="C1221" s="161" t="s">
        <v>91</v>
      </c>
      <c r="D1221" s="161"/>
      <c r="E1221" s="161"/>
      <c r="F1221" s="162"/>
      <c r="G1221" s="162"/>
      <c r="H1221" s="162"/>
      <c r="I1221" s="160" t="s">
        <v>2991</v>
      </c>
      <c r="J1221" s="163">
        <v>1.94</v>
      </c>
      <c r="K1221" s="163"/>
      <c r="L1221" s="163"/>
      <c r="M1221" s="164">
        <v>59</v>
      </c>
      <c r="N1221" s="164"/>
      <c r="O1221" s="164"/>
      <c r="P1221" s="159" t="s">
        <v>1041</v>
      </c>
      <c r="Q1221" s="159" t="s">
        <v>503</v>
      </c>
      <c r="R1221" s="159" t="s">
        <v>2992</v>
      </c>
      <c r="S1221" s="165">
        <v>3.10563765736179E-2</v>
      </c>
      <c r="T1221" s="166" t="s">
        <v>372</v>
      </c>
      <c r="U1221" s="166"/>
      <c r="V1221" s="166"/>
      <c r="W1221" s="167">
        <f>IF(BetTable[Sport]="","",BetTable[Stake]+BetTable[S2]+BetTable[S3])</f>
        <v>59</v>
      </c>
      <c r="X1221" s="164">
        <f>IF(BetTable[Odds]="","",(BetTable[WBA1-Commission])-BetTable[TS])</f>
        <v>55.459999999999994</v>
      </c>
      <c r="Y1221" s="168">
        <f>IF(BetTable[Outcome]="","",BetTable[WBA1]+BetTable[WBA2]+BetTable[WBA3]-BetTable[TS])</f>
        <v>55.459999999999994</v>
      </c>
      <c r="Z1221" s="164">
        <f>(((BetTable[Odds]-1)*BetTable[Stake])*(1-(BetTable[Comm %]))+BetTable[Stake])</f>
        <v>114.46</v>
      </c>
      <c r="AA1221" s="164">
        <f>(((BetTable[O2]-1)*BetTable[S2])*(1-(BetTable[C% 2]))+BetTable[S2])</f>
        <v>0</v>
      </c>
      <c r="AB1221" s="164">
        <f>(((BetTable[O3]-1)*BetTable[S3])*(1-(BetTable[C% 3]))+BetTable[S3])</f>
        <v>0</v>
      </c>
      <c r="AC1221" s="165">
        <f>IFERROR(IF(BetTable[Sport]="","",BetTable[R1]/BetTable[TS]),"")</f>
        <v>0.94</v>
      </c>
      <c r="AD1221" s="165" t="str">
        <f>IF(BetTable[O2]="","",#REF!/BetTable[TS])</f>
        <v/>
      </c>
      <c r="AE1221" s="165" t="str">
        <f>IFERROR(IF(BetTable[Sport]="","",#REF!/BetTable[TS]),"")</f>
        <v/>
      </c>
      <c r="AF1221" s="164">
        <f>IF(BetTable[Outcome]="Win",BetTable[WBA1-Commission],IF(BetTable[Outcome]="Win Half Stake",(BetTable[Stake]/2)+BetTable[WBA1-Commission]/2,IF(BetTable[Outcome]="Lose Half Stake",BetTable[Stake]/2,IF(BetTable[Outcome]="Lose",0,IF(BetTable[Outcome]="Void",BetTable[Stake],)))))</f>
        <v>114.46</v>
      </c>
      <c r="AG1221" s="164">
        <f>IF(BetTable[Outcome2]="Win",BetTable[WBA2-Commission],IF(BetTable[Outcome2]="Win Half Stake",(BetTable[S2]/2)+BetTable[WBA2-Commission]/2,IF(BetTable[Outcome2]="Lose Half Stake",BetTable[S2]/2,IF(BetTable[Outcome2]="Lose",0,IF(BetTable[Outcome2]="Void",BetTable[S2],)))))</f>
        <v>0</v>
      </c>
      <c r="AH1221" s="164">
        <f>IF(BetTable[Outcome3]="Win",BetTable[WBA3-Commission],IF(BetTable[Outcome3]="Win Half Stake",(BetTable[S3]/2)+BetTable[WBA3-Commission]/2,IF(BetTable[Outcome3]="Lose Half Stake",BetTable[S3]/2,IF(BetTable[Outcome3]="Lose",0,IF(BetTable[Outcome3]="Void",BetTable[S3],)))))</f>
        <v>0</v>
      </c>
      <c r="AI1221" s="168">
        <f>IF(BetTable[Outcome]="",AI1220,BetTable[Result]+AI1220)</f>
        <v>2526.3027499999994</v>
      </c>
      <c r="AJ1221" s="160"/>
    </row>
    <row r="1222" spans="1:36" x14ac:dyDescent="0.2">
      <c r="A1222" s="159" t="s">
        <v>2968</v>
      </c>
      <c r="B1222" s="160" t="s">
        <v>7</v>
      </c>
      <c r="C1222" s="161" t="s">
        <v>91</v>
      </c>
      <c r="D1222" s="161"/>
      <c r="E1222" s="161"/>
      <c r="F1222" s="162"/>
      <c r="G1222" s="162"/>
      <c r="H1222" s="162"/>
      <c r="I1222" s="160" t="s">
        <v>2993</v>
      </c>
      <c r="J1222" s="163">
        <v>1.98</v>
      </c>
      <c r="K1222" s="163"/>
      <c r="L1222" s="163"/>
      <c r="M1222" s="164">
        <v>67</v>
      </c>
      <c r="N1222" s="164"/>
      <c r="O1222" s="164"/>
      <c r="P1222" s="159" t="s">
        <v>2994</v>
      </c>
      <c r="Q1222" s="159" t="s">
        <v>503</v>
      </c>
      <c r="R1222" s="159" t="s">
        <v>2995</v>
      </c>
      <c r="S1222" s="165">
        <v>3.7035095403651797E-2</v>
      </c>
      <c r="T1222" s="166" t="s">
        <v>372</v>
      </c>
      <c r="U1222" s="166"/>
      <c r="V1222" s="166"/>
      <c r="W1222" s="167">
        <f>IF(BetTable[Sport]="","",BetTable[Stake]+BetTable[S2]+BetTable[S3])</f>
        <v>67</v>
      </c>
      <c r="X1222" s="164">
        <f>IF(BetTable[Odds]="","",(BetTable[WBA1-Commission])-BetTable[TS])</f>
        <v>65.66</v>
      </c>
      <c r="Y1222" s="168">
        <f>IF(BetTable[Outcome]="","",BetTable[WBA1]+BetTable[WBA2]+BetTable[WBA3]-BetTable[TS])</f>
        <v>65.66</v>
      </c>
      <c r="Z1222" s="164">
        <f>(((BetTable[Odds]-1)*BetTable[Stake])*(1-(BetTable[Comm %]))+BetTable[Stake])</f>
        <v>132.66</v>
      </c>
      <c r="AA1222" s="164">
        <f>(((BetTable[O2]-1)*BetTable[S2])*(1-(BetTable[C% 2]))+BetTable[S2])</f>
        <v>0</v>
      </c>
      <c r="AB1222" s="164">
        <f>(((BetTable[O3]-1)*BetTable[S3])*(1-(BetTable[C% 3]))+BetTable[S3])</f>
        <v>0</v>
      </c>
      <c r="AC1222" s="165">
        <f>IFERROR(IF(BetTable[Sport]="","",BetTable[R1]/BetTable[TS]),"")</f>
        <v>0.98</v>
      </c>
      <c r="AD1222" s="165" t="str">
        <f>IF(BetTable[O2]="","",#REF!/BetTable[TS])</f>
        <v/>
      </c>
      <c r="AE1222" s="165" t="str">
        <f>IFERROR(IF(BetTable[Sport]="","",#REF!/BetTable[TS]),"")</f>
        <v/>
      </c>
      <c r="AF1222" s="164">
        <f>IF(BetTable[Outcome]="Win",BetTable[WBA1-Commission],IF(BetTable[Outcome]="Win Half Stake",(BetTable[Stake]/2)+BetTable[WBA1-Commission]/2,IF(BetTable[Outcome]="Lose Half Stake",BetTable[Stake]/2,IF(BetTable[Outcome]="Lose",0,IF(BetTable[Outcome]="Void",BetTable[Stake],)))))</f>
        <v>132.66</v>
      </c>
      <c r="AG1222" s="164">
        <f>IF(BetTable[Outcome2]="Win",BetTable[WBA2-Commission],IF(BetTable[Outcome2]="Win Half Stake",(BetTable[S2]/2)+BetTable[WBA2-Commission]/2,IF(BetTable[Outcome2]="Lose Half Stake",BetTable[S2]/2,IF(BetTable[Outcome2]="Lose",0,IF(BetTable[Outcome2]="Void",BetTable[S2],)))))</f>
        <v>0</v>
      </c>
      <c r="AH1222" s="164">
        <f>IF(BetTable[Outcome3]="Win",BetTable[WBA3-Commission],IF(BetTable[Outcome3]="Win Half Stake",(BetTable[S3]/2)+BetTable[WBA3-Commission]/2,IF(BetTable[Outcome3]="Lose Half Stake",BetTable[S3]/2,IF(BetTable[Outcome3]="Lose",0,IF(BetTable[Outcome3]="Void",BetTable[S3],)))))</f>
        <v>0</v>
      </c>
      <c r="AI1222" s="168">
        <f>IF(BetTable[Outcome]="",AI1221,BetTable[Result]+AI1221)</f>
        <v>2591.9627499999992</v>
      </c>
      <c r="AJ1222" s="160"/>
    </row>
    <row r="1223" spans="1:36" x14ac:dyDescent="0.2">
      <c r="A1223" s="159" t="s">
        <v>2968</v>
      </c>
      <c r="B1223" s="160" t="s">
        <v>7</v>
      </c>
      <c r="C1223" s="161" t="s">
        <v>91</v>
      </c>
      <c r="D1223" s="161"/>
      <c r="E1223" s="161"/>
      <c r="F1223" s="162"/>
      <c r="G1223" s="162"/>
      <c r="H1223" s="162"/>
      <c r="I1223" s="160" t="s">
        <v>2996</v>
      </c>
      <c r="J1223" s="163">
        <v>1.92</v>
      </c>
      <c r="K1223" s="163"/>
      <c r="L1223" s="163"/>
      <c r="M1223" s="164">
        <v>43</v>
      </c>
      <c r="N1223" s="164"/>
      <c r="O1223" s="164"/>
      <c r="P1223" s="159" t="s">
        <v>1104</v>
      </c>
      <c r="Q1223" s="159" t="s">
        <v>569</v>
      </c>
      <c r="R1223" s="159" t="s">
        <v>2997</v>
      </c>
      <c r="S1223" s="165">
        <v>2.20273876239057E-2</v>
      </c>
      <c r="T1223" s="166" t="s">
        <v>382</v>
      </c>
      <c r="U1223" s="166"/>
      <c r="V1223" s="166"/>
      <c r="W1223" s="167">
        <f>IF(BetTable[Sport]="","",BetTable[Stake]+BetTable[S2]+BetTable[S3])</f>
        <v>43</v>
      </c>
      <c r="X1223" s="164">
        <f>IF(BetTable[Odds]="","",(BetTable[WBA1-Commission])-BetTable[TS])</f>
        <v>39.56</v>
      </c>
      <c r="Y1223" s="168">
        <f>IF(BetTable[Outcome]="","",BetTable[WBA1]+BetTable[WBA2]+BetTable[WBA3]-BetTable[TS])</f>
        <v>-43</v>
      </c>
      <c r="Z1223" s="164">
        <f>(((BetTable[Odds]-1)*BetTable[Stake])*(1-(BetTable[Comm %]))+BetTable[Stake])</f>
        <v>82.56</v>
      </c>
      <c r="AA1223" s="164">
        <f>(((BetTable[O2]-1)*BetTable[S2])*(1-(BetTable[C% 2]))+BetTable[S2])</f>
        <v>0</v>
      </c>
      <c r="AB1223" s="164">
        <f>(((BetTable[O3]-1)*BetTable[S3])*(1-(BetTable[C% 3]))+BetTable[S3])</f>
        <v>0</v>
      </c>
      <c r="AC1223" s="165">
        <f>IFERROR(IF(BetTable[Sport]="","",BetTable[R1]/BetTable[TS]),"")</f>
        <v>0.92</v>
      </c>
      <c r="AD1223" s="165" t="str">
        <f>IF(BetTable[O2]="","",#REF!/BetTable[TS])</f>
        <v/>
      </c>
      <c r="AE1223" s="165" t="str">
        <f>IFERROR(IF(BetTable[Sport]="","",#REF!/BetTable[TS]),"")</f>
        <v/>
      </c>
      <c r="AF1223" s="164">
        <f>IF(BetTable[Outcome]="Win",BetTable[WBA1-Commission],IF(BetTable[Outcome]="Win Half Stake",(BetTable[Stake]/2)+BetTable[WBA1-Commission]/2,IF(BetTable[Outcome]="Lose Half Stake",BetTable[Stake]/2,IF(BetTable[Outcome]="Lose",0,IF(BetTable[Outcome]="Void",BetTable[Stake],)))))</f>
        <v>0</v>
      </c>
      <c r="AG1223" s="164">
        <f>IF(BetTable[Outcome2]="Win",BetTable[WBA2-Commission],IF(BetTable[Outcome2]="Win Half Stake",(BetTable[S2]/2)+BetTable[WBA2-Commission]/2,IF(BetTable[Outcome2]="Lose Half Stake",BetTable[S2]/2,IF(BetTable[Outcome2]="Lose",0,IF(BetTable[Outcome2]="Void",BetTable[S2],)))))</f>
        <v>0</v>
      </c>
      <c r="AH1223" s="164">
        <f>IF(BetTable[Outcome3]="Win",BetTable[WBA3-Commission],IF(BetTable[Outcome3]="Win Half Stake",(BetTable[S3]/2)+BetTable[WBA3-Commission]/2,IF(BetTable[Outcome3]="Lose Half Stake",BetTable[S3]/2,IF(BetTable[Outcome3]="Lose",0,IF(BetTable[Outcome3]="Void",BetTable[S3],)))))</f>
        <v>0</v>
      </c>
      <c r="AI1223" s="168">
        <f>IF(BetTable[Outcome]="",AI1222,BetTable[Result]+AI1222)</f>
        <v>2548.9627499999992</v>
      </c>
      <c r="AJ1223" s="160"/>
    </row>
    <row r="1224" spans="1:36" x14ac:dyDescent="0.2">
      <c r="A1224" s="159" t="s">
        <v>2968</v>
      </c>
      <c r="B1224" s="160" t="s">
        <v>200</v>
      </c>
      <c r="C1224" s="161" t="s">
        <v>1714</v>
      </c>
      <c r="D1224" s="161"/>
      <c r="E1224" s="161"/>
      <c r="F1224" s="162"/>
      <c r="G1224" s="162"/>
      <c r="H1224" s="162"/>
      <c r="I1224" s="160" t="s">
        <v>2998</v>
      </c>
      <c r="J1224" s="163">
        <v>1.92</v>
      </c>
      <c r="K1224" s="163"/>
      <c r="L1224" s="163"/>
      <c r="M1224" s="164">
        <v>35</v>
      </c>
      <c r="N1224" s="164"/>
      <c r="O1224" s="164"/>
      <c r="P1224" s="159" t="s">
        <v>508</v>
      </c>
      <c r="Q1224" s="159" t="s">
        <v>796</v>
      </c>
      <c r="R1224" s="159" t="s">
        <v>2999</v>
      </c>
      <c r="S1224" s="165">
        <v>1.8085808580857999E-2</v>
      </c>
      <c r="T1224" s="166" t="s">
        <v>372</v>
      </c>
      <c r="U1224" s="166"/>
      <c r="V1224" s="166"/>
      <c r="W1224" s="167">
        <f>IF(BetTable[Sport]="","",BetTable[Stake]+BetTable[S2]+BetTable[S3])</f>
        <v>35</v>
      </c>
      <c r="X1224" s="164">
        <f>IF(BetTable[Odds]="","",(BetTable[WBA1-Commission])-BetTable[TS])</f>
        <v>32.199999999999989</v>
      </c>
      <c r="Y1224" s="168">
        <f>IF(BetTable[Outcome]="","",BetTable[WBA1]+BetTable[WBA2]+BetTable[WBA3]-BetTable[TS])</f>
        <v>32.199999999999989</v>
      </c>
      <c r="Z1224" s="164">
        <f>(((BetTable[Odds]-1)*BetTable[Stake])*(1-(BetTable[Comm %]))+BetTable[Stake])</f>
        <v>67.199999999999989</v>
      </c>
      <c r="AA1224" s="164">
        <f>(((BetTable[O2]-1)*BetTable[S2])*(1-(BetTable[C% 2]))+BetTable[S2])</f>
        <v>0</v>
      </c>
      <c r="AB1224" s="164">
        <f>(((BetTable[O3]-1)*BetTable[S3])*(1-(BetTable[C% 3]))+BetTable[S3])</f>
        <v>0</v>
      </c>
      <c r="AC1224" s="165">
        <f>IFERROR(IF(BetTable[Sport]="","",BetTable[R1]/BetTable[TS]),"")</f>
        <v>0.91999999999999971</v>
      </c>
      <c r="AD1224" s="165" t="str">
        <f>IF(BetTable[O2]="","",#REF!/BetTable[TS])</f>
        <v/>
      </c>
      <c r="AE1224" s="165" t="str">
        <f>IFERROR(IF(BetTable[Sport]="","",#REF!/BetTable[TS]),"")</f>
        <v/>
      </c>
      <c r="AF1224" s="164">
        <f>IF(BetTable[Outcome]="Win",BetTable[WBA1-Commission],IF(BetTable[Outcome]="Win Half Stake",(BetTable[Stake]/2)+BetTable[WBA1-Commission]/2,IF(BetTable[Outcome]="Lose Half Stake",BetTable[Stake]/2,IF(BetTable[Outcome]="Lose",0,IF(BetTable[Outcome]="Void",BetTable[Stake],)))))</f>
        <v>67.199999999999989</v>
      </c>
      <c r="AG1224" s="164">
        <f>IF(BetTable[Outcome2]="Win",BetTable[WBA2-Commission],IF(BetTable[Outcome2]="Win Half Stake",(BetTable[S2]/2)+BetTable[WBA2-Commission]/2,IF(BetTable[Outcome2]="Lose Half Stake",BetTable[S2]/2,IF(BetTable[Outcome2]="Lose",0,IF(BetTable[Outcome2]="Void",BetTable[S2],)))))</f>
        <v>0</v>
      </c>
      <c r="AH1224" s="164">
        <f>IF(BetTable[Outcome3]="Win",BetTable[WBA3-Commission],IF(BetTable[Outcome3]="Win Half Stake",(BetTable[S3]/2)+BetTable[WBA3-Commission]/2,IF(BetTable[Outcome3]="Lose Half Stake",BetTable[S3]/2,IF(BetTable[Outcome3]="Lose",0,IF(BetTable[Outcome3]="Void",BetTable[S3],)))))</f>
        <v>0</v>
      </c>
      <c r="AI1224" s="168">
        <f>IF(BetTable[Outcome]="",AI1223,BetTable[Result]+AI1223)</f>
        <v>2581.1627499999991</v>
      </c>
      <c r="AJ1224" s="160"/>
    </row>
    <row r="1225" spans="1:36" x14ac:dyDescent="0.2">
      <c r="A1225" s="159" t="s">
        <v>2968</v>
      </c>
      <c r="B1225" s="160" t="s">
        <v>7</v>
      </c>
      <c r="C1225" s="161" t="s">
        <v>91</v>
      </c>
      <c r="D1225" s="161"/>
      <c r="E1225" s="161"/>
      <c r="F1225" s="162"/>
      <c r="G1225" s="162"/>
      <c r="H1225" s="162"/>
      <c r="I1225" s="160" t="s">
        <v>3000</v>
      </c>
      <c r="J1225" s="163">
        <v>1.9</v>
      </c>
      <c r="K1225" s="163"/>
      <c r="L1225" s="163"/>
      <c r="M1225" s="164">
        <v>45</v>
      </c>
      <c r="N1225" s="164"/>
      <c r="O1225" s="164"/>
      <c r="P1225" s="159" t="s">
        <v>1545</v>
      </c>
      <c r="Q1225" s="159" t="s">
        <v>1136</v>
      </c>
      <c r="R1225" s="159" t="s">
        <v>3001</v>
      </c>
      <c r="S1225" s="165">
        <v>2.2915482825094501E-2</v>
      </c>
      <c r="T1225" s="166" t="s">
        <v>382</v>
      </c>
      <c r="U1225" s="166"/>
      <c r="V1225" s="166"/>
      <c r="W1225" s="167">
        <f>IF(BetTable[Sport]="","",BetTable[Stake]+BetTable[S2]+BetTable[S3])</f>
        <v>45</v>
      </c>
      <c r="X1225" s="164">
        <f>IF(BetTable[Odds]="","",(BetTable[WBA1-Commission])-BetTable[TS])</f>
        <v>40.5</v>
      </c>
      <c r="Y1225" s="168">
        <f>IF(BetTable[Outcome]="","",BetTable[WBA1]+BetTable[WBA2]+BetTable[WBA3]-BetTable[TS])</f>
        <v>-45</v>
      </c>
      <c r="Z1225" s="164">
        <f>(((BetTable[Odds]-1)*BetTable[Stake])*(1-(BetTable[Comm %]))+BetTable[Stake])</f>
        <v>85.5</v>
      </c>
      <c r="AA1225" s="164">
        <f>(((BetTable[O2]-1)*BetTable[S2])*(1-(BetTable[C% 2]))+BetTable[S2])</f>
        <v>0</v>
      </c>
      <c r="AB1225" s="164">
        <f>(((BetTable[O3]-1)*BetTable[S3])*(1-(BetTable[C% 3]))+BetTable[S3])</f>
        <v>0</v>
      </c>
      <c r="AC1225" s="165">
        <f>IFERROR(IF(BetTable[Sport]="","",BetTable[R1]/BetTable[TS]),"")</f>
        <v>0.9</v>
      </c>
      <c r="AD1225" s="165" t="str">
        <f>IF(BetTable[O2]="","",#REF!/BetTable[TS])</f>
        <v/>
      </c>
      <c r="AE1225" s="165" t="str">
        <f>IFERROR(IF(BetTable[Sport]="","",#REF!/BetTable[TS]),"")</f>
        <v/>
      </c>
      <c r="AF1225" s="164">
        <f>IF(BetTable[Outcome]="Win",BetTable[WBA1-Commission],IF(BetTable[Outcome]="Win Half Stake",(BetTable[Stake]/2)+BetTable[WBA1-Commission]/2,IF(BetTable[Outcome]="Lose Half Stake",BetTable[Stake]/2,IF(BetTable[Outcome]="Lose",0,IF(BetTable[Outcome]="Void",BetTable[Stake],)))))</f>
        <v>0</v>
      </c>
      <c r="AG1225" s="164">
        <f>IF(BetTable[Outcome2]="Win",BetTable[WBA2-Commission],IF(BetTable[Outcome2]="Win Half Stake",(BetTable[S2]/2)+BetTable[WBA2-Commission]/2,IF(BetTable[Outcome2]="Lose Half Stake",BetTable[S2]/2,IF(BetTable[Outcome2]="Lose",0,IF(BetTable[Outcome2]="Void",BetTable[S2],)))))</f>
        <v>0</v>
      </c>
      <c r="AH1225" s="164">
        <f>IF(BetTable[Outcome3]="Win",BetTable[WBA3-Commission],IF(BetTable[Outcome3]="Win Half Stake",(BetTable[S3]/2)+BetTable[WBA3-Commission]/2,IF(BetTable[Outcome3]="Lose Half Stake",BetTable[S3]/2,IF(BetTable[Outcome3]="Lose",0,IF(BetTable[Outcome3]="Void",BetTable[S3],)))))</f>
        <v>0</v>
      </c>
      <c r="AI1225" s="168">
        <f>IF(BetTable[Outcome]="",AI1224,BetTable[Result]+AI1224)</f>
        <v>2536.1627499999991</v>
      </c>
      <c r="AJ1225" s="160"/>
    </row>
    <row r="1226" spans="1:36" x14ac:dyDescent="0.2">
      <c r="A1226" s="159" t="s">
        <v>2968</v>
      </c>
      <c r="B1226" s="160" t="s">
        <v>200</v>
      </c>
      <c r="C1226" s="161" t="s">
        <v>1714</v>
      </c>
      <c r="D1226" s="161"/>
      <c r="E1226" s="161"/>
      <c r="F1226" s="162"/>
      <c r="G1226" s="162"/>
      <c r="H1226" s="162"/>
      <c r="I1226" s="160" t="s">
        <v>3002</v>
      </c>
      <c r="J1226" s="163">
        <v>1.91</v>
      </c>
      <c r="K1226" s="163"/>
      <c r="L1226" s="163"/>
      <c r="M1226" s="164">
        <v>65</v>
      </c>
      <c r="N1226" s="164"/>
      <c r="O1226" s="164"/>
      <c r="P1226" s="159" t="s">
        <v>354</v>
      </c>
      <c r="Q1226" s="159" t="s">
        <v>968</v>
      </c>
      <c r="R1226" s="159" t="s">
        <v>3003</v>
      </c>
      <c r="S1226" s="165">
        <v>3.2987478450231297E-2</v>
      </c>
      <c r="T1226" s="166" t="s">
        <v>372</v>
      </c>
      <c r="U1226" s="166"/>
      <c r="V1226" s="166"/>
      <c r="W1226" s="167">
        <f>IF(BetTable[Sport]="","",BetTable[Stake]+BetTable[S2]+BetTable[S3])</f>
        <v>65</v>
      </c>
      <c r="X1226" s="164">
        <f>IF(BetTable[Odds]="","",(BetTable[WBA1-Commission])-BetTable[TS])</f>
        <v>59.149999999999991</v>
      </c>
      <c r="Y1226" s="168">
        <f>IF(BetTable[Outcome]="","",BetTable[WBA1]+BetTable[WBA2]+BetTable[WBA3]-BetTable[TS])</f>
        <v>59.149999999999991</v>
      </c>
      <c r="Z1226" s="164">
        <f>(((BetTable[Odds]-1)*BetTable[Stake])*(1-(BetTable[Comm %]))+BetTable[Stake])</f>
        <v>124.14999999999999</v>
      </c>
      <c r="AA1226" s="164">
        <f>(((BetTable[O2]-1)*BetTable[S2])*(1-(BetTable[C% 2]))+BetTable[S2])</f>
        <v>0</v>
      </c>
      <c r="AB1226" s="164">
        <f>(((BetTable[O3]-1)*BetTable[S3])*(1-(BetTable[C% 3]))+BetTable[S3])</f>
        <v>0</v>
      </c>
      <c r="AC1226" s="165">
        <f>IFERROR(IF(BetTable[Sport]="","",BetTable[R1]/BetTable[TS]),"")</f>
        <v>0.90999999999999992</v>
      </c>
      <c r="AD1226" s="165" t="str">
        <f>IF(BetTable[O2]="","",#REF!/BetTable[TS])</f>
        <v/>
      </c>
      <c r="AE1226" s="165" t="str">
        <f>IFERROR(IF(BetTable[Sport]="","",#REF!/BetTable[TS]),"")</f>
        <v/>
      </c>
      <c r="AF1226" s="164">
        <f>IF(BetTable[Outcome]="Win",BetTable[WBA1-Commission],IF(BetTable[Outcome]="Win Half Stake",(BetTable[Stake]/2)+BetTable[WBA1-Commission]/2,IF(BetTable[Outcome]="Lose Half Stake",BetTable[Stake]/2,IF(BetTable[Outcome]="Lose",0,IF(BetTable[Outcome]="Void",BetTable[Stake],)))))</f>
        <v>124.14999999999999</v>
      </c>
      <c r="AG1226" s="164">
        <f>IF(BetTable[Outcome2]="Win",BetTable[WBA2-Commission],IF(BetTable[Outcome2]="Win Half Stake",(BetTable[S2]/2)+BetTable[WBA2-Commission]/2,IF(BetTable[Outcome2]="Lose Half Stake",BetTable[S2]/2,IF(BetTable[Outcome2]="Lose",0,IF(BetTable[Outcome2]="Void",BetTable[S2],)))))</f>
        <v>0</v>
      </c>
      <c r="AH1226" s="164">
        <f>IF(BetTable[Outcome3]="Win",BetTable[WBA3-Commission],IF(BetTable[Outcome3]="Win Half Stake",(BetTable[S3]/2)+BetTable[WBA3-Commission]/2,IF(BetTable[Outcome3]="Lose Half Stake",BetTable[S3]/2,IF(BetTable[Outcome3]="Lose",0,IF(BetTable[Outcome3]="Void",BetTable[S3],)))))</f>
        <v>0</v>
      </c>
      <c r="AI1226" s="168">
        <f>IF(BetTable[Outcome]="",AI1225,BetTable[Result]+AI1225)</f>
        <v>2595.3127499999991</v>
      </c>
      <c r="AJ1226" s="160"/>
    </row>
    <row r="1227" spans="1:36" x14ac:dyDescent="0.2">
      <c r="A1227" s="159" t="s">
        <v>2968</v>
      </c>
      <c r="B1227" s="160" t="s">
        <v>200</v>
      </c>
      <c r="C1227" s="161" t="s">
        <v>1714</v>
      </c>
      <c r="D1227" s="161"/>
      <c r="E1227" s="161"/>
      <c r="F1227" s="162"/>
      <c r="G1227" s="162"/>
      <c r="H1227" s="162"/>
      <c r="I1227" s="160" t="s">
        <v>3004</v>
      </c>
      <c r="J1227" s="163">
        <v>1.99</v>
      </c>
      <c r="K1227" s="163"/>
      <c r="L1227" s="163"/>
      <c r="M1227" s="164">
        <v>32</v>
      </c>
      <c r="N1227" s="164"/>
      <c r="O1227" s="164"/>
      <c r="P1227" s="159" t="s">
        <v>457</v>
      </c>
      <c r="Q1227" s="159" t="s">
        <v>968</v>
      </c>
      <c r="R1227" s="159" t="s">
        <v>3005</v>
      </c>
      <c r="S1227" s="165">
        <v>1.7573545919799798E-2</v>
      </c>
      <c r="T1227" s="166" t="s">
        <v>382</v>
      </c>
      <c r="U1227" s="166"/>
      <c r="V1227" s="166"/>
      <c r="W1227" s="167">
        <f>IF(BetTable[Sport]="","",BetTable[Stake]+BetTable[S2]+BetTable[S3])</f>
        <v>32</v>
      </c>
      <c r="X1227" s="164">
        <f>IF(BetTable[Odds]="","",(BetTable[WBA1-Commission])-BetTable[TS])</f>
        <v>31.68</v>
      </c>
      <c r="Y1227" s="168">
        <f>IF(BetTable[Outcome]="","",BetTable[WBA1]+BetTable[WBA2]+BetTable[WBA3]-BetTable[TS])</f>
        <v>-32</v>
      </c>
      <c r="Z1227" s="164">
        <f>(((BetTable[Odds]-1)*BetTable[Stake])*(1-(BetTable[Comm %]))+BetTable[Stake])</f>
        <v>63.68</v>
      </c>
      <c r="AA1227" s="164">
        <f>(((BetTable[O2]-1)*BetTable[S2])*(1-(BetTable[C% 2]))+BetTable[S2])</f>
        <v>0</v>
      </c>
      <c r="AB1227" s="164">
        <f>(((BetTable[O3]-1)*BetTable[S3])*(1-(BetTable[C% 3]))+BetTable[S3])</f>
        <v>0</v>
      </c>
      <c r="AC1227" s="165">
        <f>IFERROR(IF(BetTable[Sport]="","",BetTable[R1]/BetTable[TS]),"")</f>
        <v>0.99</v>
      </c>
      <c r="AD1227" s="165" t="str">
        <f>IF(BetTable[O2]="","",#REF!/BetTable[TS])</f>
        <v/>
      </c>
      <c r="AE1227" s="165" t="str">
        <f>IFERROR(IF(BetTable[Sport]="","",#REF!/BetTable[TS]),"")</f>
        <v/>
      </c>
      <c r="AF1227" s="164">
        <f>IF(BetTable[Outcome]="Win",BetTable[WBA1-Commission],IF(BetTable[Outcome]="Win Half Stake",(BetTable[Stake]/2)+BetTable[WBA1-Commission]/2,IF(BetTable[Outcome]="Lose Half Stake",BetTable[Stake]/2,IF(BetTable[Outcome]="Lose",0,IF(BetTable[Outcome]="Void",BetTable[Stake],)))))</f>
        <v>0</v>
      </c>
      <c r="AG1227" s="164">
        <f>IF(BetTable[Outcome2]="Win",BetTable[WBA2-Commission],IF(BetTable[Outcome2]="Win Half Stake",(BetTable[S2]/2)+BetTable[WBA2-Commission]/2,IF(BetTable[Outcome2]="Lose Half Stake",BetTable[S2]/2,IF(BetTable[Outcome2]="Lose",0,IF(BetTable[Outcome2]="Void",BetTable[S2],)))))</f>
        <v>0</v>
      </c>
      <c r="AH1227" s="164">
        <f>IF(BetTable[Outcome3]="Win",BetTable[WBA3-Commission],IF(BetTable[Outcome3]="Win Half Stake",(BetTable[S3]/2)+BetTable[WBA3-Commission]/2,IF(BetTable[Outcome3]="Lose Half Stake",BetTable[S3]/2,IF(BetTable[Outcome3]="Lose",0,IF(BetTable[Outcome3]="Void",BetTable[S3],)))))</f>
        <v>0</v>
      </c>
      <c r="AI1227" s="168">
        <f>IF(BetTable[Outcome]="",AI1226,BetTable[Result]+AI1226)</f>
        <v>2563.3127499999991</v>
      </c>
      <c r="AJ1227" s="160"/>
    </row>
    <row r="1228" spans="1:36" x14ac:dyDescent="0.2">
      <c r="A1228" s="159" t="s">
        <v>2968</v>
      </c>
      <c r="B1228" s="160" t="s">
        <v>200</v>
      </c>
      <c r="C1228" s="161" t="s">
        <v>1714</v>
      </c>
      <c r="D1228" s="161"/>
      <c r="E1228" s="161"/>
      <c r="F1228" s="162"/>
      <c r="G1228" s="162"/>
      <c r="H1228" s="162"/>
      <c r="I1228" s="160" t="s">
        <v>2848</v>
      </c>
      <c r="J1228" s="163">
        <v>2.0699999999999998</v>
      </c>
      <c r="K1228" s="163"/>
      <c r="L1228" s="163"/>
      <c r="M1228" s="164">
        <v>31</v>
      </c>
      <c r="N1228" s="164"/>
      <c r="O1228" s="164"/>
      <c r="P1228" s="159" t="s">
        <v>791</v>
      </c>
      <c r="Q1228" s="159" t="s">
        <v>968</v>
      </c>
      <c r="R1228" s="159" t="s">
        <v>3006</v>
      </c>
      <c r="S1228" s="165">
        <v>1.8330582331376199E-2</v>
      </c>
      <c r="T1228" s="166" t="s">
        <v>372</v>
      </c>
      <c r="U1228" s="166"/>
      <c r="V1228" s="166"/>
      <c r="W1228" s="167">
        <f>IF(BetTable[Sport]="","",BetTable[Stake]+BetTable[S2]+BetTable[S3])</f>
        <v>31</v>
      </c>
      <c r="X1228" s="164">
        <f>IF(BetTable[Odds]="","",(BetTable[WBA1-Commission])-BetTable[TS])</f>
        <v>33.169999999999987</v>
      </c>
      <c r="Y1228" s="168">
        <f>IF(BetTable[Outcome]="","",BetTable[WBA1]+BetTable[WBA2]+BetTable[WBA3]-BetTable[TS])</f>
        <v>33.169999999999987</v>
      </c>
      <c r="Z1228" s="164">
        <f>(((BetTable[Odds]-1)*BetTable[Stake])*(1-(BetTable[Comm %]))+BetTable[Stake])</f>
        <v>64.169999999999987</v>
      </c>
      <c r="AA1228" s="164">
        <f>(((BetTable[O2]-1)*BetTable[S2])*(1-(BetTable[C% 2]))+BetTable[S2])</f>
        <v>0</v>
      </c>
      <c r="AB1228" s="164">
        <f>(((BetTable[O3]-1)*BetTable[S3])*(1-(BetTable[C% 3]))+BetTable[S3])</f>
        <v>0</v>
      </c>
      <c r="AC1228" s="165">
        <f>IFERROR(IF(BetTable[Sport]="","",BetTable[R1]/BetTable[TS]),"")</f>
        <v>1.0699999999999996</v>
      </c>
      <c r="AD1228" s="165" t="str">
        <f>IF(BetTable[O2]="","",#REF!/BetTable[TS])</f>
        <v/>
      </c>
      <c r="AE1228" s="165" t="str">
        <f>IFERROR(IF(BetTable[Sport]="","",#REF!/BetTable[TS]),"")</f>
        <v/>
      </c>
      <c r="AF1228" s="164">
        <f>IF(BetTable[Outcome]="Win",BetTable[WBA1-Commission],IF(BetTable[Outcome]="Win Half Stake",(BetTable[Stake]/2)+BetTable[WBA1-Commission]/2,IF(BetTable[Outcome]="Lose Half Stake",BetTable[Stake]/2,IF(BetTable[Outcome]="Lose",0,IF(BetTable[Outcome]="Void",BetTable[Stake],)))))</f>
        <v>64.169999999999987</v>
      </c>
      <c r="AG1228" s="164">
        <f>IF(BetTable[Outcome2]="Win",BetTable[WBA2-Commission],IF(BetTable[Outcome2]="Win Half Stake",(BetTable[S2]/2)+BetTable[WBA2-Commission]/2,IF(BetTable[Outcome2]="Lose Half Stake",BetTable[S2]/2,IF(BetTable[Outcome2]="Lose",0,IF(BetTable[Outcome2]="Void",BetTable[S2],)))))</f>
        <v>0</v>
      </c>
      <c r="AH1228" s="164">
        <f>IF(BetTable[Outcome3]="Win",BetTable[WBA3-Commission],IF(BetTable[Outcome3]="Win Half Stake",(BetTable[S3]/2)+BetTable[WBA3-Commission]/2,IF(BetTable[Outcome3]="Lose Half Stake",BetTable[S3]/2,IF(BetTable[Outcome3]="Lose",0,IF(BetTable[Outcome3]="Void",BetTable[S3],)))))</f>
        <v>0</v>
      </c>
      <c r="AI1228" s="168">
        <f>IF(BetTable[Outcome]="",AI1227,BetTable[Result]+AI1227)</f>
        <v>2596.4827499999992</v>
      </c>
      <c r="AJ1228" s="160"/>
    </row>
    <row r="1229" spans="1:36" x14ac:dyDescent="0.2">
      <c r="A1229" s="159" t="s">
        <v>2968</v>
      </c>
      <c r="B1229" s="160" t="s">
        <v>8</v>
      </c>
      <c r="C1229" s="161" t="s">
        <v>91</v>
      </c>
      <c r="D1229" s="161"/>
      <c r="E1229" s="161"/>
      <c r="F1229" s="162"/>
      <c r="G1229" s="162"/>
      <c r="H1229" s="162"/>
      <c r="I1229" s="160" t="s">
        <v>3007</v>
      </c>
      <c r="J1229" s="163">
        <v>2.5099999999999998</v>
      </c>
      <c r="K1229" s="163"/>
      <c r="L1229" s="163"/>
      <c r="M1229" s="164">
        <v>21</v>
      </c>
      <c r="N1229" s="164"/>
      <c r="O1229" s="164"/>
      <c r="P1229" s="159" t="s">
        <v>428</v>
      </c>
      <c r="Q1229" s="159" t="s">
        <v>1171</v>
      </c>
      <c r="R1229" s="159" t="s">
        <v>3008</v>
      </c>
      <c r="S1229" s="165">
        <v>1.76323474713438E-2</v>
      </c>
      <c r="T1229" s="166" t="s">
        <v>372</v>
      </c>
      <c r="U1229" s="166"/>
      <c r="V1229" s="166"/>
      <c r="W1229" s="167">
        <f>IF(BetTable[Sport]="","",BetTable[Stake]+BetTable[S2]+BetTable[S3])</f>
        <v>21</v>
      </c>
      <c r="X1229" s="164">
        <f>IF(BetTable[Odds]="","",(BetTable[WBA1-Commission])-BetTable[TS])</f>
        <v>31.709999999999994</v>
      </c>
      <c r="Y1229" s="168">
        <f>IF(BetTable[Outcome]="","",BetTable[WBA1]+BetTable[WBA2]+BetTable[WBA3]-BetTable[TS])</f>
        <v>31.709999999999994</v>
      </c>
      <c r="Z1229" s="164">
        <f>(((BetTable[Odds]-1)*BetTable[Stake])*(1-(BetTable[Comm %]))+BetTable[Stake])</f>
        <v>52.709999999999994</v>
      </c>
      <c r="AA1229" s="164">
        <f>(((BetTable[O2]-1)*BetTable[S2])*(1-(BetTable[C% 2]))+BetTable[S2])</f>
        <v>0</v>
      </c>
      <c r="AB1229" s="164">
        <f>(((BetTable[O3]-1)*BetTable[S3])*(1-(BetTable[C% 3]))+BetTable[S3])</f>
        <v>0</v>
      </c>
      <c r="AC1229" s="165">
        <f>IFERROR(IF(BetTable[Sport]="","",BetTable[R1]/BetTable[TS]),"")</f>
        <v>1.5099999999999998</v>
      </c>
      <c r="AD1229" s="165" t="str">
        <f>IF(BetTable[O2]="","",#REF!/BetTable[TS])</f>
        <v/>
      </c>
      <c r="AE1229" s="165" t="str">
        <f>IFERROR(IF(BetTable[Sport]="","",#REF!/BetTable[TS]),"")</f>
        <v/>
      </c>
      <c r="AF1229" s="164">
        <f>IF(BetTable[Outcome]="Win",BetTable[WBA1-Commission],IF(BetTable[Outcome]="Win Half Stake",(BetTable[Stake]/2)+BetTable[WBA1-Commission]/2,IF(BetTable[Outcome]="Lose Half Stake",BetTable[Stake]/2,IF(BetTable[Outcome]="Lose",0,IF(BetTable[Outcome]="Void",BetTable[Stake],)))))</f>
        <v>52.709999999999994</v>
      </c>
      <c r="AG1229" s="164">
        <f>IF(BetTable[Outcome2]="Win",BetTable[WBA2-Commission],IF(BetTable[Outcome2]="Win Half Stake",(BetTable[S2]/2)+BetTable[WBA2-Commission]/2,IF(BetTable[Outcome2]="Lose Half Stake",BetTable[S2]/2,IF(BetTable[Outcome2]="Lose",0,IF(BetTable[Outcome2]="Void",BetTable[S2],)))))</f>
        <v>0</v>
      </c>
      <c r="AH1229" s="164">
        <f>IF(BetTable[Outcome3]="Win",BetTable[WBA3-Commission],IF(BetTable[Outcome3]="Win Half Stake",(BetTable[S3]/2)+BetTable[WBA3-Commission]/2,IF(BetTable[Outcome3]="Lose Half Stake",BetTable[S3]/2,IF(BetTable[Outcome3]="Lose",0,IF(BetTable[Outcome3]="Void",BetTable[S3],)))))</f>
        <v>0</v>
      </c>
      <c r="AI1229" s="168">
        <f>IF(BetTable[Outcome]="",AI1228,BetTable[Result]+AI1228)</f>
        <v>2628.1927499999993</v>
      </c>
      <c r="AJ1229" s="160"/>
    </row>
    <row r="1230" spans="1:36" x14ac:dyDescent="0.2">
      <c r="A1230" s="159" t="s">
        <v>2968</v>
      </c>
      <c r="B1230" s="160" t="s">
        <v>7</v>
      </c>
      <c r="C1230" s="161" t="s">
        <v>1714</v>
      </c>
      <c r="D1230" s="161"/>
      <c r="E1230" s="161"/>
      <c r="F1230" s="162"/>
      <c r="G1230" s="162"/>
      <c r="H1230" s="162"/>
      <c r="I1230" s="160" t="s">
        <v>3009</v>
      </c>
      <c r="J1230" s="163">
        <v>2.08</v>
      </c>
      <c r="K1230" s="163"/>
      <c r="L1230" s="163"/>
      <c r="M1230" s="164">
        <v>34</v>
      </c>
      <c r="N1230" s="164"/>
      <c r="O1230" s="164"/>
      <c r="P1230" s="159" t="s">
        <v>2073</v>
      </c>
      <c r="Q1230" s="159" t="s">
        <v>1136</v>
      </c>
      <c r="R1230" s="159" t="s">
        <v>3010</v>
      </c>
      <c r="S1230" s="165">
        <v>2.0762529660517001E-2</v>
      </c>
      <c r="T1230" s="166" t="s">
        <v>372</v>
      </c>
      <c r="U1230" s="166"/>
      <c r="V1230" s="166"/>
      <c r="W1230" s="167">
        <f>IF(BetTable[Sport]="","",BetTable[Stake]+BetTable[S2]+BetTable[S3])</f>
        <v>34</v>
      </c>
      <c r="X1230" s="164">
        <f>IF(BetTable[Odds]="","",(BetTable[WBA1-Commission])-BetTable[TS])</f>
        <v>36.72</v>
      </c>
      <c r="Y1230" s="168">
        <f>IF(BetTable[Outcome]="","",BetTable[WBA1]+BetTable[WBA2]+BetTable[WBA3]-BetTable[TS])</f>
        <v>36.72</v>
      </c>
      <c r="Z1230" s="164">
        <f>(((BetTable[Odds]-1)*BetTable[Stake])*(1-(BetTable[Comm %]))+BetTable[Stake])</f>
        <v>70.72</v>
      </c>
      <c r="AA1230" s="164">
        <f>(((BetTable[O2]-1)*BetTable[S2])*(1-(BetTable[C% 2]))+BetTable[S2])</f>
        <v>0</v>
      </c>
      <c r="AB1230" s="164">
        <f>(((BetTable[O3]-1)*BetTable[S3])*(1-(BetTable[C% 3]))+BetTable[S3])</f>
        <v>0</v>
      </c>
      <c r="AC1230" s="165">
        <f>IFERROR(IF(BetTable[Sport]="","",BetTable[R1]/BetTable[TS]),"")</f>
        <v>1.08</v>
      </c>
      <c r="AD1230" s="165" t="str">
        <f>IF(BetTable[O2]="","",#REF!/BetTable[TS])</f>
        <v/>
      </c>
      <c r="AE1230" s="165" t="str">
        <f>IFERROR(IF(BetTable[Sport]="","",#REF!/BetTable[TS]),"")</f>
        <v/>
      </c>
      <c r="AF1230" s="164">
        <f>IF(BetTable[Outcome]="Win",BetTable[WBA1-Commission],IF(BetTable[Outcome]="Win Half Stake",(BetTable[Stake]/2)+BetTable[WBA1-Commission]/2,IF(BetTable[Outcome]="Lose Half Stake",BetTable[Stake]/2,IF(BetTable[Outcome]="Lose",0,IF(BetTable[Outcome]="Void",BetTable[Stake],)))))</f>
        <v>70.72</v>
      </c>
      <c r="AG1230" s="164">
        <f>IF(BetTable[Outcome2]="Win",BetTable[WBA2-Commission],IF(BetTable[Outcome2]="Win Half Stake",(BetTable[S2]/2)+BetTable[WBA2-Commission]/2,IF(BetTable[Outcome2]="Lose Half Stake",BetTable[S2]/2,IF(BetTable[Outcome2]="Lose",0,IF(BetTable[Outcome2]="Void",BetTable[S2],)))))</f>
        <v>0</v>
      </c>
      <c r="AH1230" s="164">
        <f>IF(BetTable[Outcome3]="Win",BetTable[WBA3-Commission],IF(BetTable[Outcome3]="Win Half Stake",(BetTable[S3]/2)+BetTable[WBA3-Commission]/2,IF(BetTable[Outcome3]="Lose Half Stake",BetTable[S3]/2,IF(BetTable[Outcome3]="Lose",0,IF(BetTable[Outcome3]="Void",BetTable[S3],)))))</f>
        <v>0</v>
      </c>
      <c r="AI1230" s="168">
        <f>IF(BetTable[Outcome]="",AI1229,BetTable[Result]+AI1229)</f>
        <v>2664.9127499999991</v>
      </c>
      <c r="AJ1230" s="160"/>
    </row>
    <row r="1231" spans="1:36" x14ac:dyDescent="0.2">
      <c r="A1231" s="159" t="s">
        <v>2968</v>
      </c>
      <c r="B1231" s="160" t="s">
        <v>7</v>
      </c>
      <c r="C1231" s="161" t="s">
        <v>1714</v>
      </c>
      <c r="D1231" s="161"/>
      <c r="E1231" s="161"/>
      <c r="F1231" s="162"/>
      <c r="G1231" s="162"/>
      <c r="H1231" s="162"/>
      <c r="I1231" s="160" t="s">
        <v>3011</v>
      </c>
      <c r="J1231" s="163">
        <v>1.96</v>
      </c>
      <c r="K1231" s="163"/>
      <c r="L1231" s="163"/>
      <c r="M1231" s="164">
        <v>33</v>
      </c>
      <c r="N1231" s="164"/>
      <c r="O1231" s="164"/>
      <c r="P1231" s="159" t="s">
        <v>453</v>
      </c>
      <c r="Q1231" s="159" t="s">
        <v>485</v>
      </c>
      <c r="R1231" s="159" t="s">
        <v>3012</v>
      </c>
      <c r="S1231" s="165">
        <v>1.7658272914071099E-2</v>
      </c>
      <c r="T1231" s="166" t="s">
        <v>382</v>
      </c>
      <c r="U1231" s="166"/>
      <c r="V1231" s="166"/>
      <c r="W1231" s="167">
        <f>IF(BetTable[Sport]="","",BetTable[Stake]+BetTable[S2]+BetTable[S3])</f>
        <v>33</v>
      </c>
      <c r="X1231" s="164">
        <f>IF(BetTable[Odds]="","",(BetTable[WBA1-Commission])-BetTable[TS])</f>
        <v>31.680000000000007</v>
      </c>
      <c r="Y1231" s="168">
        <f>IF(BetTable[Outcome]="","",BetTable[WBA1]+BetTable[WBA2]+BetTable[WBA3]-BetTable[TS])</f>
        <v>-33</v>
      </c>
      <c r="Z1231" s="164">
        <f>(((BetTable[Odds]-1)*BetTable[Stake])*(1-(BetTable[Comm %]))+BetTable[Stake])</f>
        <v>64.680000000000007</v>
      </c>
      <c r="AA1231" s="164">
        <f>(((BetTable[O2]-1)*BetTable[S2])*(1-(BetTable[C% 2]))+BetTable[S2])</f>
        <v>0</v>
      </c>
      <c r="AB1231" s="164">
        <f>(((BetTable[O3]-1)*BetTable[S3])*(1-(BetTable[C% 3]))+BetTable[S3])</f>
        <v>0</v>
      </c>
      <c r="AC1231" s="165">
        <f>IFERROR(IF(BetTable[Sport]="","",BetTable[R1]/BetTable[TS]),"")</f>
        <v>0.96000000000000019</v>
      </c>
      <c r="AD1231" s="165" t="str">
        <f>IF(BetTable[O2]="","",#REF!/BetTable[TS])</f>
        <v/>
      </c>
      <c r="AE1231" s="165" t="str">
        <f>IFERROR(IF(BetTable[Sport]="","",#REF!/BetTable[TS]),"")</f>
        <v/>
      </c>
      <c r="AF1231" s="164">
        <f>IF(BetTable[Outcome]="Win",BetTable[WBA1-Commission],IF(BetTable[Outcome]="Win Half Stake",(BetTable[Stake]/2)+BetTable[WBA1-Commission]/2,IF(BetTable[Outcome]="Lose Half Stake",BetTable[Stake]/2,IF(BetTable[Outcome]="Lose",0,IF(BetTable[Outcome]="Void",BetTable[Stake],)))))</f>
        <v>0</v>
      </c>
      <c r="AG1231" s="164">
        <f>IF(BetTable[Outcome2]="Win",BetTable[WBA2-Commission],IF(BetTable[Outcome2]="Win Half Stake",(BetTable[S2]/2)+BetTable[WBA2-Commission]/2,IF(BetTable[Outcome2]="Lose Half Stake",BetTable[S2]/2,IF(BetTable[Outcome2]="Lose",0,IF(BetTable[Outcome2]="Void",BetTable[S2],)))))</f>
        <v>0</v>
      </c>
      <c r="AH1231" s="164">
        <f>IF(BetTable[Outcome3]="Win",BetTable[WBA3-Commission],IF(BetTable[Outcome3]="Win Half Stake",(BetTable[S3]/2)+BetTable[WBA3-Commission]/2,IF(BetTable[Outcome3]="Lose Half Stake",BetTable[S3]/2,IF(BetTable[Outcome3]="Lose",0,IF(BetTable[Outcome3]="Void",BetTable[S3],)))))</f>
        <v>0</v>
      </c>
      <c r="AI1231" s="168">
        <f>IF(BetTable[Outcome]="",AI1230,BetTable[Result]+AI1230)</f>
        <v>2631.9127499999991</v>
      </c>
      <c r="AJ1231" s="160"/>
    </row>
    <row r="1232" spans="1:36" x14ac:dyDescent="0.2">
      <c r="A1232" s="159" t="s">
        <v>2968</v>
      </c>
      <c r="B1232" s="160" t="s">
        <v>201</v>
      </c>
      <c r="C1232" s="161" t="s">
        <v>91</v>
      </c>
      <c r="D1232" s="161"/>
      <c r="E1232" s="161"/>
      <c r="F1232" s="162"/>
      <c r="G1232" s="162"/>
      <c r="H1232" s="162"/>
      <c r="I1232" s="160" t="s">
        <v>3013</v>
      </c>
      <c r="J1232" s="163">
        <v>2.02</v>
      </c>
      <c r="K1232" s="163"/>
      <c r="L1232" s="163"/>
      <c r="M1232" s="164">
        <v>38</v>
      </c>
      <c r="N1232" s="164"/>
      <c r="O1232" s="164"/>
      <c r="P1232" s="159" t="s">
        <v>3014</v>
      </c>
      <c r="Q1232" s="159" t="s">
        <v>530</v>
      </c>
      <c r="R1232" s="159" t="s">
        <v>3015</v>
      </c>
      <c r="S1232" s="165">
        <v>2.1730545454530001E-2</v>
      </c>
      <c r="T1232" s="166" t="s">
        <v>382</v>
      </c>
      <c r="U1232" s="166"/>
      <c r="V1232" s="166"/>
      <c r="W1232" s="167">
        <f>IF(BetTable[Sport]="","",BetTable[Stake]+BetTable[S2]+BetTable[S3])</f>
        <v>38</v>
      </c>
      <c r="X1232" s="164">
        <f>IF(BetTable[Odds]="","",(BetTable[WBA1-Commission])-BetTable[TS])</f>
        <v>38.759999999999991</v>
      </c>
      <c r="Y1232" s="168">
        <f>IF(BetTable[Outcome]="","",BetTable[WBA1]+BetTable[WBA2]+BetTable[WBA3]-BetTable[TS])</f>
        <v>-38</v>
      </c>
      <c r="Z1232" s="164">
        <f>(((BetTable[Odds]-1)*BetTable[Stake])*(1-(BetTable[Comm %]))+BetTable[Stake])</f>
        <v>76.759999999999991</v>
      </c>
      <c r="AA1232" s="164">
        <f>(((BetTable[O2]-1)*BetTable[S2])*(1-(BetTable[C% 2]))+BetTable[S2])</f>
        <v>0</v>
      </c>
      <c r="AB1232" s="164">
        <f>(((BetTable[O3]-1)*BetTable[S3])*(1-(BetTable[C% 3]))+BetTable[S3])</f>
        <v>0</v>
      </c>
      <c r="AC1232" s="165">
        <f>IFERROR(IF(BetTable[Sport]="","",BetTable[R1]/BetTable[TS]),"")</f>
        <v>1.0199999999999998</v>
      </c>
      <c r="AD1232" s="165" t="str">
        <f>IF(BetTable[O2]="","",#REF!/BetTable[TS])</f>
        <v/>
      </c>
      <c r="AE1232" s="165" t="str">
        <f>IFERROR(IF(BetTable[Sport]="","",#REF!/BetTable[TS]),"")</f>
        <v/>
      </c>
      <c r="AF1232" s="164">
        <f>IF(BetTable[Outcome]="Win",BetTable[WBA1-Commission],IF(BetTable[Outcome]="Win Half Stake",(BetTable[Stake]/2)+BetTable[WBA1-Commission]/2,IF(BetTable[Outcome]="Lose Half Stake",BetTable[Stake]/2,IF(BetTable[Outcome]="Lose",0,IF(BetTable[Outcome]="Void",BetTable[Stake],)))))</f>
        <v>0</v>
      </c>
      <c r="AG1232" s="164">
        <f>IF(BetTable[Outcome2]="Win",BetTable[WBA2-Commission],IF(BetTable[Outcome2]="Win Half Stake",(BetTable[S2]/2)+BetTable[WBA2-Commission]/2,IF(BetTable[Outcome2]="Lose Half Stake",BetTable[S2]/2,IF(BetTable[Outcome2]="Lose",0,IF(BetTable[Outcome2]="Void",BetTable[S2],)))))</f>
        <v>0</v>
      </c>
      <c r="AH1232" s="164">
        <f>IF(BetTable[Outcome3]="Win",BetTable[WBA3-Commission],IF(BetTable[Outcome3]="Win Half Stake",(BetTable[S3]/2)+BetTable[WBA3-Commission]/2,IF(BetTable[Outcome3]="Lose Half Stake",BetTable[S3]/2,IF(BetTable[Outcome3]="Lose",0,IF(BetTable[Outcome3]="Void",BetTable[S3],)))))</f>
        <v>0</v>
      </c>
      <c r="AI1232" s="168">
        <f>IF(BetTable[Outcome]="",AI1231,BetTable[Result]+AI1231)</f>
        <v>2593.9127499999991</v>
      </c>
      <c r="AJ1232" s="160"/>
    </row>
    <row r="1233" spans="1:36" x14ac:dyDescent="0.2">
      <c r="A1233" s="159" t="s">
        <v>2968</v>
      </c>
      <c r="B1233" s="160" t="s">
        <v>200</v>
      </c>
      <c r="C1233" s="161" t="s">
        <v>1714</v>
      </c>
      <c r="D1233" s="161"/>
      <c r="E1233" s="161"/>
      <c r="F1233" s="162"/>
      <c r="G1233" s="162"/>
      <c r="H1233" s="162"/>
      <c r="I1233" s="160" t="s">
        <v>3016</v>
      </c>
      <c r="J1233" s="163">
        <v>1.99</v>
      </c>
      <c r="K1233" s="163"/>
      <c r="L1233" s="163"/>
      <c r="M1233" s="164">
        <v>31</v>
      </c>
      <c r="N1233" s="164"/>
      <c r="O1233" s="164"/>
      <c r="P1233" s="159" t="s">
        <v>448</v>
      </c>
      <c r="Q1233" s="159" t="s">
        <v>632</v>
      </c>
      <c r="R1233" s="159" t="s">
        <v>3017</v>
      </c>
      <c r="S1233" s="165">
        <v>1.7362257881715901E-2</v>
      </c>
      <c r="T1233" s="166" t="s">
        <v>382</v>
      </c>
      <c r="U1233" s="166"/>
      <c r="V1233" s="166"/>
      <c r="W1233" s="167">
        <f>IF(BetTable[Sport]="","",BetTable[Stake]+BetTable[S2]+BetTable[S3])</f>
        <v>31</v>
      </c>
      <c r="X1233" s="164">
        <f>IF(BetTable[Odds]="","",(BetTable[WBA1-Commission])-BetTable[TS])</f>
        <v>30.689999999999998</v>
      </c>
      <c r="Y1233" s="168">
        <f>IF(BetTable[Outcome]="","",BetTable[WBA1]+BetTable[WBA2]+BetTable[WBA3]-BetTable[TS])</f>
        <v>-31</v>
      </c>
      <c r="Z1233" s="164">
        <f>(((BetTable[Odds]-1)*BetTable[Stake])*(1-(BetTable[Comm %]))+BetTable[Stake])</f>
        <v>61.69</v>
      </c>
      <c r="AA1233" s="164">
        <f>(((BetTable[O2]-1)*BetTable[S2])*(1-(BetTable[C% 2]))+BetTable[S2])</f>
        <v>0</v>
      </c>
      <c r="AB1233" s="164">
        <f>(((BetTable[O3]-1)*BetTable[S3])*(1-(BetTable[C% 3]))+BetTable[S3])</f>
        <v>0</v>
      </c>
      <c r="AC1233" s="165">
        <f>IFERROR(IF(BetTable[Sport]="","",BetTable[R1]/BetTable[TS]),"")</f>
        <v>0.98999999999999988</v>
      </c>
      <c r="AD1233" s="165" t="str">
        <f>IF(BetTable[O2]="","",#REF!/BetTable[TS])</f>
        <v/>
      </c>
      <c r="AE1233" s="165" t="str">
        <f>IFERROR(IF(BetTable[Sport]="","",#REF!/BetTable[TS]),"")</f>
        <v/>
      </c>
      <c r="AF1233" s="164">
        <f>IF(BetTable[Outcome]="Win",BetTable[WBA1-Commission],IF(BetTable[Outcome]="Win Half Stake",(BetTable[Stake]/2)+BetTable[WBA1-Commission]/2,IF(BetTable[Outcome]="Lose Half Stake",BetTable[Stake]/2,IF(BetTable[Outcome]="Lose",0,IF(BetTable[Outcome]="Void",BetTable[Stake],)))))</f>
        <v>0</v>
      </c>
      <c r="AG1233" s="164">
        <f>IF(BetTable[Outcome2]="Win",BetTable[WBA2-Commission],IF(BetTable[Outcome2]="Win Half Stake",(BetTable[S2]/2)+BetTable[WBA2-Commission]/2,IF(BetTable[Outcome2]="Lose Half Stake",BetTable[S2]/2,IF(BetTable[Outcome2]="Lose",0,IF(BetTable[Outcome2]="Void",BetTable[S2],)))))</f>
        <v>0</v>
      </c>
      <c r="AH1233" s="164">
        <f>IF(BetTable[Outcome3]="Win",BetTable[WBA3-Commission],IF(BetTable[Outcome3]="Win Half Stake",(BetTable[S3]/2)+BetTable[WBA3-Commission]/2,IF(BetTable[Outcome3]="Lose Half Stake",BetTable[S3]/2,IF(BetTable[Outcome3]="Lose",0,IF(BetTable[Outcome3]="Void",BetTable[S3],)))))</f>
        <v>0</v>
      </c>
      <c r="AI1233" s="168">
        <f>IF(BetTable[Outcome]="",AI1232,BetTable[Result]+AI1232)</f>
        <v>2562.9127499999991</v>
      </c>
      <c r="AJ1233" s="160"/>
    </row>
    <row r="1234" spans="1:36" x14ac:dyDescent="0.2">
      <c r="A1234" s="159" t="s">
        <v>2968</v>
      </c>
      <c r="B1234" s="160" t="s">
        <v>8</v>
      </c>
      <c r="C1234" s="161" t="s">
        <v>216</v>
      </c>
      <c r="D1234" s="161"/>
      <c r="E1234" s="161"/>
      <c r="F1234" s="162"/>
      <c r="G1234" s="162"/>
      <c r="H1234" s="162"/>
      <c r="I1234" s="160" t="s">
        <v>3018</v>
      </c>
      <c r="J1234" s="163">
        <v>2.4500000000000002</v>
      </c>
      <c r="K1234" s="163"/>
      <c r="L1234" s="163"/>
      <c r="M1234" s="164">
        <v>25</v>
      </c>
      <c r="N1234" s="164"/>
      <c r="O1234" s="164"/>
      <c r="P1234" s="159" t="s">
        <v>428</v>
      </c>
      <c r="Q1234" s="159" t="s">
        <v>1171</v>
      </c>
      <c r="R1234" s="159" t="s">
        <v>3019</v>
      </c>
      <c r="S1234" s="165">
        <v>3.05534444384126E-2</v>
      </c>
      <c r="T1234" s="166" t="s">
        <v>372</v>
      </c>
      <c r="U1234" s="166"/>
      <c r="V1234" s="166"/>
      <c r="W1234" s="167">
        <f>IF(BetTable[Sport]="","",BetTable[Stake]+BetTable[S2]+BetTable[S3])</f>
        <v>25</v>
      </c>
      <c r="X1234" s="164">
        <f>IF(BetTable[Odds]="","",(BetTable[WBA1-Commission])-BetTable[TS])</f>
        <v>36.250000000000007</v>
      </c>
      <c r="Y1234" s="168">
        <f>IF(BetTable[Outcome]="","",BetTable[WBA1]+BetTable[WBA2]+BetTable[WBA3]-BetTable[TS])</f>
        <v>36.250000000000007</v>
      </c>
      <c r="Z1234" s="164">
        <f>(((BetTable[Odds]-1)*BetTable[Stake])*(1-(BetTable[Comm %]))+BetTable[Stake])</f>
        <v>61.250000000000007</v>
      </c>
      <c r="AA1234" s="164">
        <f>(((BetTable[O2]-1)*BetTable[S2])*(1-(BetTable[C% 2]))+BetTable[S2])</f>
        <v>0</v>
      </c>
      <c r="AB1234" s="164">
        <f>(((BetTable[O3]-1)*BetTable[S3])*(1-(BetTable[C% 3]))+BetTable[S3])</f>
        <v>0</v>
      </c>
      <c r="AC1234" s="165">
        <f>IFERROR(IF(BetTable[Sport]="","",BetTable[R1]/BetTable[TS]),"")</f>
        <v>1.4500000000000002</v>
      </c>
      <c r="AD1234" s="165" t="str">
        <f>IF(BetTable[O2]="","",#REF!/BetTable[TS])</f>
        <v/>
      </c>
      <c r="AE1234" s="165" t="str">
        <f>IFERROR(IF(BetTable[Sport]="","",#REF!/BetTable[TS]),"")</f>
        <v/>
      </c>
      <c r="AF1234" s="164">
        <f>IF(BetTable[Outcome]="Win",BetTable[WBA1-Commission],IF(BetTable[Outcome]="Win Half Stake",(BetTable[Stake]/2)+BetTable[WBA1-Commission]/2,IF(BetTable[Outcome]="Lose Half Stake",BetTable[Stake]/2,IF(BetTable[Outcome]="Lose",0,IF(BetTable[Outcome]="Void",BetTable[Stake],)))))</f>
        <v>61.250000000000007</v>
      </c>
      <c r="AG1234" s="164">
        <f>IF(BetTable[Outcome2]="Win",BetTable[WBA2-Commission],IF(BetTable[Outcome2]="Win Half Stake",(BetTable[S2]/2)+BetTable[WBA2-Commission]/2,IF(BetTable[Outcome2]="Lose Half Stake",BetTable[S2]/2,IF(BetTable[Outcome2]="Lose",0,IF(BetTable[Outcome2]="Void",BetTable[S2],)))))</f>
        <v>0</v>
      </c>
      <c r="AH1234" s="164">
        <f>IF(BetTable[Outcome3]="Win",BetTable[WBA3-Commission],IF(BetTable[Outcome3]="Win Half Stake",(BetTable[S3]/2)+BetTable[WBA3-Commission]/2,IF(BetTable[Outcome3]="Lose Half Stake",BetTable[S3]/2,IF(BetTable[Outcome3]="Lose",0,IF(BetTable[Outcome3]="Void",BetTable[S3],)))))</f>
        <v>0</v>
      </c>
      <c r="AI1234" s="168">
        <f>IF(BetTable[Outcome]="",AI1233,BetTable[Result]+AI1233)</f>
        <v>2599.1627499999991</v>
      </c>
      <c r="AJ1234" s="160"/>
    </row>
    <row r="1235" spans="1:36" x14ac:dyDescent="0.2">
      <c r="A1235" s="159" t="s">
        <v>2968</v>
      </c>
      <c r="B1235" s="160" t="s">
        <v>7</v>
      </c>
      <c r="C1235" s="161" t="s">
        <v>216</v>
      </c>
      <c r="D1235" s="161"/>
      <c r="E1235" s="161"/>
      <c r="F1235" s="162"/>
      <c r="G1235" s="162"/>
      <c r="H1235" s="162"/>
      <c r="I1235" s="160" t="s">
        <v>3020</v>
      </c>
      <c r="J1235" s="163">
        <v>1.909</v>
      </c>
      <c r="K1235" s="163"/>
      <c r="L1235" s="163"/>
      <c r="M1235" s="164">
        <v>55</v>
      </c>
      <c r="N1235" s="164"/>
      <c r="O1235" s="164"/>
      <c r="P1235" s="159" t="s">
        <v>2025</v>
      </c>
      <c r="Q1235" s="159" t="s">
        <v>547</v>
      </c>
      <c r="R1235" s="159" t="s">
        <v>3021</v>
      </c>
      <c r="S1235" s="165">
        <v>2.8079213184476301E-2</v>
      </c>
      <c r="T1235" s="166" t="s">
        <v>382</v>
      </c>
      <c r="U1235" s="166"/>
      <c r="V1235" s="166"/>
      <c r="W1235" s="167">
        <f>IF(BetTable[Sport]="","",BetTable[Stake]+BetTable[S2]+BetTable[S3])</f>
        <v>55</v>
      </c>
      <c r="X1235" s="164">
        <f>IF(BetTable[Odds]="","",(BetTable[WBA1-Commission])-BetTable[TS])</f>
        <v>49.995000000000005</v>
      </c>
      <c r="Y1235" s="168">
        <f>IF(BetTable[Outcome]="","",BetTable[WBA1]+BetTable[WBA2]+BetTable[WBA3]-BetTable[TS])</f>
        <v>-55</v>
      </c>
      <c r="Z1235" s="164">
        <f>(((BetTable[Odds]-1)*BetTable[Stake])*(1-(BetTable[Comm %]))+BetTable[Stake])</f>
        <v>104.995</v>
      </c>
      <c r="AA1235" s="164">
        <f>(((BetTable[O2]-1)*BetTable[S2])*(1-(BetTable[C% 2]))+BetTable[S2])</f>
        <v>0</v>
      </c>
      <c r="AB1235" s="164">
        <f>(((BetTable[O3]-1)*BetTable[S3])*(1-(BetTable[C% 3]))+BetTable[S3])</f>
        <v>0</v>
      </c>
      <c r="AC1235" s="165">
        <f>IFERROR(IF(BetTable[Sport]="","",BetTable[R1]/BetTable[TS]),"")</f>
        <v>0.90900000000000003</v>
      </c>
      <c r="AD1235" s="165" t="str">
        <f>IF(BetTable[O2]="","",#REF!/BetTable[TS])</f>
        <v/>
      </c>
      <c r="AE1235" s="165" t="str">
        <f>IFERROR(IF(BetTable[Sport]="","",#REF!/BetTable[TS]),"")</f>
        <v/>
      </c>
      <c r="AF1235" s="164">
        <f>IF(BetTable[Outcome]="Win",BetTable[WBA1-Commission],IF(BetTable[Outcome]="Win Half Stake",(BetTable[Stake]/2)+BetTable[WBA1-Commission]/2,IF(BetTable[Outcome]="Lose Half Stake",BetTable[Stake]/2,IF(BetTable[Outcome]="Lose",0,IF(BetTable[Outcome]="Void",BetTable[Stake],)))))</f>
        <v>0</v>
      </c>
      <c r="AG1235" s="164">
        <f>IF(BetTable[Outcome2]="Win",BetTable[WBA2-Commission],IF(BetTable[Outcome2]="Win Half Stake",(BetTable[S2]/2)+BetTable[WBA2-Commission]/2,IF(BetTable[Outcome2]="Lose Half Stake",BetTable[S2]/2,IF(BetTable[Outcome2]="Lose",0,IF(BetTable[Outcome2]="Void",BetTable[S2],)))))</f>
        <v>0</v>
      </c>
      <c r="AH1235" s="164">
        <f>IF(BetTable[Outcome3]="Win",BetTable[WBA3-Commission],IF(BetTable[Outcome3]="Win Half Stake",(BetTable[S3]/2)+BetTable[WBA3-Commission]/2,IF(BetTable[Outcome3]="Lose Half Stake",BetTable[S3]/2,IF(BetTable[Outcome3]="Lose",0,IF(BetTable[Outcome3]="Void",BetTable[S3],)))))</f>
        <v>0</v>
      </c>
      <c r="AI1235" s="168">
        <f>IF(BetTable[Outcome]="",AI1234,BetTable[Result]+AI1234)</f>
        <v>2544.1627499999991</v>
      </c>
      <c r="AJ1235" s="160"/>
    </row>
    <row r="1236" spans="1:36" x14ac:dyDescent="0.2">
      <c r="A1236" s="159" t="s">
        <v>2968</v>
      </c>
      <c r="B1236" s="160" t="s">
        <v>8</v>
      </c>
      <c r="C1236" s="161" t="s">
        <v>216</v>
      </c>
      <c r="D1236" s="161"/>
      <c r="E1236" s="161"/>
      <c r="F1236" s="162"/>
      <c r="G1236" s="162"/>
      <c r="H1236" s="162"/>
      <c r="I1236" s="160" t="s">
        <v>3022</v>
      </c>
      <c r="J1236" s="163">
        <v>2.88</v>
      </c>
      <c r="K1236" s="163"/>
      <c r="L1236" s="163"/>
      <c r="M1236" s="164">
        <v>26</v>
      </c>
      <c r="N1236" s="164"/>
      <c r="O1236" s="164"/>
      <c r="P1236" s="159" t="s">
        <v>428</v>
      </c>
      <c r="Q1236" s="159" t="s">
        <v>458</v>
      </c>
      <c r="R1236" s="159" t="s">
        <v>3023</v>
      </c>
      <c r="S1236" s="165">
        <v>2.7837292874617999E-2</v>
      </c>
      <c r="T1236" s="166" t="s">
        <v>382</v>
      </c>
      <c r="U1236" s="166"/>
      <c r="V1236" s="166"/>
      <c r="W1236" s="167">
        <f>IF(BetTable[Sport]="","",BetTable[Stake]+BetTable[S2]+BetTable[S3])</f>
        <v>26</v>
      </c>
      <c r="X1236" s="164">
        <f>IF(BetTable[Odds]="","",(BetTable[WBA1-Commission])-BetTable[TS])</f>
        <v>48.879999999999995</v>
      </c>
      <c r="Y1236" s="168">
        <f>IF(BetTable[Outcome]="","",BetTable[WBA1]+BetTable[WBA2]+BetTable[WBA3]-BetTable[TS])</f>
        <v>-26</v>
      </c>
      <c r="Z1236" s="164">
        <f>(((BetTable[Odds]-1)*BetTable[Stake])*(1-(BetTable[Comm %]))+BetTable[Stake])</f>
        <v>74.88</v>
      </c>
      <c r="AA1236" s="164">
        <f>(((BetTable[O2]-1)*BetTable[S2])*(1-(BetTable[C% 2]))+BetTable[S2])</f>
        <v>0</v>
      </c>
      <c r="AB1236" s="164">
        <f>(((BetTable[O3]-1)*BetTable[S3])*(1-(BetTable[C% 3]))+BetTable[S3])</f>
        <v>0</v>
      </c>
      <c r="AC1236" s="165">
        <f>IFERROR(IF(BetTable[Sport]="","",BetTable[R1]/BetTable[TS]),"")</f>
        <v>1.88</v>
      </c>
      <c r="AD1236" s="165" t="str">
        <f>IF(BetTable[O2]="","",#REF!/BetTable[TS])</f>
        <v/>
      </c>
      <c r="AE1236" s="165" t="str">
        <f>IFERROR(IF(BetTable[Sport]="","",#REF!/BetTable[TS]),"")</f>
        <v/>
      </c>
      <c r="AF1236" s="164">
        <f>IF(BetTable[Outcome]="Win",BetTable[WBA1-Commission],IF(BetTable[Outcome]="Win Half Stake",(BetTable[Stake]/2)+BetTable[WBA1-Commission]/2,IF(BetTable[Outcome]="Lose Half Stake",BetTable[Stake]/2,IF(BetTable[Outcome]="Lose",0,IF(BetTable[Outcome]="Void",BetTable[Stake],)))))</f>
        <v>0</v>
      </c>
      <c r="AG1236" s="164">
        <f>IF(BetTable[Outcome2]="Win",BetTable[WBA2-Commission],IF(BetTable[Outcome2]="Win Half Stake",(BetTable[S2]/2)+BetTable[WBA2-Commission]/2,IF(BetTable[Outcome2]="Lose Half Stake",BetTable[S2]/2,IF(BetTable[Outcome2]="Lose",0,IF(BetTable[Outcome2]="Void",BetTable[S2],)))))</f>
        <v>0</v>
      </c>
      <c r="AH1236" s="164">
        <f>IF(BetTable[Outcome3]="Win",BetTable[WBA3-Commission],IF(BetTable[Outcome3]="Win Half Stake",(BetTable[S3]/2)+BetTable[WBA3-Commission]/2,IF(BetTable[Outcome3]="Lose Half Stake",BetTable[S3]/2,IF(BetTable[Outcome3]="Lose",0,IF(BetTable[Outcome3]="Void",BetTable[S3],)))))</f>
        <v>0</v>
      </c>
      <c r="AI1236" s="168">
        <f>IF(BetTable[Outcome]="",AI1235,BetTable[Result]+AI1235)</f>
        <v>2518.1627499999991</v>
      </c>
      <c r="AJ1236" s="160"/>
    </row>
    <row r="1237" spans="1:36" x14ac:dyDescent="0.2">
      <c r="A1237" s="159" t="s">
        <v>2968</v>
      </c>
      <c r="B1237" s="160" t="s">
        <v>7</v>
      </c>
      <c r="C1237" s="161" t="s">
        <v>91</v>
      </c>
      <c r="D1237" s="161"/>
      <c r="E1237" s="161"/>
      <c r="F1237" s="162"/>
      <c r="G1237" s="162"/>
      <c r="H1237" s="162"/>
      <c r="I1237" s="160" t="s">
        <v>2983</v>
      </c>
      <c r="J1237" s="163">
        <v>1.91</v>
      </c>
      <c r="K1237" s="163"/>
      <c r="L1237" s="163"/>
      <c r="M1237" s="164">
        <v>70</v>
      </c>
      <c r="N1237" s="164"/>
      <c r="O1237" s="164"/>
      <c r="P1237" s="159" t="s">
        <v>1872</v>
      </c>
      <c r="Q1237" s="159" t="s">
        <v>1132</v>
      </c>
      <c r="R1237" s="159" t="s">
        <v>3024</v>
      </c>
      <c r="S1237" s="165">
        <v>3.5648227999229502E-2</v>
      </c>
      <c r="T1237" s="166" t="s">
        <v>372</v>
      </c>
      <c r="U1237" s="166"/>
      <c r="V1237" s="166"/>
      <c r="W1237" s="167">
        <f>IF(BetTable[Sport]="","",BetTable[Stake]+BetTable[S2]+BetTable[S3])</f>
        <v>70</v>
      </c>
      <c r="X1237" s="164">
        <f>IF(BetTable[Odds]="","",(BetTable[WBA1-Commission])-BetTable[TS])</f>
        <v>63.699999999999989</v>
      </c>
      <c r="Y1237" s="168">
        <f>IF(BetTable[Outcome]="","",BetTable[WBA1]+BetTable[WBA2]+BetTable[WBA3]-BetTable[TS])</f>
        <v>63.699999999999989</v>
      </c>
      <c r="Z1237" s="164">
        <f>(((BetTable[Odds]-1)*BetTable[Stake])*(1-(BetTable[Comm %]))+BetTable[Stake])</f>
        <v>133.69999999999999</v>
      </c>
      <c r="AA1237" s="164">
        <f>(((BetTable[O2]-1)*BetTable[S2])*(1-(BetTable[C% 2]))+BetTable[S2])</f>
        <v>0</v>
      </c>
      <c r="AB1237" s="164">
        <f>(((BetTable[O3]-1)*BetTable[S3])*(1-(BetTable[C% 3]))+BetTable[S3])</f>
        <v>0</v>
      </c>
      <c r="AC1237" s="165">
        <f>IFERROR(IF(BetTable[Sport]="","",BetTable[R1]/BetTable[TS]),"")</f>
        <v>0.90999999999999981</v>
      </c>
      <c r="AD1237" s="165" t="str">
        <f>IF(BetTable[O2]="","",#REF!/BetTable[TS])</f>
        <v/>
      </c>
      <c r="AE1237" s="165" t="str">
        <f>IFERROR(IF(BetTable[Sport]="","",#REF!/BetTable[TS]),"")</f>
        <v/>
      </c>
      <c r="AF1237" s="164">
        <f>IF(BetTable[Outcome]="Win",BetTable[WBA1-Commission],IF(BetTable[Outcome]="Win Half Stake",(BetTable[Stake]/2)+BetTable[WBA1-Commission]/2,IF(BetTable[Outcome]="Lose Half Stake",BetTable[Stake]/2,IF(BetTable[Outcome]="Lose",0,IF(BetTable[Outcome]="Void",BetTable[Stake],)))))</f>
        <v>133.69999999999999</v>
      </c>
      <c r="AG1237" s="164">
        <f>IF(BetTable[Outcome2]="Win",BetTable[WBA2-Commission],IF(BetTable[Outcome2]="Win Half Stake",(BetTable[S2]/2)+BetTable[WBA2-Commission]/2,IF(BetTable[Outcome2]="Lose Half Stake",BetTable[S2]/2,IF(BetTable[Outcome2]="Lose",0,IF(BetTable[Outcome2]="Void",BetTable[S2],)))))</f>
        <v>0</v>
      </c>
      <c r="AH1237" s="164">
        <f>IF(BetTable[Outcome3]="Win",BetTable[WBA3-Commission],IF(BetTable[Outcome3]="Win Half Stake",(BetTable[S3]/2)+BetTable[WBA3-Commission]/2,IF(BetTable[Outcome3]="Lose Half Stake",BetTable[S3]/2,IF(BetTable[Outcome3]="Lose",0,IF(BetTable[Outcome3]="Void",BetTable[S3],)))))</f>
        <v>0</v>
      </c>
      <c r="AI1237" s="168">
        <f>IF(BetTable[Outcome]="",AI1236,BetTable[Result]+AI1236)</f>
        <v>2581.8627499999989</v>
      </c>
      <c r="AJ1237" s="160"/>
    </row>
    <row r="1238" spans="1:36" x14ac:dyDescent="0.2">
      <c r="A1238" s="159" t="s">
        <v>2968</v>
      </c>
      <c r="B1238" s="160" t="s">
        <v>7</v>
      </c>
      <c r="C1238" s="161" t="s">
        <v>216</v>
      </c>
      <c r="D1238" s="161"/>
      <c r="E1238" s="161"/>
      <c r="F1238" s="162"/>
      <c r="G1238" s="162"/>
      <c r="H1238" s="162"/>
      <c r="I1238" s="160" t="s">
        <v>3025</v>
      </c>
      <c r="J1238" s="163">
        <v>1.87</v>
      </c>
      <c r="K1238" s="163"/>
      <c r="L1238" s="163"/>
      <c r="M1238" s="164">
        <v>28</v>
      </c>
      <c r="N1238" s="164"/>
      <c r="O1238" s="164"/>
      <c r="P1238" s="159" t="s">
        <v>3026</v>
      </c>
      <c r="Q1238" s="159" t="s">
        <v>503</v>
      </c>
      <c r="R1238" s="159" t="s">
        <v>3027</v>
      </c>
      <c r="S1238" s="165">
        <v>2.65318079827777E-2</v>
      </c>
      <c r="T1238" s="166" t="s">
        <v>382</v>
      </c>
      <c r="U1238" s="166"/>
      <c r="V1238" s="166"/>
      <c r="W1238" s="167">
        <f>IF(BetTable[Sport]="","",BetTable[Stake]+BetTable[S2]+BetTable[S3])</f>
        <v>28</v>
      </c>
      <c r="X1238" s="164">
        <f>IF(BetTable[Odds]="","",(BetTable[WBA1-Commission])-BetTable[TS])</f>
        <v>24.36</v>
      </c>
      <c r="Y1238" s="168">
        <f>IF(BetTable[Outcome]="","",BetTable[WBA1]+BetTable[WBA2]+BetTable[WBA3]-BetTable[TS])</f>
        <v>-28</v>
      </c>
      <c r="Z1238" s="164">
        <f>(((BetTable[Odds]-1)*BetTable[Stake])*(1-(BetTable[Comm %]))+BetTable[Stake])</f>
        <v>52.36</v>
      </c>
      <c r="AA1238" s="164">
        <f>(((BetTable[O2]-1)*BetTable[S2])*(1-(BetTable[C% 2]))+BetTable[S2])</f>
        <v>0</v>
      </c>
      <c r="AB1238" s="164">
        <f>(((BetTable[O3]-1)*BetTable[S3])*(1-(BetTable[C% 3]))+BetTable[S3])</f>
        <v>0</v>
      </c>
      <c r="AC1238" s="165">
        <f>IFERROR(IF(BetTable[Sport]="","",BetTable[R1]/BetTable[TS]),"")</f>
        <v>0.87</v>
      </c>
      <c r="AD1238" s="165" t="str">
        <f>IF(BetTable[O2]="","",#REF!/BetTable[TS])</f>
        <v/>
      </c>
      <c r="AE1238" s="165" t="str">
        <f>IFERROR(IF(BetTable[Sport]="","",#REF!/BetTable[TS]),"")</f>
        <v/>
      </c>
      <c r="AF1238" s="164">
        <f>IF(BetTable[Outcome]="Win",BetTable[WBA1-Commission],IF(BetTable[Outcome]="Win Half Stake",(BetTable[Stake]/2)+BetTable[WBA1-Commission]/2,IF(BetTable[Outcome]="Lose Half Stake",BetTable[Stake]/2,IF(BetTable[Outcome]="Lose",0,IF(BetTable[Outcome]="Void",BetTable[Stake],)))))</f>
        <v>0</v>
      </c>
      <c r="AG1238" s="164">
        <f>IF(BetTable[Outcome2]="Win",BetTable[WBA2-Commission],IF(BetTable[Outcome2]="Win Half Stake",(BetTable[S2]/2)+BetTable[WBA2-Commission]/2,IF(BetTable[Outcome2]="Lose Half Stake",BetTable[S2]/2,IF(BetTable[Outcome2]="Lose",0,IF(BetTable[Outcome2]="Void",BetTable[S2],)))))</f>
        <v>0</v>
      </c>
      <c r="AH1238" s="164">
        <f>IF(BetTable[Outcome3]="Win",BetTable[WBA3-Commission],IF(BetTable[Outcome3]="Win Half Stake",(BetTable[S3]/2)+BetTable[WBA3-Commission]/2,IF(BetTable[Outcome3]="Lose Half Stake",BetTable[S3]/2,IF(BetTable[Outcome3]="Lose",0,IF(BetTable[Outcome3]="Void",BetTable[S3],)))))</f>
        <v>0</v>
      </c>
      <c r="AI1238" s="168">
        <f>IF(BetTable[Outcome]="",AI1237,BetTable[Result]+AI1237)</f>
        <v>2553.8627499999989</v>
      </c>
      <c r="AJ1238" s="160"/>
    </row>
    <row r="1239" spans="1:36" x14ac:dyDescent="0.2">
      <c r="A1239" s="159" t="s">
        <v>2968</v>
      </c>
      <c r="B1239" s="160" t="s">
        <v>7</v>
      </c>
      <c r="C1239" s="161" t="s">
        <v>216</v>
      </c>
      <c r="D1239" s="161"/>
      <c r="E1239" s="161"/>
      <c r="F1239" s="162"/>
      <c r="G1239" s="162"/>
      <c r="H1239" s="162"/>
      <c r="I1239" s="160" t="s">
        <v>3028</v>
      </c>
      <c r="J1239" s="163">
        <v>1.87</v>
      </c>
      <c r="K1239" s="163"/>
      <c r="L1239" s="163"/>
      <c r="M1239" s="164">
        <v>27</v>
      </c>
      <c r="N1239" s="164"/>
      <c r="O1239" s="164"/>
      <c r="P1239" s="159" t="s">
        <v>453</v>
      </c>
      <c r="Q1239" s="159" t="s">
        <v>485</v>
      </c>
      <c r="R1239" s="159" t="s">
        <v>3029</v>
      </c>
      <c r="S1239" s="165">
        <v>2.7298976475166499E-2</v>
      </c>
      <c r="T1239" s="166" t="s">
        <v>382</v>
      </c>
      <c r="U1239" s="166"/>
      <c r="V1239" s="166"/>
      <c r="W1239" s="167">
        <f>IF(BetTable[Sport]="","",BetTable[Stake]+BetTable[S2]+BetTable[S3])</f>
        <v>27</v>
      </c>
      <c r="X1239" s="164">
        <f>IF(BetTable[Odds]="","",(BetTable[WBA1-Commission])-BetTable[TS])</f>
        <v>23.490000000000002</v>
      </c>
      <c r="Y1239" s="168">
        <f>IF(BetTable[Outcome]="","",BetTable[WBA1]+BetTable[WBA2]+BetTable[WBA3]-BetTable[TS])</f>
        <v>-27</v>
      </c>
      <c r="Z1239" s="164">
        <f>(((BetTable[Odds]-1)*BetTable[Stake])*(1-(BetTable[Comm %]))+BetTable[Stake])</f>
        <v>50.49</v>
      </c>
      <c r="AA1239" s="164">
        <f>(((BetTable[O2]-1)*BetTable[S2])*(1-(BetTable[C% 2]))+BetTable[S2])</f>
        <v>0</v>
      </c>
      <c r="AB1239" s="164">
        <f>(((BetTable[O3]-1)*BetTable[S3])*(1-(BetTable[C% 3]))+BetTable[S3])</f>
        <v>0</v>
      </c>
      <c r="AC1239" s="165">
        <f>IFERROR(IF(BetTable[Sport]="","",BetTable[R1]/BetTable[TS]),"")</f>
        <v>0.87000000000000011</v>
      </c>
      <c r="AD1239" s="165" t="str">
        <f>IF(BetTable[O2]="","",#REF!/BetTable[TS])</f>
        <v/>
      </c>
      <c r="AE1239" s="165" t="str">
        <f>IFERROR(IF(BetTable[Sport]="","",#REF!/BetTable[TS]),"")</f>
        <v/>
      </c>
      <c r="AF1239" s="164">
        <f>IF(BetTable[Outcome]="Win",BetTable[WBA1-Commission],IF(BetTable[Outcome]="Win Half Stake",(BetTable[Stake]/2)+BetTable[WBA1-Commission]/2,IF(BetTable[Outcome]="Lose Half Stake",BetTable[Stake]/2,IF(BetTable[Outcome]="Lose",0,IF(BetTable[Outcome]="Void",BetTable[Stake],)))))</f>
        <v>0</v>
      </c>
      <c r="AG1239" s="164">
        <f>IF(BetTable[Outcome2]="Win",BetTable[WBA2-Commission],IF(BetTable[Outcome2]="Win Half Stake",(BetTable[S2]/2)+BetTable[WBA2-Commission]/2,IF(BetTable[Outcome2]="Lose Half Stake",BetTable[S2]/2,IF(BetTable[Outcome2]="Lose",0,IF(BetTable[Outcome2]="Void",BetTable[S2],)))))</f>
        <v>0</v>
      </c>
      <c r="AH1239" s="164">
        <f>IF(BetTable[Outcome3]="Win",BetTable[WBA3-Commission],IF(BetTable[Outcome3]="Win Half Stake",(BetTable[S3]/2)+BetTable[WBA3-Commission]/2,IF(BetTable[Outcome3]="Lose Half Stake",BetTable[S3]/2,IF(BetTable[Outcome3]="Lose",0,IF(BetTable[Outcome3]="Void",BetTable[S3],)))))</f>
        <v>0</v>
      </c>
      <c r="AI1239" s="168">
        <f>IF(BetTable[Outcome]="",AI1238,BetTable[Result]+AI1238)</f>
        <v>2526.8627499999989</v>
      </c>
      <c r="AJ1239" s="160"/>
    </row>
    <row r="1240" spans="1:36" x14ac:dyDescent="0.2">
      <c r="A1240" s="159" t="s">
        <v>2968</v>
      </c>
      <c r="B1240" s="160" t="s">
        <v>8</v>
      </c>
      <c r="C1240" s="161" t="s">
        <v>216</v>
      </c>
      <c r="D1240" s="161"/>
      <c r="E1240" s="161"/>
      <c r="F1240" s="162"/>
      <c r="G1240" s="162"/>
      <c r="H1240" s="162"/>
      <c r="I1240" s="160" t="s">
        <v>3030</v>
      </c>
      <c r="J1240" s="163">
        <v>1.571</v>
      </c>
      <c r="K1240" s="163"/>
      <c r="L1240" s="163"/>
      <c r="M1240" s="164">
        <v>74</v>
      </c>
      <c r="N1240" s="164"/>
      <c r="O1240" s="164"/>
      <c r="P1240" s="159" t="s">
        <v>435</v>
      </c>
      <c r="Q1240" s="159" t="s">
        <v>980</v>
      </c>
      <c r="R1240" s="159" t="s">
        <v>3031</v>
      </c>
      <c r="S1240" s="165">
        <v>2.3530303030302999E-2</v>
      </c>
      <c r="T1240" s="166" t="s">
        <v>382</v>
      </c>
      <c r="U1240" s="166"/>
      <c r="V1240" s="166"/>
      <c r="W1240" s="167">
        <f>IF(BetTable[Sport]="","",BetTable[Stake]+BetTable[S2]+BetTable[S3])</f>
        <v>74</v>
      </c>
      <c r="X1240" s="164">
        <f>IF(BetTable[Odds]="","",(BetTable[WBA1-Commission])-BetTable[TS])</f>
        <v>42.253999999999991</v>
      </c>
      <c r="Y1240" s="168">
        <f>IF(BetTable[Outcome]="","",BetTable[WBA1]+BetTable[WBA2]+BetTable[WBA3]-BetTable[TS])</f>
        <v>-74</v>
      </c>
      <c r="Z1240" s="164">
        <f>(((BetTable[Odds]-1)*BetTable[Stake])*(1-(BetTable[Comm %]))+BetTable[Stake])</f>
        <v>116.25399999999999</v>
      </c>
      <c r="AA1240" s="164">
        <f>(((BetTable[O2]-1)*BetTable[S2])*(1-(BetTable[C% 2]))+BetTable[S2])</f>
        <v>0</v>
      </c>
      <c r="AB1240" s="164">
        <f>(((BetTable[O3]-1)*BetTable[S3])*(1-(BetTable[C% 3]))+BetTable[S3])</f>
        <v>0</v>
      </c>
      <c r="AC1240" s="165">
        <f>IFERROR(IF(BetTable[Sport]="","",BetTable[R1]/BetTable[TS]),"")</f>
        <v>0.57099999999999984</v>
      </c>
      <c r="AD1240" s="165" t="str">
        <f>IF(BetTable[O2]="","",#REF!/BetTable[TS])</f>
        <v/>
      </c>
      <c r="AE1240" s="165" t="str">
        <f>IFERROR(IF(BetTable[Sport]="","",#REF!/BetTable[TS]),"")</f>
        <v/>
      </c>
      <c r="AF1240" s="164">
        <f>IF(BetTable[Outcome]="Win",BetTable[WBA1-Commission],IF(BetTable[Outcome]="Win Half Stake",(BetTable[Stake]/2)+BetTable[WBA1-Commission]/2,IF(BetTable[Outcome]="Lose Half Stake",BetTable[Stake]/2,IF(BetTable[Outcome]="Lose",0,IF(BetTable[Outcome]="Void",BetTable[Stake],)))))</f>
        <v>0</v>
      </c>
      <c r="AG1240" s="164">
        <f>IF(BetTable[Outcome2]="Win",BetTable[WBA2-Commission],IF(BetTable[Outcome2]="Win Half Stake",(BetTable[S2]/2)+BetTable[WBA2-Commission]/2,IF(BetTable[Outcome2]="Lose Half Stake",BetTable[S2]/2,IF(BetTable[Outcome2]="Lose",0,IF(BetTable[Outcome2]="Void",BetTable[S2],)))))</f>
        <v>0</v>
      </c>
      <c r="AH1240" s="164">
        <f>IF(BetTable[Outcome3]="Win",BetTable[WBA3-Commission],IF(BetTable[Outcome3]="Win Half Stake",(BetTable[S3]/2)+BetTable[WBA3-Commission]/2,IF(BetTable[Outcome3]="Lose Half Stake",BetTable[S3]/2,IF(BetTable[Outcome3]="Lose",0,IF(BetTable[Outcome3]="Void",BetTable[S3],)))))</f>
        <v>0</v>
      </c>
      <c r="AI1240" s="168">
        <f>IF(BetTable[Outcome]="",AI1239,BetTable[Result]+AI1239)</f>
        <v>2452.8627499999989</v>
      </c>
      <c r="AJ1240" s="160"/>
    </row>
    <row r="1241" spans="1:36" x14ac:dyDescent="0.2">
      <c r="A1241" s="159" t="s">
        <v>2968</v>
      </c>
      <c r="B1241" s="160" t="s">
        <v>200</v>
      </c>
      <c r="C1241" s="161" t="s">
        <v>1714</v>
      </c>
      <c r="D1241" s="161"/>
      <c r="E1241" s="161"/>
      <c r="F1241" s="162"/>
      <c r="G1241" s="162"/>
      <c r="H1241" s="162"/>
      <c r="I1241" s="160" t="s">
        <v>3032</v>
      </c>
      <c r="J1241" s="163">
        <v>1.88</v>
      </c>
      <c r="K1241" s="163"/>
      <c r="L1241" s="163"/>
      <c r="M1241" s="164">
        <v>53</v>
      </c>
      <c r="N1241" s="164"/>
      <c r="O1241" s="164"/>
      <c r="P1241" s="159" t="s">
        <v>620</v>
      </c>
      <c r="Q1241" s="159" t="s">
        <v>439</v>
      </c>
      <c r="R1241" s="159" t="s">
        <v>3033</v>
      </c>
      <c r="S1241" s="165">
        <v>2.6367107298148802E-2</v>
      </c>
      <c r="T1241" s="166" t="s">
        <v>382</v>
      </c>
      <c r="U1241" s="166"/>
      <c r="V1241" s="166"/>
      <c r="W1241" s="167">
        <f>IF(BetTable[Sport]="","",BetTable[Stake]+BetTable[S2]+BetTable[S3])</f>
        <v>53</v>
      </c>
      <c r="X1241" s="164">
        <f>IF(BetTable[Odds]="","",(BetTable[WBA1-Commission])-BetTable[TS])</f>
        <v>46.639999999999986</v>
      </c>
      <c r="Y1241" s="168">
        <f>IF(BetTable[Outcome]="","",BetTable[WBA1]+BetTable[WBA2]+BetTable[WBA3]-BetTable[TS])</f>
        <v>-53</v>
      </c>
      <c r="Z1241" s="164">
        <f>(((BetTable[Odds]-1)*BetTable[Stake])*(1-(BetTable[Comm %]))+BetTable[Stake])</f>
        <v>99.639999999999986</v>
      </c>
      <c r="AA1241" s="164">
        <f>(((BetTable[O2]-1)*BetTable[S2])*(1-(BetTable[C% 2]))+BetTable[S2])</f>
        <v>0</v>
      </c>
      <c r="AB1241" s="164">
        <f>(((BetTable[O3]-1)*BetTable[S3])*(1-(BetTable[C% 3]))+BetTable[S3])</f>
        <v>0</v>
      </c>
      <c r="AC1241" s="165">
        <f>IFERROR(IF(BetTable[Sport]="","",BetTable[R1]/BetTable[TS]),"")</f>
        <v>0.87999999999999978</v>
      </c>
      <c r="AD1241" s="165" t="str">
        <f>IF(BetTable[O2]="","",#REF!/BetTable[TS])</f>
        <v/>
      </c>
      <c r="AE1241" s="165" t="str">
        <f>IFERROR(IF(BetTable[Sport]="","",#REF!/BetTable[TS]),"")</f>
        <v/>
      </c>
      <c r="AF1241" s="164">
        <f>IF(BetTable[Outcome]="Win",BetTable[WBA1-Commission],IF(BetTable[Outcome]="Win Half Stake",(BetTable[Stake]/2)+BetTable[WBA1-Commission]/2,IF(BetTable[Outcome]="Lose Half Stake",BetTable[Stake]/2,IF(BetTable[Outcome]="Lose",0,IF(BetTable[Outcome]="Void",BetTable[Stake],)))))</f>
        <v>0</v>
      </c>
      <c r="AG1241" s="164">
        <f>IF(BetTable[Outcome2]="Win",BetTable[WBA2-Commission],IF(BetTable[Outcome2]="Win Half Stake",(BetTable[S2]/2)+BetTable[WBA2-Commission]/2,IF(BetTable[Outcome2]="Lose Half Stake",BetTable[S2]/2,IF(BetTable[Outcome2]="Lose",0,IF(BetTable[Outcome2]="Void",BetTable[S2],)))))</f>
        <v>0</v>
      </c>
      <c r="AH1241" s="164">
        <f>IF(BetTable[Outcome3]="Win",BetTable[WBA3-Commission],IF(BetTable[Outcome3]="Win Half Stake",(BetTable[S3]/2)+BetTable[WBA3-Commission]/2,IF(BetTable[Outcome3]="Lose Half Stake",BetTable[S3]/2,IF(BetTable[Outcome3]="Lose",0,IF(BetTable[Outcome3]="Void",BetTable[S3],)))))</f>
        <v>0</v>
      </c>
      <c r="AI1241" s="168">
        <f>IF(BetTable[Outcome]="",AI1240,BetTable[Result]+AI1240)</f>
        <v>2399.8627499999989</v>
      </c>
      <c r="AJ1241" s="160"/>
    </row>
    <row r="1242" spans="1:36" x14ac:dyDescent="0.2">
      <c r="A1242" s="159" t="s">
        <v>2968</v>
      </c>
      <c r="B1242" s="160" t="s">
        <v>200</v>
      </c>
      <c r="C1242" s="161" t="s">
        <v>1714</v>
      </c>
      <c r="D1242" s="161"/>
      <c r="E1242" s="161"/>
      <c r="F1242" s="162"/>
      <c r="G1242" s="162"/>
      <c r="H1242" s="162"/>
      <c r="I1242" s="160" t="s">
        <v>3034</v>
      </c>
      <c r="J1242" s="163">
        <v>2.0499999999999998</v>
      </c>
      <c r="K1242" s="163"/>
      <c r="L1242" s="163"/>
      <c r="M1242" s="164">
        <v>46</v>
      </c>
      <c r="N1242" s="164"/>
      <c r="O1242" s="164"/>
      <c r="P1242" s="159" t="s">
        <v>791</v>
      </c>
      <c r="Q1242" s="159" t="s">
        <v>882</v>
      </c>
      <c r="R1242" s="159" t="s">
        <v>3035</v>
      </c>
      <c r="S1242" s="165">
        <v>2.7335307075911801E-2</v>
      </c>
      <c r="T1242" s="166" t="s">
        <v>382</v>
      </c>
      <c r="U1242" s="166"/>
      <c r="V1242" s="166"/>
      <c r="W1242" s="167">
        <f>IF(BetTable[Sport]="","",BetTable[Stake]+BetTable[S2]+BetTable[S3])</f>
        <v>46</v>
      </c>
      <c r="X1242" s="164">
        <f>IF(BetTable[Odds]="","",(BetTable[WBA1-Commission])-BetTable[TS])</f>
        <v>48.299999999999983</v>
      </c>
      <c r="Y1242" s="168">
        <f>IF(BetTable[Outcome]="","",BetTable[WBA1]+BetTable[WBA2]+BetTable[WBA3]-BetTable[TS])</f>
        <v>-46</v>
      </c>
      <c r="Z1242" s="164">
        <f>(((BetTable[Odds]-1)*BetTable[Stake])*(1-(BetTable[Comm %]))+BetTable[Stake])</f>
        <v>94.299999999999983</v>
      </c>
      <c r="AA1242" s="164">
        <f>(((BetTable[O2]-1)*BetTable[S2])*(1-(BetTable[C% 2]))+BetTable[S2])</f>
        <v>0</v>
      </c>
      <c r="AB1242" s="164">
        <f>(((BetTable[O3]-1)*BetTable[S3])*(1-(BetTable[C% 3]))+BetTable[S3])</f>
        <v>0</v>
      </c>
      <c r="AC1242" s="165">
        <f>IFERROR(IF(BetTable[Sport]="","",BetTable[R1]/BetTable[TS]),"")</f>
        <v>1.0499999999999996</v>
      </c>
      <c r="AD1242" s="165" t="str">
        <f>IF(BetTable[O2]="","",#REF!/BetTable[TS])</f>
        <v/>
      </c>
      <c r="AE1242" s="165" t="str">
        <f>IFERROR(IF(BetTable[Sport]="","",#REF!/BetTable[TS]),"")</f>
        <v/>
      </c>
      <c r="AF1242" s="164">
        <f>IF(BetTable[Outcome]="Win",BetTable[WBA1-Commission],IF(BetTable[Outcome]="Win Half Stake",(BetTable[Stake]/2)+BetTable[WBA1-Commission]/2,IF(BetTable[Outcome]="Lose Half Stake",BetTable[Stake]/2,IF(BetTable[Outcome]="Lose",0,IF(BetTable[Outcome]="Void",BetTable[Stake],)))))</f>
        <v>0</v>
      </c>
      <c r="AG1242" s="164">
        <f>IF(BetTable[Outcome2]="Win",BetTable[WBA2-Commission],IF(BetTable[Outcome2]="Win Half Stake",(BetTable[S2]/2)+BetTable[WBA2-Commission]/2,IF(BetTable[Outcome2]="Lose Half Stake",BetTable[S2]/2,IF(BetTable[Outcome2]="Lose",0,IF(BetTable[Outcome2]="Void",BetTable[S2],)))))</f>
        <v>0</v>
      </c>
      <c r="AH1242" s="164">
        <f>IF(BetTable[Outcome3]="Win",BetTable[WBA3-Commission],IF(BetTable[Outcome3]="Win Half Stake",(BetTable[S3]/2)+BetTable[WBA3-Commission]/2,IF(BetTable[Outcome3]="Lose Half Stake",BetTable[S3]/2,IF(BetTable[Outcome3]="Lose",0,IF(BetTable[Outcome3]="Void",BetTable[S3],)))))</f>
        <v>0</v>
      </c>
      <c r="AI1242" s="168">
        <f>IF(BetTable[Outcome]="",AI1241,BetTable[Result]+AI1241)</f>
        <v>2353.8627499999989</v>
      </c>
      <c r="AJ1242" s="160"/>
    </row>
    <row r="1243" spans="1:36" x14ac:dyDescent="0.2">
      <c r="A1243" s="159" t="s">
        <v>2968</v>
      </c>
      <c r="B1243" s="160" t="s">
        <v>200</v>
      </c>
      <c r="C1243" s="161" t="s">
        <v>1714</v>
      </c>
      <c r="D1243" s="161"/>
      <c r="E1243" s="161"/>
      <c r="F1243" s="162"/>
      <c r="G1243" s="162"/>
      <c r="H1243" s="162"/>
      <c r="I1243" s="160" t="s">
        <v>3036</v>
      </c>
      <c r="J1243" s="163">
        <v>1.82</v>
      </c>
      <c r="K1243" s="163"/>
      <c r="L1243" s="163"/>
      <c r="M1243" s="164">
        <v>38</v>
      </c>
      <c r="N1243" s="164"/>
      <c r="O1243" s="164"/>
      <c r="P1243" s="159" t="s">
        <v>409</v>
      </c>
      <c r="Q1243" s="159" t="s">
        <v>491</v>
      </c>
      <c r="R1243" s="159" t="s">
        <v>3037</v>
      </c>
      <c r="S1243" s="165">
        <v>1.7576192299829301E-2</v>
      </c>
      <c r="T1243" s="166" t="s">
        <v>510</v>
      </c>
      <c r="U1243" s="166"/>
      <c r="V1243" s="166"/>
      <c r="W1243" s="167">
        <f>IF(BetTable[Sport]="","",BetTable[Stake]+BetTable[S2]+BetTable[S3])</f>
        <v>38</v>
      </c>
      <c r="X1243" s="164">
        <f>IF(BetTable[Odds]="","",(BetTable[WBA1-Commission])-BetTable[TS])</f>
        <v>31.159999999999997</v>
      </c>
      <c r="Y1243" s="168">
        <f>IF(BetTable[Outcome]="","",BetTable[WBA1]+BetTable[WBA2]+BetTable[WBA3]-BetTable[TS])</f>
        <v>15.579999999999998</v>
      </c>
      <c r="Z1243" s="164">
        <f>(((BetTable[Odds]-1)*BetTable[Stake])*(1-(BetTable[Comm %]))+BetTable[Stake])</f>
        <v>69.16</v>
      </c>
      <c r="AA1243" s="164">
        <f>(((BetTable[O2]-1)*BetTable[S2])*(1-(BetTable[C% 2]))+BetTable[S2])</f>
        <v>0</v>
      </c>
      <c r="AB1243" s="164">
        <f>(((BetTable[O3]-1)*BetTable[S3])*(1-(BetTable[C% 3]))+BetTable[S3])</f>
        <v>0</v>
      </c>
      <c r="AC1243" s="165">
        <f>IFERROR(IF(BetTable[Sport]="","",BetTable[R1]/BetTable[TS]),"")</f>
        <v>0.82</v>
      </c>
      <c r="AD1243" s="165" t="str">
        <f>IF(BetTable[O2]="","",#REF!/BetTable[TS])</f>
        <v/>
      </c>
      <c r="AE1243" s="165" t="str">
        <f>IFERROR(IF(BetTable[Sport]="","",#REF!/BetTable[TS]),"")</f>
        <v/>
      </c>
      <c r="AF1243" s="164">
        <f>IF(BetTable[Outcome]="Win",BetTable[WBA1-Commission],IF(BetTable[Outcome]="Win Half Stake",(BetTable[Stake]/2)+BetTable[WBA1-Commission]/2,IF(BetTable[Outcome]="Lose Half Stake",BetTable[Stake]/2,IF(BetTable[Outcome]="Lose",0,IF(BetTable[Outcome]="Void",BetTable[Stake],)))))</f>
        <v>53.58</v>
      </c>
      <c r="AG1243" s="164">
        <f>IF(BetTable[Outcome2]="Win",BetTable[WBA2-Commission],IF(BetTable[Outcome2]="Win Half Stake",(BetTable[S2]/2)+BetTable[WBA2-Commission]/2,IF(BetTable[Outcome2]="Lose Half Stake",BetTable[S2]/2,IF(BetTable[Outcome2]="Lose",0,IF(BetTable[Outcome2]="Void",BetTable[S2],)))))</f>
        <v>0</v>
      </c>
      <c r="AH1243" s="164">
        <f>IF(BetTable[Outcome3]="Win",BetTable[WBA3-Commission],IF(BetTable[Outcome3]="Win Half Stake",(BetTable[S3]/2)+BetTable[WBA3-Commission]/2,IF(BetTable[Outcome3]="Lose Half Stake",BetTable[S3]/2,IF(BetTable[Outcome3]="Lose",0,IF(BetTable[Outcome3]="Void",BetTable[S3],)))))</f>
        <v>0</v>
      </c>
      <c r="AI1243" s="168">
        <f>IF(BetTable[Outcome]="",AI1242,BetTable[Result]+AI1242)</f>
        <v>2369.4427499999988</v>
      </c>
      <c r="AJ1243" s="160"/>
    </row>
    <row r="1244" spans="1:36" x14ac:dyDescent="0.2">
      <c r="A1244" s="159" t="s">
        <v>2968</v>
      </c>
      <c r="B1244" s="160" t="s">
        <v>7</v>
      </c>
      <c r="C1244" s="161" t="s">
        <v>91</v>
      </c>
      <c r="D1244" s="161"/>
      <c r="E1244" s="161"/>
      <c r="F1244" s="162"/>
      <c r="G1244" s="162"/>
      <c r="H1244" s="162"/>
      <c r="I1244" s="160" t="s">
        <v>3038</v>
      </c>
      <c r="J1244" s="163">
        <v>2.02</v>
      </c>
      <c r="K1244" s="163"/>
      <c r="L1244" s="163"/>
      <c r="M1244" s="164">
        <v>61</v>
      </c>
      <c r="N1244" s="164"/>
      <c r="O1244" s="164"/>
      <c r="P1244" s="159" t="s">
        <v>3039</v>
      </c>
      <c r="Q1244" s="159" t="s">
        <v>530</v>
      </c>
      <c r="R1244" s="159" t="s">
        <v>3040</v>
      </c>
      <c r="S1244" s="165">
        <v>3.5089780549479602E-2</v>
      </c>
      <c r="T1244" s="166" t="s">
        <v>372</v>
      </c>
      <c r="U1244" s="166"/>
      <c r="V1244" s="166"/>
      <c r="W1244" s="167">
        <f>IF(BetTable[Sport]="","",BetTable[Stake]+BetTable[S2]+BetTable[S3])</f>
        <v>61</v>
      </c>
      <c r="X1244" s="164">
        <f>IF(BetTable[Odds]="","",(BetTable[WBA1-Commission])-BetTable[TS])</f>
        <v>62.22</v>
      </c>
      <c r="Y1244" s="168">
        <f>IF(BetTable[Outcome]="","",BetTable[WBA1]+BetTable[WBA2]+BetTable[WBA3]-BetTable[TS])</f>
        <v>62.22</v>
      </c>
      <c r="Z1244" s="164">
        <f>(((BetTable[Odds]-1)*BetTable[Stake])*(1-(BetTable[Comm %]))+BetTable[Stake])</f>
        <v>123.22</v>
      </c>
      <c r="AA1244" s="164">
        <f>(((BetTable[O2]-1)*BetTable[S2])*(1-(BetTable[C% 2]))+BetTable[S2])</f>
        <v>0</v>
      </c>
      <c r="AB1244" s="164">
        <f>(((BetTable[O3]-1)*BetTable[S3])*(1-(BetTable[C% 3]))+BetTable[S3])</f>
        <v>0</v>
      </c>
      <c r="AC1244" s="165">
        <f>IFERROR(IF(BetTable[Sport]="","",BetTable[R1]/BetTable[TS]),"")</f>
        <v>1.02</v>
      </c>
      <c r="AD1244" s="165" t="str">
        <f>IF(BetTable[O2]="","",#REF!/BetTable[TS])</f>
        <v/>
      </c>
      <c r="AE1244" s="165" t="str">
        <f>IFERROR(IF(BetTable[Sport]="","",#REF!/BetTable[TS]),"")</f>
        <v/>
      </c>
      <c r="AF1244" s="164">
        <f>IF(BetTable[Outcome]="Win",BetTable[WBA1-Commission],IF(BetTable[Outcome]="Win Half Stake",(BetTable[Stake]/2)+BetTable[WBA1-Commission]/2,IF(BetTable[Outcome]="Lose Half Stake",BetTable[Stake]/2,IF(BetTable[Outcome]="Lose",0,IF(BetTable[Outcome]="Void",BetTable[Stake],)))))</f>
        <v>123.22</v>
      </c>
      <c r="AG1244" s="164">
        <f>IF(BetTable[Outcome2]="Win",BetTable[WBA2-Commission],IF(BetTable[Outcome2]="Win Half Stake",(BetTable[S2]/2)+BetTable[WBA2-Commission]/2,IF(BetTable[Outcome2]="Lose Half Stake",BetTable[S2]/2,IF(BetTable[Outcome2]="Lose",0,IF(BetTable[Outcome2]="Void",BetTable[S2],)))))</f>
        <v>0</v>
      </c>
      <c r="AH1244" s="164">
        <f>IF(BetTable[Outcome3]="Win",BetTable[WBA3-Commission],IF(BetTable[Outcome3]="Win Half Stake",(BetTable[S3]/2)+BetTable[WBA3-Commission]/2,IF(BetTable[Outcome3]="Lose Half Stake",BetTable[S3]/2,IF(BetTable[Outcome3]="Lose",0,IF(BetTable[Outcome3]="Void",BetTable[S3],)))))</f>
        <v>0</v>
      </c>
      <c r="AI1244" s="168">
        <f>IF(BetTable[Outcome]="",AI1243,BetTable[Result]+AI1243)</f>
        <v>2431.6627499999986</v>
      </c>
      <c r="AJ1244" s="160"/>
    </row>
    <row r="1245" spans="1:36" x14ac:dyDescent="0.2">
      <c r="A1245" s="159" t="s">
        <v>2968</v>
      </c>
      <c r="B1245" s="160" t="s">
        <v>200</v>
      </c>
      <c r="C1245" s="161" t="s">
        <v>91</v>
      </c>
      <c r="D1245" s="161"/>
      <c r="E1245" s="161"/>
      <c r="F1245" s="162"/>
      <c r="G1245" s="162"/>
      <c r="H1245" s="162"/>
      <c r="I1245" s="160" t="s">
        <v>3041</v>
      </c>
      <c r="J1245" s="163">
        <v>1.74</v>
      </c>
      <c r="K1245" s="163"/>
      <c r="L1245" s="163"/>
      <c r="M1245" s="164">
        <v>58</v>
      </c>
      <c r="N1245" s="164"/>
      <c r="O1245" s="164"/>
      <c r="P1245" s="159" t="s">
        <v>1597</v>
      </c>
      <c r="Q1245" s="159" t="s">
        <v>503</v>
      </c>
      <c r="R1245" s="159" t="s">
        <v>3042</v>
      </c>
      <c r="S1245" s="165">
        <v>2.42447436041584E-2</v>
      </c>
      <c r="T1245" s="166" t="s">
        <v>382</v>
      </c>
      <c r="U1245" s="166"/>
      <c r="V1245" s="166"/>
      <c r="W1245" s="167">
        <f>IF(BetTable[Sport]="","",BetTable[Stake]+BetTable[S2]+BetTable[S3])</f>
        <v>58</v>
      </c>
      <c r="X1245" s="164">
        <f>IF(BetTable[Odds]="","",(BetTable[WBA1-Commission])-BetTable[TS])</f>
        <v>42.92</v>
      </c>
      <c r="Y1245" s="168">
        <f>IF(BetTable[Outcome]="","",BetTable[WBA1]+BetTable[WBA2]+BetTable[WBA3]-BetTable[TS])</f>
        <v>-58</v>
      </c>
      <c r="Z1245" s="164">
        <f>(((BetTable[Odds]-1)*BetTable[Stake])*(1-(BetTable[Comm %]))+BetTable[Stake])</f>
        <v>100.92</v>
      </c>
      <c r="AA1245" s="164">
        <f>(((BetTable[O2]-1)*BetTable[S2])*(1-(BetTable[C% 2]))+BetTable[S2])</f>
        <v>0</v>
      </c>
      <c r="AB1245" s="164">
        <f>(((BetTable[O3]-1)*BetTable[S3])*(1-(BetTable[C% 3]))+BetTable[S3])</f>
        <v>0</v>
      </c>
      <c r="AC1245" s="165">
        <f>IFERROR(IF(BetTable[Sport]="","",BetTable[R1]/BetTable[TS]),"")</f>
        <v>0.74</v>
      </c>
      <c r="AD1245" s="165" t="str">
        <f>IF(BetTable[O2]="","",#REF!/BetTable[TS])</f>
        <v/>
      </c>
      <c r="AE1245" s="165" t="str">
        <f>IFERROR(IF(BetTable[Sport]="","",#REF!/BetTable[TS]),"")</f>
        <v/>
      </c>
      <c r="AF1245" s="164">
        <f>IF(BetTable[Outcome]="Win",BetTable[WBA1-Commission],IF(BetTable[Outcome]="Win Half Stake",(BetTable[Stake]/2)+BetTable[WBA1-Commission]/2,IF(BetTable[Outcome]="Lose Half Stake",BetTable[Stake]/2,IF(BetTable[Outcome]="Lose",0,IF(BetTable[Outcome]="Void",BetTable[Stake],)))))</f>
        <v>0</v>
      </c>
      <c r="AG1245" s="164">
        <f>IF(BetTable[Outcome2]="Win",BetTable[WBA2-Commission],IF(BetTable[Outcome2]="Win Half Stake",(BetTable[S2]/2)+BetTable[WBA2-Commission]/2,IF(BetTable[Outcome2]="Lose Half Stake",BetTable[S2]/2,IF(BetTable[Outcome2]="Lose",0,IF(BetTable[Outcome2]="Void",BetTable[S2],)))))</f>
        <v>0</v>
      </c>
      <c r="AH1245" s="164">
        <f>IF(BetTable[Outcome3]="Win",BetTable[WBA3-Commission],IF(BetTable[Outcome3]="Win Half Stake",(BetTable[S3]/2)+BetTable[WBA3-Commission]/2,IF(BetTable[Outcome3]="Lose Half Stake",BetTable[S3]/2,IF(BetTable[Outcome3]="Lose",0,IF(BetTable[Outcome3]="Void",BetTable[S3],)))))</f>
        <v>0</v>
      </c>
      <c r="AI1245" s="168">
        <f>IF(BetTable[Outcome]="",AI1244,BetTable[Result]+AI1244)</f>
        <v>2373.6627499999986</v>
      </c>
      <c r="AJ1245" s="160"/>
    </row>
    <row r="1246" spans="1:36" x14ac:dyDescent="0.2">
      <c r="A1246" s="159" t="s">
        <v>2968</v>
      </c>
      <c r="B1246" s="160" t="s">
        <v>7</v>
      </c>
      <c r="C1246" s="161" t="s">
        <v>91</v>
      </c>
      <c r="D1246" s="161"/>
      <c r="E1246" s="161"/>
      <c r="F1246" s="162"/>
      <c r="G1246" s="162"/>
      <c r="H1246" s="162"/>
      <c r="I1246" s="160" t="s">
        <v>3043</v>
      </c>
      <c r="J1246" s="163">
        <v>1.83</v>
      </c>
      <c r="K1246" s="163"/>
      <c r="L1246" s="163"/>
      <c r="M1246" s="164">
        <v>56</v>
      </c>
      <c r="N1246" s="164"/>
      <c r="O1246" s="164"/>
      <c r="P1246" s="159" t="s">
        <v>3044</v>
      </c>
      <c r="Q1246" s="159" t="s">
        <v>503</v>
      </c>
      <c r="R1246" s="159" t="s">
        <v>3045</v>
      </c>
      <c r="S1246" s="165">
        <v>3.0926654745455601E-2</v>
      </c>
      <c r="T1246" s="166" t="s">
        <v>372</v>
      </c>
      <c r="U1246" s="166"/>
      <c r="V1246" s="166"/>
      <c r="W1246" s="167">
        <f>IF(BetTable[Sport]="","",BetTable[Stake]+BetTable[S2]+BetTable[S3])</f>
        <v>56</v>
      </c>
      <c r="X1246" s="164">
        <f>IF(BetTable[Odds]="","",(BetTable[WBA1-Commission])-BetTable[TS])</f>
        <v>46.480000000000004</v>
      </c>
      <c r="Y1246" s="168">
        <f>IF(BetTable[Outcome]="","",BetTable[WBA1]+BetTable[WBA2]+BetTable[WBA3]-BetTable[TS])</f>
        <v>46.480000000000004</v>
      </c>
      <c r="Z1246" s="164">
        <f>(((BetTable[Odds]-1)*BetTable[Stake])*(1-(BetTable[Comm %]))+BetTable[Stake])</f>
        <v>102.48</v>
      </c>
      <c r="AA1246" s="164">
        <f>(((BetTable[O2]-1)*BetTable[S2])*(1-(BetTable[C% 2]))+BetTable[S2])</f>
        <v>0</v>
      </c>
      <c r="AB1246" s="164">
        <f>(((BetTable[O3]-1)*BetTable[S3])*(1-(BetTable[C% 3]))+BetTable[S3])</f>
        <v>0</v>
      </c>
      <c r="AC1246" s="165">
        <f>IFERROR(IF(BetTable[Sport]="","",BetTable[R1]/BetTable[TS]),"")</f>
        <v>0.83000000000000007</v>
      </c>
      <c r="AD1246" s="165" t="str">
        <f>IF(BetTable[O2]="","",#REF!/BetTable[TS])</f>
        <v/>
      </c>
      <c r="AE1246" s="165" t="str">
        <f>IFERROR(IF(BetTable[Sport]="","",#REF!/BetTable[TS]),"")</f>
        <v/>
      </c>
      <c r="AF1246" s="164">
        <f>IF(BetTable[Outcome]="Win",BetTable[WBA1-Commission],IF(BetTable[Outcome]="Win Half Stake",(BetTable[Stake]/2)+BetTable[WBA1-Commission]/2,IF(BetTable[Outcome]="Lose Half Stake",BetTable[Stake]/2,IF(BetTable[Outcome]="Lose",0,IF(BetTable[Outcome]="Void",BetTable[Stake],)))))</f>
        <v>102.48</v>
      </c>
      <c r="AG1246" s="164">
        <f>IF(BetTable[Outcome2]="Win",BetTable[WBA2-Commission],IF(BetTable[Outcome2]="Win Half Stake",(BetTable[S2]/2)+BetTable[WBA2-Commission]/2,IF(BetTable[Outcome2]="Lose Half Stake",BetTable[S2]/2,IF(BetTable[Outcome2]="Lose",0,IF(BetTable[Outcome2]="Void",BetTable[S2],)))))</f>
        <v>0</v>
      </c>
      <c r="AH1246" s="164">
        <f>IF(BetTable[Outcome3]="Win",BetTable[WBA3-Commission],IF(BetTable[Outcome3]="Win Half Stake",(BetTable[S3]/2)+BetTable[WBA3-Commission]/2,IF(BetTable[Outcome3]="Lose Half Stake",BetTable[S3]/2,IF(BetTable[Outcome3]="Lose",0,IF(BetTable[Outcome3]="Void",BetTable[S3],)))))</f>
        <v>0</v>
      </c>
      <c r="AI1246" s="168">
        <f>IF(BetTable[Outcome]="",AI1245,BetTable[Result]+AI1245)</f>
        <v>2420.1427499999986</v>
      </c>
      <c r="AJ1246" s="160"/>
    </row>
    <row r="1247" spans="1:36" x14ac:dyDescent="0.2">
      <c r="A1247" s="159" t="s">
        <v>2968</v>
      </c>
      <c r="B1247" s="160" t="s">
        <v>200</v>
      </c>
      <c r="C1247" s="161" t="s">
        <v>1714</v>
      </c>
      <c r="D1247" s="161"/>
      <c r="E1247" s="161"/>
      <c r="F1247" s="162"/>
      <c r="G1247" s="162"/>
      <c r="H1247" s="162"/>
      <c r="I1247" s="160" t="s">
        <v>3046</v>
      </c>
      <c r="J1247" s="163">
        <v>2.09</v>
      </c>
      <c r="K1247" s="163"/>
      <c r="L1247" s="163"/>
      <c r="M1247" s="164">
        <v>46</v>
      </c>
      <c r="N1247" s="164"/>
      <c r="O1247" s="164"/>
      <c r="P1247" s="159" t="s">
        <v>868</v>
      </c>
      <c r="Q1247" s="159" t="s">
        <v>703</v>
      </c>
      <c r="R1247" s="159" t="s">
        <v>3047</v>
      </c>
      <c r="S1247" s="165">
        <v>2.8328980454999701E-2</v>
      </c>
      <c r="T1247" s="166" t="s">
        <v>510</v>
      </c>
      <c r="U1247" s="166"/>
      <c r="V1247" s="166"/>
      <c r="W1247" s="167">
        <f>IF(BetTable[Sport]="","",BetTable[Stake]+BetTable[S2]+BetTable[S3])</f>
        <v>46</v>
      </c>
      <c r="X1247" s="164">
        <f>IF(BetTable[Odds]="","",(BetTable[WBA1-Commission])-BetTable[TS])</f>
        <v>50.139999999999986</v>
      </c>
      <c r="Y1247" s="168">
        <f>IF(BetTable[Outcome]="","",BetTable[WBA1]+BetTable[WBA2]+BetTable[WBA3]-BetTable[TS])</f>
        <v>25.069999999999993</v>
      </c>
      <c r="Z1247" s="164">
        <f>(((BetTable[Odds]-1)*BetTable[Stake])*(1-(BetTable[Comm %]))+BetTable[Stake])</f>
        <v>96.139999999999986</v>
      </c>
      <c r="AA1247" s="164">
        <f>(((BetTable[O2]-1)*BetTable[S2])*(1-(BetTable[C% 2]))+BetTable[S2])</f>
        <v>0</v>
      </c>
      <c r="AB1247" s="164">
        <f>(((BetTable[O3]-1)*BetTable[S3])*(1-(BetTable[C% 3]))+BetTable[S3])</f>
        <v>0</v>
      </c>
      <c r="AC1247" s="165">
        <f>IFERROR(IF(BetTable[Sport]="","",BetTable[R1]/BetTable[TS]),"")</f>
        <v>1.0899999999999996</v>
      </c>
      <c r="AD1247" s="165" t="str">
        <f>IF(BetTable[O2]="","",#REF!/BetTable[TS])</f>
        <v/>
      </c>
      <c r="AE1247" s="165" t="str">
        <f>IFERROR(IF(BetTable[Sport]="","",#REF!/BetTable[TS]),"")</f>
        <v/>
      </c>
      <c r="AF1247" s="164">
        <f>IF(BetTable[Outcome]="Win",BetTable[WBA1-Commission],IF(BetTable[Outcome]="Win Half Stake",(BetTable[Stake]/2)+BetTable[WBA1-Commission]/2,IF(BetTable[Outcome]="Lose Half Stake",BetTable[Stake]/2,IF(BetTable[Outcome]="Lose",0,IF(BetTable[Outcome]="Void",BetTable[Stake],)))))</f>
        <v>71.069999999999993</v>
      </c>
      <c r="AG1247" s="164">
        <f>IF(BetTable[Outcome2]="Win",BetTable[WBA2-Commission],IF(BetTable[Outcome2]="Win Half Stake",(BetTable[S2]/2)+BetTable[WBA2-Commission]/2,IF(BetTable[Outcome2]="Lose Half Stake",BetTable[S2]/2,IF(BetTable[Outcome2]="Lose",0,IF(BetTable[Outcome2]="Void",BetTable[S2],)))))</f>
        <v>0</v>
      </c>
      <c r="AH1247" s="164">
        <f>IF(BetTable[Outcome3]="Win",BetTable[WBA3-Commission],IF(BetTable[Outcome3]="Win Half Stake",(BetTable[S3]/2)+BetTable[WBA3-Commission]/2,IF(BetTable[Outcome3]="Lose Half Stake",BetTable[S3]/2,IF(BetTable[Outcome3]="Lose",0,IF(BetTable[Outcome3]="Void",BetTable[S3],)))))</f>
        <v>0</v>
      </c>
      <c r="AI1247" s="168">
        <f>IF(BetTable[Outcome]="",AI1246,BetTable[Result]+AI1246)</f>
        <v>2445.2127499999988</v>
      </c>
      <c r="AJ1247" s="160"/>
    </row>
    <row r="1248" spans="1:36" x14ac:dyDescent="0.2">
      <c r="A1248" s="159" t="s">
        <v>2968</v>
      </c>
      <c r="B1248" s="160" t="s">
        <v>200</v>
      </c>
      <c r="C1248" s="161" t="s">
        <v>1714</v>
      </c>
      <c r="D1248" s="161"/>
      <c r="E1248" s="161"/>
      <c r="F1248" s="162"/>
      <c r="G1248" s="162"/>
      <c r="H1248" s="162"/>
      <c r="I1248" s="160" t="s">
        <v>3048</v>
      </c>
      <c r="J1248" s="163">
        <v>2.19</v>
      </c>
      <c r="K1248" s="163"/>
      <c r="L1248" s="163"/>
      <c r="M1248" s="164">
        <v>40</v>
      </c>
      <c r="N1248" s="164"/>
      <c r="O1248" s="164"/>
      <c r="P1248" s="159" t="s">
        <v>457</v>
      </c>
      <c r="Q1248" s="159" t="s">
        <v>461</v>
      </c>
      <c r="R1248" s="159" t="s">
        <v>3049</v>
      </c>
      <c r="S1248" s="165">
        <v>2.63102942829214E-2</v>
      </c>
      <c r="T1248" s="166" t="s">
        <v>372</v>
      </c>
      <c r="U1248" s="166"/>
      <c r="V1248" s="166"/>
      <c r="W1248" s="167">
        <f>IF(BetTable[Sport]="","",BetTable[Stake]+BetTable[S2]+BetTable[S3])</f>
        <v>40</v>
      </c>
      <c r="X1248" s="164">
        <f>IF(BetTable[Odds]="","",(BetTable[WBA1-Commission])-BetTable[TS])</f>
        <v>47.599999999999994</v>
      </c>
      <c r="Y1248" s="168">
        <f>IF(BetTable[Outcome]="","",BetTable[WBA1]+BetTable[WBA2]+BetTable[WBA3]-BetTable[TS])</f>
        <v>47.599999999999994</v>
      </c>
      <c r="Z1248" s="164">
        <f>(((BetTable[Odds]-1)*BetTable[Stake])*(1-(BetTable[Comm %]))+BetTable[Stake])</f>
        <v>87.6</v>
      </c>
      <c r="AA1248" s="164">
        <f>(((BetTable[O2]-1)*BetTable[S2])*(1-(BetTable[C% 2]))+BetTable[S2])</f>
        <v>0</v>
      </c>
      <c r="AB1248" s="164">
        <f>(((BetTable[O3]-1)*BetTable[S3])*(1-(BetTable[C% 3]))+BetTable[S3])</f>
        <v>0</v>
      </c>
      <c r="AC1248" s="165">
        <f>IFERROR(IF(BetTable[Sport]="","",BetTable[R1]/BetTable[TS]),"")</f>
        <v>1.19</v>
      </c>
      <c r="AD1248" s="165" t="str">
        <f>IF(BetTable[O2]="","",#REF!/BetTable[TS])</f>
        <v/>
      </c>
      <c r="AE1248" s="165" t="str">
        <f>IFERROR(IF(BetTable[Sport]="","",#REF!/BetTable[TS]),"")</f>
        <v/>
      </c>
      <c r="AF1248" s="164">
        <f>IF(BetTable[Outcome]="Win",BetTable[WBA1-Commission],IF(BetTable[Outcome]="Win Half Stake",(BetTable[Stake]/2)+BetTable[WBA1-Commission]/2,IF(BetTable[Outcome]="Lose Half Stake",BetTable[Stake]/2,IF(BetTable[Outcome]="Lose",0,IF(BetTable[Outcome]="Void",BetTable[Stake],)))))</f>
        <v>87.6</v>
      </c>
      <c r="AG1248" s="164">
        <f>IF(BetTable[Outcome2]="Win",BetTable[WBA2-Commission],IF(BetTable[Outcome2]="Win Half Stake",(BetTable[S2]/2)+BetTable[WBA2-Commission]/2,IF(BetTable[Outcome2]="Lose Half Stake",BetTable[S2]/2,IF(BetTable[Outcome2]="Lose",0,IF(BetTable[Outcome2]="Void",BetTable[S2],)))))</f>
        <v>0</v>
      </c>
      <c r="AH1248" s="164">
        <f>IF(BetTable[Outcome3]="Win",BetTable[WBA3-Commission],IF(BetTable[Outcome3]="Win Half Stake",(BetTable[S3]/2)+BetTable[WBA3-Commission]/2,IF(BetTable[Outcome3]="Lose Half Stake",BetTable[S3]/2,IF(BetTable[Outcome3]="Lose",0,IF(BetTable[Outcome3]="Void",BetTable[S3],)))))</f>
        <v>0</v>
      </c>
      <c r="AI1248" s="168">
        <f>IF(BetTable[Outcome]="",AI1247,BetTable[Result]+AI1247)</f>
        <v>2492.8127499999987</v>
      </c>
      <c r="AJ1248" s="160"/>
    </row>
    <row r="1249" spans="1:36" x14ac:dyDescent="0.2">
      <c r="A1249" s="159" t="s">
        <v>2968</v>
      </c>
      <c r="B1249" s="160" t="s">
        <v>200</v>
      </c>
      <c r="C1249" s="161" t="s">
        <v>1714</v>
      </c>
      <c r="D1249" s="161"/>
      <c r="E1249" s="161"/>
      <c r="F1249" s="162"/>
      <c r="G1249" s="162"/>
      <c r="H1249" s="162"/>
      <c r="I1249" s="160" t="s">
        <v>3050</v>
      </c>
      <c r="J1249" s="163">
        <v>1.69</v>
      </c>
      <c r="K1249" s="163"/>
      <c r="L1249" s="163"/>
      <c r="M1249" s="164">
        <v>52</v>
      </c>
      <c r="N1249" s="164"/>
      <c r="O1249" s="164"/>
      <c r="P1249" s="159" t="s">
        <v>1501</v>
      </c>
      <c r="Q1249" s="159" t="s">
        <v>439</v>
      </c>
      <c r="R1249" s="159" t="s">
        <v>3051</v>
      </c>
      <c r="S1249" s="165">
        <v>2.0065839678733301E-2</v>
      </c>
      <c r="T1249" s="166" t="s">
        <v>382</v>
      </c>
      <c r="U1249" s="166"/>
      <c r="V1249" s="166"/>
      <c r="W1249" s="167">
        <f>IF(BetTable[Sport]="","",BetTable[Stake]+BetTable[S2]+BetTable[S3])</f>
        <v>52</v>
      </c>
      <c r="X1249" s="164">
        <f>IF(BetTable[Odds]="","",(BetTable[WBA1-Commission])-BetTable[TS])</f>
        <v>35.879999999999995</v>
      </c>
      <c r="Y1249" s="168">
        <f>IF(BetTable[Outcome]="","",BetTable[WBA1]+BetTable[WBA2]+BetTable[WBA3]-BetTable[TS])</f>
        <v>-52</v>
      </c>
      <c r="Z1249" s="164">
        <f>(((BetTable[Odds]-1)*BetTable[Stake])*(1-(BetTable[Comm %]))+BetTable[Stake])</f>
        <v>87.88</v>
      </c>
      <c r="AA1249" s="164">
        <f>(((BetTable[O2]-1)*BetTable[S2])*(1-(BetTable[C% 2]))+BetTable[S2])</f>
        <v>0</v>
      </c>
      <c r="AB1249" s="164">
        <f>(((BetTable[O3]-1)*BetTable[S3])*(1-(BetTable[C% 3]))+BetTable[S3])</f>
        <v>0</v>
      </c>
      <c r="AC1249" s="165">
        <f>IFERROR(IF(BetTable[Sport]="","",BetTable[R1]/BetTable[TS]),"")</f>
        <v>0.69</v>
      </c>
      <c r="AD1249" s="165" t="str">
        <f>IF(BetTable[O2]="","",#REF!/BetTable[TS])</f>
        <v/>
      </c>
      <c r="AE1249" s="165" t="str">
        <f>IFERROR(IF(BetTable[Sport]="","",#REF!/BetTable[TS]),"")</f>
        <v/>
      </c>
      <c r="AF1249" s="164">
        <f>IF(BetTable[Outcome]="Win",BetTable[WBA1-Commission],IF(BetTable[Outcome]="Win Half Stake",(BetTable[Stake]/2)+BetTable[WBA1-Commission]/2,IF(BetTable[Outcome]="Lose Half Stake",BetTable[Stake]/2,IF(BetTable[Outcome]="Lose",0,IF(BetTable[Outcome]="Void",BetTable[Stake],)))))</f>
        <v>0</v>
      </c>
      <c r="AG1249" s="164">
        <f>IF(BetTable[Outcome2]="Win",BetTable[WBA2-Commission],IF(BetTable[Outcome2]="Win Half Stake",(BetTable[S2]/2)+BetTable[WBA2-Commission]/2,IF(BetTable[Outcome2]="Lose Half Stake",BetTable[S2]/2,IF(BetTable[Outcome2]="Lose",0,IF(BetTable[Outcome2]="Void",BetTable[S2],)))))</f>
        <v>0</v>
      </c>
      <c r="AH1249" s="164">
        <f>IF(BetTable[Outcome3]="Win",BetTable[WBA3-Commission],IF(BetTable[Outcome3]="Win Half Stake",(BetTable[S3]/2)+BetTable[WBA3-Commission]/2,IF(BetTable[Outcome3]="Lose Half Stake",BetTable[S3]/2,IF(BetTable[Outcome3]="Lose",0,IF(BetTable[Outcome3]="Void",BetTable[S3],)))))</f>
        <v>0</v>
      </c>
      <c r="AI1249" s="168">
        <f>IF(BetTable[Outcome]="",AI1248,BetTable[Result]+AI1248)</f>
        <v>2440.8127499999987</v>
      </c>
      <c r="AJ1249" s="160"/>
    </row>
    <row r="1250" spans="1:36" x14ac:dyDescent="0.2">
      <c r="A1250" s="159" t="s">
        <v>2968</v>
      </c>
      <c r="B1250" s="160" t="s">
        <v>200</v>
      </c>
      <c r="C1250" s="161" t="s">
        <v>1714</v>
      </c>
      <c r="D1250" s="161"/>
      <c r="E1250" s="161"/>
      <c r="F1250" s="162"/>
      <c r="G1250" s="162"/>
      <c r="H1250" s="162"/>
      <c r="I1250" s="160" t="s">
        <v>3050</v>
      </c>
      <c r="J1250" s="163">
        <v>2.04</v>
      </c>
      <c r="K1250" s="163"/>
      <c r="L1250" s="163"/>
      <c r="M1250" s="164">
        <v>34</v>
      </c>
      <c r="N1250" s="164"/>
      <c r="O1250" s="164"/>
      <c r="P1250" s="159" t="s">
        <v>2446</v>
      </c>
      <c r="Q1250" s="159" t="s">
        <v>439</v>
      </c>
      <c r="R1250" s="159" t="s">
        <v>3052</v>
      </c>
      <c r="S1250" s="165">
        <v>0.02</v>
      </c>
      <c r="T1250" s="166" t="s">
        <v>382</v>
      </c>
      <c r="U1250" s="166"/>
      <c r="V1250" s="166"/>
      <c r="W1250" s="167">
        <f>IF(BetTable[Sport]="","",BetTable[Stake]+BetTable[S2]+BetTable[S3])</f>
        <v>34</v>
      </c>
      <c r="X1250" s="164">
        <f>IF(BetTable[Odds]="","",(BetTable[WBA1-Commission])-BetTable[TS])</f>
        <v>35.36</v>
      </c>
      <c r="Y1250" s="168">
        <f>IF(BetTable[Outcome]="","",BetTable[WBA1]+BetTable[WBA2]+BetTable[WBA3]-BetTable[TS])</f>
        <v>-34</v>
      </c>
      <c r="Z1250" s="164">
        <f>(((BetTable[Odds]-1)*BetTable[Stake])*(1-(BetTable[Comm %]))+BetTable[Stake])</f>
        <v>69.36</v>
      </c>
      <c r="AA1250" s="164">
        <f>(((BetTable[O2]-1)*BetTable[S2])*(1-(BetTable[C% 2]))+BetTable[S2])</f>
        <v>0</v>
      </c>
      <c r="AB1250" s="164">
        <f>(((BetTable[O3]-1)*BetTable[S3])*(1-(BetTable[C% 3]))+BetTable[S3])</f>
        <v>0</v>
      </c>
      <c r="AC1250" s="165">
        <f>IFERROR(IF(BetTable[Sport]="","",BetTable[R1]/BetTable[TS]),"")</f>
        <v>1.04</v>
      </c>
      <c r="AD1250" s="165" t="str">
        <f>IF(BetTable[O2]="","",#REF!/BetTable[TS])</f>
        <v/>
      </c>
      <c r="AE1250" s="165" t="str">
        <f>IFERROR(IF(BetTable[Sport]="","",#REF!/BetTable[TS]),"")</f>
        <v/>
      </c>
      <c r="AF1250" s="164">
        <f>IF(BetTable[Outcome]="Win",BetTable[WBA1-Commission],IF(BetTable[Outcome]="Win Half Stake",(BetTable[Stake]/2)+BetTable[WBA1-Commission]/2,IF(BetTable[Outcome]="Lose Half Stake",BetTable[Stake]/2,IF(BetTable[Outcome]="Lose",0,IF(BetTable[Outcome]="Void",BetTable[Stake],)))))</f>
        <v>0</v>
      </c>
      <c r="AG1250" s="164">
        <f>IF(BetTable[Outcome2]="Win",BetTable[WBA2-Commission],IF(BetTable[Outcome2]="Win Half Stake",(BetTable[S2]/2)+BetTable[WBA2-Commission]/2,IF(BetTable[Outcome2]="Lose Half Stake",BetTable[S2]/2,IF(BetTable[Outcome2]="Lose",0,IF(BetTable[Outcome2]="Void",BetTable[S2],)))))</f>
        <v>0</v>
      </c>
      <c r="AH1250" s="164">
        <f>IF(BetTable[Outcome3]="Win",BetTable[WBA3-Commission],IF(BetTable[Outcome3]="Win Half Stake",(BetTable[S3]/2)+BetTable[WBA3-Commission]/2,IF(BetTable[Outcome3]="Lose Half Stake",BetTable[S3]/2,IF(BetTable[Outcome3]="Lose",0,IF(BetTable[Outcome3]="Void",BetTable[S3],)))))</f>
        <v>0</v>
      </c>
      <c r="AI1250" s="168">
        <f>IF(BetTable[Outcome]="",AI1249,BetTable[Result]+AI1249)</f>
        <v>2406.8127499999987</v>
      </c>
      <c r="AJ1250" s="160"/>
    </row>
    <row r="1251" spans="1:36" x14ac:dyDescent="0.2">
      <c r="A1251" s="159" t="s">
        <v>2968</v>
      </c>
      <c r="B1251" s="160" t="s">
        <v>8</v>
      </c>
      <c r="C1251" s="161" t="s">
        <v>91</v>
      </c>
      <c r="D1251" s="161"/>
      <c r="E1251" s="161"/>
      <c r="F1251" s="162"/>
      <c r="G1251" s="162"/>
      <c r="H1251" s="162"/>
      <c r="I1251" s="160" t="s">
        <v>3053</v>
      </c>
      <c r="J1251" s="163">
        <v>1.97</v>
      </c>
      <c r="K1251" s="163"/>
      <c r="L1251" s="163"/>
      <c r="M1251" s="164">
        <v>42</v>
      </c>
      <c r="N1251" s="164"/>
      <c r="O1251" s="164"/>
      <c r="P1251" s="159" t="s">
        <v>435</v>
      </c>
      <c r="Q1251" s="159" t="s">
        <v>485</v>
      </c>
      <c r="R1251" s="159" t="s">
        <v>3054</v>
      </c>
      <c r="S1251" s="165">
        <v>2.2850406959551098E-2</v>
      </c>
      <c r="T1251" s="166" t="s">
        <v>372</v>
      </c>
      <c r="U1251" s="166"/>
      <c r="V1251" s="166"/>
      <c r="W1251" s="167">
        <f>IF(BetTable[Sport]="","",BetTable[Stake]+BetTable[S2]+BetTable[S3])</f>
        <v>42</v>
      </c>
      <c r="X1251" s="164">
        <f>IF(BetTable[Odds]="","",(BetTable[WBA1-Commission])-BetTable[TS])</f>
        <v>40.740000000000009</v>
      </c>
      <c r="Y1251" s="168">
        <f>IF(BetTable[Outcome]="","",BetTable[WBA1]+BetTable[WBA2]+BetTable[WBA3]-BetTable[TS])</f>
        <v>40.740000000000009</v>
      </c>
      <c r="Z1251" s="164">
        <f>(((BetTable[Odds]-1)*BetTable[Stake])*(1-(BetTable[Comm %]))+BetTable[Stake])</f>
        <v>82.740000000000009</v>
      </c>
      <c r="AA1251" s="164">
        <f>(((BetTable[O2]-1)*BetTable[S2])*(1-(BetTable[C% 2]))+BetTable[S2])</f>
        <v>0</v>
      </c>
      <c r="AB1251" s="164">
        <f>(((BetTable[O3]-1)*BetTable[S3])*(1-(BetTable[C% 3]))+BetTable[S3])</f>
        <v>0</v>
      </c>
      <c r="AC1251" s="165">
        <f>IFERROR(IF(BetTable[Sport]="","",BetTable[R1]/BetTable[TS]),"")</f>
        <v>0.9700000000000002</v>
      </c>
      <c r="AD1251" s="165" t="str">
        <f>IF(BetTable[O2]="","",#REF!/BetTable[TS])</f>
        <v/>
      </c>
      <c r="AE1251" s="165" t="str">
        <f>IFERROR(IF(BetTable[Sport]="","",#REF!/BetTable[TS]),"")</f>
        <v/>
      </c>
      <c r="AF1251" s="164">
        <f>IF(BetTable[Outcome]="Win",BetTable[WBA1-Commission],IF(BetTable[Outcome]="Win Half Stake",(BetTable[Stake]/2)+BetTable[WBA1-Commission]/2,IF(BetTable[Outcome]="Lose Half Stake",BetTable[Stake]/2,IF(BetTable[Outcome]="Lose",0,IF(BetTable[Outcome]="Void",BetTable[Stake],)))))</f>
        <v>82.740000000000009</v>
      </c>
      <c r="AG1251" s="164">
        <f>IF(BetTable[Outcome2]="Win",BetTable[WBA2-Commission],IF(BetTable[Outcome2]="Win Half Stake",(BetTable[S2]/2)+BetTable[WBA2-Commission]/2,IF(BetTable[Outcome2]="Lose Half Stake",BetTable[S2]/2,IF(BetTable[Outcome2]="Lose",0,IF(BetTable[Outcome2]="Void",BetTable[S2],)))))</f>
        <v>0</v>
      </c>
      <c r="AH1251" s="164">
        <f>IF(BetTable[Outcome3]="Win",BetTable[WBA3-Commission],IF(BetTable[Outcome3]="Win Half Stake",(BetTable[S3]/2)+BetTable[WBA3-Commission]/2,IF(BetTable[Outcome3]="Lose Half Stake",BetTable[S3]/2,IF(BetTable[Outcome3]="Lose",0,IF(BetTable[Outcome3]="Void",BetTable[S3],)))))</f>
        <v>0</v>
      </c>
      <c r="AI1251" s="168">
        <f>IF(BetTable[Outcome]="",AI1250,BetTable[Result]+AI1250)</f>
        <v>2447.5527499999989</v>
      </c>
      <c r="AJ1251" s="160"/>
    </row>
    <row r="1252" spans="1:36" x14ac:dyDescent="0.2">
      <c r="A1252" s="159" t="s">
        <v>2968</v>
      </c>
      <c r="B1252" s="160" t="s">
        <v>7</v>
      </c>
      <c r="C1252" s="161" t="s">
        <v>1714</v>
      </c>
      <c r="D1252" s="161"/>
      <c r="E1252" s="161"/>
      <c r="F1252" s="162"/>
      <c r="G1252" s="162"/>
      <c r="H1252" s="162"/>
      <c r="I1252" s="160" t="s">
        <v>3055</v>
      </c>
      <c r="J1252" s="163">
        <v>1.88</v>
      </c>
      <c r="K1252" s="163"/>
      <c r="L1252" s="163"/>
      <c r="M1252" s="164">
        <v>38</v>
      </c>
      <c r="N1252" s="164"/>
      <c r="O1252" s="164"/>
      <c r="P1252" s="159" t="s">
        <v>3056</v>
      </c>
      <c r="Q1252" s="159" t="s">
        <v>530</v>
      </c>
      <c r="R1252" s="159" t="s">
        <v>3057</v>
      </c>
      <c r="S1252" s="165">
        <v>1.8642013442934102E-2</v>
      </c>
      <c r="T1252" s="166" t="s">
        <v>372</v>
      </c>
      <c r="U1252" s="166"/>
      <c r="V1252" s="166"/>
      <c r="W1252" s="167">
        <f>IF(BetTable[Sport]="","",BetTable[Stake]+BetTable[S2]+BetTable[S3])</f>
        <v>38</v>
      </c>
      <c r="X1252" s="164">
        <f>IF(BetTable[Odds]="","",(BetTable[WBA1-Commission])-BetTable[TS])</f>
        <v>33.44</v>
      </c>
      <c r="Y1252" s="168">
        <f>IF(BetTable[Outcome]="","",BetTable[WBA1]+BetTable[WBA2]+BetTable[WBA3]-BetTable[TS])</f>
        <v>33.44</v>
      </c>
      <c r="Z1252" s="164">
        <f>(((BetTable[Odds]-1)*BetTable[Stake])*(1-(BetTable[Comm %]))+BetTable[Stake])</f>
        <v>71.44</v>
      </c>
      <c r="AA1252" s="164">
        <f>(((BetTable[O2]-1)*BetTable[S2])*(1-(BetTable[C% 2]))+BetTable[S2])</f>
        <v>0</v>
      </c>
      <c r="AB1252" s="164">
        <f>(((BetTable[O3]-1)*BetTable[S3])*(1-(BetTable[C% 3]))+BetTable[S3])</f>
        <v>0</v>
      </c>
      <c r="AC1252" s="165">
        <f>IFERROR(IF(BetTable[Sport]="","",BetTable[R1]/BetTable[TS]),"")</f>
        <v>0.87999999999999989</v>
      </c>
      <c r="AD1252" s="165" t="str">
        <f>IF(BetTable[O2]="","",#REF!/BetTable[TS])</f>
        <v/>
      </c>
      <c r="AE1252" s="165" t="str">
        <f>IFERROR(IF(BetTable[Sport]="","",#REF!/BetTable[TS]),"")</f>
        <v/>
      </c>
      <c r="AF1252" s="164">
        <f>IF(BetTable[Outcome]="Win",BetTable[WBA1-Commission],IF(BetTable[Outcome]="Win Half Stake",(BetTable[Stake]/2)+BetTable[WBA1-Commission]/2,IF(BetTable[Outcome]="Lose Half Stake",BetTable[Stake]/2,IF(BetTable[Outcome]="Lose",0,IF(BetTable[Outcome]="Void",BetTable[Stake],)))))</f>
        <v>71.44</v>
      </c>
      <c r="AG1252" s="164">
        <f>IF(BetTable[Outcome2]="Win",BetTable[WBA2-Commission],IF(BetTable[Outcome2]="Win Half Stake",(BetTable[S2]/2)+BetTable[WBA2-Commission]/2,IF(BetTable[Outcome2]="Lose Half Stake",BetTable[S2]/2,IF(BetTable[Outcome2]="Lose",0,IF(BetTable[Outcome2]="Void",BetTable[S2],)))))</f>
        <v>0</v>
      </c>
      <c r="AH1252" s="164">
        <f>IF(BetTable[Outcome3]="Win",BetTable[WBA3-Commission],IF(BetTable[Outcome3]="Win Half Stake",(BetTable[S3]/2)+BetTable[WBA3-Commission]/2,IF(BetTable[Outcome3]="Lose Half Stake",BetTable[S3]/2,IF(BetTable[Outcome3]="Lose",0,IF(BetTable[Outcome3]="Void",BetTable[S3],)))))</f>
        <v>0</v>
      </c>
      <c r="AI1252" s="168">
        <f>IF(BetTable[Outcome]="",AI1251,BetTable[Result]+AI1251)</f>
        <v>2480.992749999999</v>
      </c>
      <c r="AJ1252" s="160"/>
    </row>
    <row r="1253" spans="1:36" x14ac:dyDescent="0.2">
      <c r="A1253" s="159" t="s">
        <v>2968</v>
      </c>
      <c r="B1253" s="160" t="s">
        <v>200</v>
      </c>
      <c r="C1253" s="161" t="s">
        <v>1714</v>
      </c>
      <c r="D1253" s="161"/>
      <c r="E1253" s="161"/>
      <c r="F1253" s="162"/>
      <c r="G1253" s="162"/>
      <c r="H1253" s="162"/>
      <c r="I1253" s="160" t="s">
        <v>3058</v>
      </c>
      <c r="J1253" s="163">
        <v>1.68</v>
      </c>
      <c r="K1253" s="163"/>
      <c r="L1253" s="163"/>
      <c r="M1253" s="164">
        <v>60</v>
      </c>
      <c r="N1253" s="164"/>
      <c r="O1253" s="164"/>
      <c r="P1253" s="159" t="s">
        <v>543</v>
      </c>
      <c r="Q1253" s="159" t="s">
        <v>1733</v>
      </c>
      <c r="R1253" s="159" t="s">
        <v>3059</v>
      </c>
      <c r="S1253" s="165">
        <v>2.2927897672517E-2</v>
      </c>
      <c r="T1253" s="166" t="s">
        <v>510</v>
      </c>
      <c r="U1253" s="166"/>
      <c r="V1253" s="166"/>
      <c r="W1253" s="167">
        <f>IF(BetTable[Sport]="","",BetTable[Stake]+BetTable[S2]+BetTable[S3])</f>
        <v>60</v>
      </c>
      <c r="X1253" s="164">
        <f>IF(BetTable[Odds]="","",(BetTable[WBA1-Commission])-BetTable[TS])</f>
        <v>40.799999999999997</v>
      </c>
      <c r="Y1253" s="168">
        <f>IF(BetTable[Outcome]="","",BetTable[WBA1]+BetTable[WBA2]+BetTable[WBA3]-BetTable[TS])</f>
        <v>20.400000000000006</v>
      </c>
      <c r="Z1253" s="164">
        <f>(((BetTable[Odds]-1)*BetTable[Stake])*(1-(BetTable[Comm %]))+BetTable[Stake])</f>
        <v>100.8</v>
      </c>
      <c r="AA1253" s="164">
        <f>(((BetTable[O2]-1)*BetTable[S2])*(1-(BetTable[C% 2]))+BetTable[S2])</f>
        <v>0</v>
      </c>
      <c r="AB1253" s="164">
        <f>(((BetTable[O3]-1)*BetTable[S3])*(1-(BetTable[C% 3]))+BetTable[S3])</f>
        <v>0</v>
      </c>
      <c r="AC1253" s="165">
        <f>IFERROR(IF(BetTable[Sport]="","",BetTable[R1]/BetTable[TS]),"")</f>
        <v>0.67999999999999994</v>
      </c>
      <c r="AD1253" s="165" t="str">
        <f>IF(BetTable[O2]="","",#REF!/BetTable[TS])</f>
        <v/>
      </c>
      <c r="AE1253" s="165" t="str">
        <f>IFERROR(IF(BetTable[Sport]="","",#REF!/BetTable[TS]),"")</f>
        <v/>
      </c>
      <c r="AF1253" s="164">
        <f>IF(BetTable[Outcome]="Win",BetTable[WBA1-Commission],IF(BetTable[Outcome]="Win Half Stake",(BetTable[Stake]/2)+BetTable[WBA1-Commission]/2,IF(BetTable[Outcome]="Lose Half Stake",BetTable[Stake]/2,IF(BetTable[Outcome]="Lose",0,IF(BetTable[Outcome]="Void",BetTable[Stake],)))))</f>
        <v>80.400000000000006</v>
      </c>
      <c r="AG1253" s="164">
        <f>IF(BetTable[Outcome2]="Win",BetTable[WBA2-Commission],IF(BetTable[Outcome2]="Win Half Stake",(BetTable[S2]/2)+BetTable[WBA2-Commission]/2,IF(BetTable[Outcome2]="Lose Half Stake",BetTable[S2]/2,IF(BetTable[Outcome2]="Lose",0,IF(BetTable[Outcome2]="Void",BetTable[S2],)))))</f>
        <v>0</v>
      </c>
      <c r="AH1253" s="164">
        <f>IF(BetTable[Outcome3]="Win",BetTable[WBA3-Commission],IF(BetTable[Outcome3]="Win Half Stake",(BetTable[S3]/2)+BetTable[WBA3-Commission]/2,IF(BetTable[Outcome3]="Lose Half Stake",BetTable[S3]/2,IF(BetTable[Outcome3]="Lose",0,IF(BetTable[Outcome3]="Void",BetTable[S3],)))))</f>
        <v>0</v>
      </c>
      <c r="AI1253" s="168">
        <f>IF(BetTable[Outcome]="",AI1252,BetTable[Result]+AI1252)</f>
        <v>2501.3927499999991</v>
      </c>
      <c r="AJ1253" s="160"/>
    </row>
    <row r="1254" spans="1:36" x14ac:dyDescent="0.2">
      <c r="A1254" s="159" t="s">
        <v>2968</v>
      </c>
      <c r="B1254" s="160" t="s">
        <v>200</v>
      </c>
      <c r="C1254" s="161" t="s">
        <v>1714</v>
      </c>
      <c r="D1254" s="161"/>
      <c r="E1254" s="161"/>
      <c r="F1254" s="162"/>
      <c r="G1254" s="162"/>
      <c r="H1254" s="162"/>
      <c r="I1254" s="160" t="s">
        <v>3060</v>
      </c>
      <c r="J1254" s="163">
        <v>1.69</v>
      </c>
      <c r="K1254" s="163"/>
      <c r="L1254" s="163"/>
      <c r="M1254" s="164">
        <v>64</v>
      </c>
      <c r="N1254" s="164"/>
      <c r="O1254" s="164"/>
      <c r="P1254" s="159" t="s">
        <v>655</v>
      </c>
      <c r="Q1254" s="159" t="s">
        <v>677</v>
      </c>
      <c r="R1254" s="159" t="s">
        <v>3061</v>
      </c>
      <c r="S1254" s="165">
        <v>2.4675936427114801E-2</v>
      </c>
      <c r="T1254" s="166" t="s">
        <v>382</v>
      </c>
      <c r="U1254" s="166"/>
      <c r="V1254" s="166"/>
      <c r="W1254" s="167">
        <f>IF(BetTable[Sport]="","",BetTable[Stake]+BetTable[S2]+BetTable[S3])</f>
        <v>64</v>
      </c>
      <c r="X1254" s="164">
        <f>IF(BetTable[Odds]="","",(BetTable[WBA1-Commission])-BetTable[TS])</f>
        <v>44.16</v>
      </c>
      <c r="Y1254" s="168">
        <f>IF(BetTable[Outcome]="","",BetTable[WBA1]+BetTable[WBA2]+BetTable[WBA3]-BetTable[TS])</f>
        <v>-64</v>
      </c>
      <c r="Z1254" s="164">
        <f>(((BetTable[Odds]-1)*BetTable[Stake])*(1-(BetTable[Comm %]))+BetTable[Stake])</f>
        <v>108.16</v>
      </c>
      <c r="AA1254" s="164">
        <f>(((BetTable[O2]-1)*BetTable[S2])*(1-(BetTable[C% 2]))+BetTable[S2])</f>
        <v>0</v>
      </c>
      <c r="AB1254" s="164">
        <f>(((BetTable[O3]-1)*BetTable[S3])*(1-(BetTable[C% 3]))+BetTable[S3])</f>
        <v>0</v>
      </c>
      <c r="AC1254" s="165">
        <f>IFERROR(IF(BetTable[Sport]="","",BetTable[R1]/BetTable[TS]),"")</f>
        <v>0.69</v>
      </c>
      <c r="AD1254" s="165" t="str">
        <f>IF(BetTable[O2]="","",#REF!/BetTable[TS])</f>
        <v/>
      </c>
      <c r="AE1254" s="165" t="str">
        <f>IFERROR(IF(BetTable[Sport]="","",#REF!/BetTable[TS]),"")</f>
        <v/>
      </c>
      <c r="AF1254" s="164">
        <f>IF(BetTable[Outcome]="Win",BetTable[WBA1-Commission],IF(BetTable[Outcome]="Win Half Stake",(BetTable[Stake]/2)+BetTable[WBA1-Commission]/2,IF(BetTable[Outcome]="Lose Half Stake",BetTable[Stake]/2,IF(BetTable[Outcome]="Lose",0,IF(BetTable[Outcome]="Void",BetTable[Stake],)))))</f>
        <v>0</v>
      </c>
      <c r="AG1254" s="164">
        <f>IF(BetTable[Outcome2]="Win",BetTable[WBA2-Commission],IF(BetTable[Outcome2]="Win Half Stake",(BetTable[S2]/2)+BetTable[WBA2-Commission]/2,IF(BetTable[Outcome2]="Lose Half Stake",BetTable[S2]/2,IF(BetTable[Outcome2]="Lose",0,IF(BetTable[Outcome2]="Void",BetTable[S2],)))))</f>
        <v>0</v>
      </c>
      <c r="AH1254" s="164">
        <f>IF(BetTable[Outcome3]="Win",BetTable[WBA3-Commission],IF(BetTable[Outcome3]="Win Half Stake",(BetTable[S3]/2)+BetTable[WBA3-Commission]/2,IF(BetTable[Outcome3]="Lose Half Stake",BetTable[S3]/2,IF(BetTable[Outcome3]="Lose",0,IF(BetTable[Outcome3]="Void",BetTable[S3],)))))</f>
        <v>0</v>
      </c>
      <c r="AI1254" s="168">
        <f>IF(BetTable[Outcome]="",AI1253,BetTable[Result]+AI1253)</f>
        <v>2437.3927499999991</v>
      </c>
      <c r="AJ1254" s="160"/>
    </row>
    <row r="1255" spans="1:36" x14ac:dyDescent="0.2">
      <c r="A1255" s="159" t="s">
        <v>2968</v>
      </c>
      <c r="B1255" s="160" t="s">
        <v>200</v>
      </c>
      <c r="C1255" s="161" t="s">
        <v>1714</v>
      </c>
      <c r="D1255" s="161"/>
      <c r="E1255" s="161"/>
      <c r="F1255" s="162"/>
      <c r="G1255" s="162"/>
      <c r="H1255" s="162"/>
      <c r="I1255" s="160" t="s">
        <v>3062</v>
      </c>
      <c r="J1255" s="163">
        <v>1.89</v>
      </c>
      <c r="K1255" s="163"/>
      <c r="L1255" s="163"/>
      <c r="M1255" s="164">
        <v>41</v>
      </c>
      <c r="N1255" s="164"/>
      <c r="O1255" s="164"/>
      <c r="P1255" s="159" t="s">
        <v>852</v>
      </c>
      <c r="Q1255" s="159" t="s">
        <v>839</v>
      </c>
      <c r="R1255" s="159" t="s">
        <v>3063</v>
      </c>
      <c r="S1255" s="165">
        <v>2.03928029356635E-2</v>
      </c>
      <c r="T1255" s="166" t="s">
        <v>549</v>
      </c>
      <c r="U1255" s="166"/>
      <c r="V1255" s="166"/>
      <c r="W1255" s="167">
        <f>IF(BetTable[Sport]="","",BetTable[Stake]+BetTable[S2]+BetTable[S3])</f>
        <v>41</v>
      </c>
      <c r="X1255" s="164">
        <f>IF(BetTable[Odds]="","",(BetTable[WBA1-Commission])-BetTable[TS])</f>
        <v>36.489999999999995</v>
      </c>
      <c r="Y1255" s="168">
        <f>IF(BetTable[Outcome]="","",BetTable[WBA1]+BetTable[WBA2]+BetTable[WBA3]-BetTable[TS])</f>
        <v>-20.5</v>
      </c>
      <c r="Z1255" s="164">
        <f>(((BetTable[Odds]-1)*BetTable[Stake])*(1-(BetTable[Comm %]))+BetTable[Stake])</f>
        <v>77.489999999999995</v>
      </c>
      <c r="AA1255" s="164">
        <f>(((BetTable[O2]-1)*BetTable[S2])*(1-(BetTable[C% 2]))+BetTable[S2])</f>
        <v>0</v>
      </c>
      <c r="AB1255" s="164">
        <f>(((BetTable[O3]-1)*BetTable[S3])*(1-(BetTable[C% 3]))+BetTable[S3])</f>
        <v>0</v>
      </c>
      <c r="AC1255" s="165">
        <f>IFERROR(IF(BetTable[Sport]="","",BetTable[R1]/BetTable[TS]),"")</f>
        <v>0.8899999999999999</v>
      </c>
      <c r="AD1255" s="165" t="str">
        <f>IF(BetTable[O2]="","",#REF!/BetTable[TS])</f>
        <v/>
      </c>
      <c r="AE1255" s="165" t="str">
        <f>IFERROR(IF(BetTable[Sport]="","",#REF!/BetTable[TS]),"")</f>
        <v/>
      </c>
      <c r="AF1255" s="164">
        <f>IF(BetTable[Outcome]="Win",BetTable[WBA1-Commission],IF(BetTable[Outcome]="Win Half Stake",(BetTable[Stake]/2)+BetTable[WBA1-Commission]/2,IF(BetTable[Outcome]="Lose Half Stake",BetTable[Stake]/2,IF(BetTable[Outcome]="Lose",0,IF(BetTable[Outcome]="Void",BetTable[Stake],)))))</f>
        <v>20.5</v>
      </c>
      <c r="AG1255" s="164">
        <f>IF(BetTable[Outcome2]="Win",BetTable[WBA2-Commission],IF(BetTable[Outcome2]="Win Half Stake",(BetTable[S2]/2)+BetTable[WBA2-Commission]/2,IF(BetTable[Outcome2]="Lose Half Stake",BetTable[S2]/2,IF(BetTable[Outcome2]="Lose",0,IF(BetTable[Outcome2]="Void",BetTable[S2],)))))</f>
        <v>0</v>
      </c>
      <c r="AH1255" s="164">
        <f>IF(BetTable[Outcome3]="Win",BetTable[WBA3-Commission],IF(BetTable[Outcome3]="Win Half Stake",(BetTable[S3]/2)+BetTable[WBA3-Commission]/2,IF(BetTable[Outcome3]="Lose Half Stake",BetTable[S3]/2,IF(BetTable[Outcome3]="Lose",0,IF(BetTable[Outcome3]="Void",BetTable[S3],)))))</f>
        <v>0</v>
      </c>
      <c r="AI1255" s="168">
        <f>IF(BetTable[Outcome]="",AI1254,BetTable[Result]+AI1254)</f>
        <v>2416.8927499999991</v>
      </c>
      <c r="AJ1255" s="160"/>
    </row>
    <row r="1256" spans="1:36" x14ac:dyDescent="0.2">
      <c r="A1256" s="159" t="s">
        <v>2968</v>
      </c>
      <c r="B1256" s="160" t="s">
        <v>8</v>
      </c>
      <c r="C1256" s="161" t="s">
        <v>91</v>
      </c>
      <c r="D1256" s="161"/>
      <c r="E1256" s="161"/>
      <c r="F1256" s="162"/>
      <c r="G1256" s="162"/>
      <c r="H1256" s="162"/>
      <c r="I1256" s="160" t="s">
        <v>3064</v>
      </c>
      <c r="J1256" s="163">
        <v>2.06</v>
      </c>
      <c r="K1256" s="163"/>
      <c r="L1256" s="163"/>
      <c r="M1256" s="164">
        <v>35</v>
      </c>
      <c r="N1256" s="164"/>
      <c r="O1256" s="164"/>
      <c r="P1256" s="159" t="s">
        <v>435</v>
      </c>
      <c r="Q1256" s="159" t="s">
        <v>506</v>
      </c>
      <c r="R1256" s="159" t="s">
        <v>3065</v>
      </c>
      <c r="S1256" s="165">
        <v>2.0656438948569299E-2</v>
      </c>
      <c r="T1256" s="166" t="s">
        <v>372</v>
      </c>
      <c r="U1256" s="166"/>
      <c r="V1256" s="166"/>
      <c r="W1256" s="167">
        <f>IF(BetTable[Sport]="","",BetTable[Stake]+BetTable[S2]+BetTable[S3])</f>
        <v>35</v>
      </c>
      <c r="X1256" s="164">
        <f>IF(BetTable[Odds]="","",(BetTable[WBA1-Commission])-BetTable[TS])</f>
        <v>37.099999999999994</v>
      </c>
      <c r="Y1256" s="168">
        <f>IF(BetTable[Outcome]="","",BetTable[WBA1]+BetTable[WBA2]+BetTable[WBA3]-BetTable[TS])</f>
        <v>37.099999999999994</v>
      </c>
      <c r="Z1256" s="164">
        <f>(((BetTable[Odds]-1)*BetTable[Stake])*(1-(BetTable[Comm %]))+BetTable[Stake])</f>
        <v>72.099999999999994</v>
      </c>
      <c r="AA1256" s="164">
        <f>(((BetTable[O2]-1)*BetTable[S2])*(1-(BetTable[C% 2]))+BetTable[S2])</f>
        <v>0</v>
      </c>
      <c r="AB1256" s="164">
        <f>(((BetTable[O3]-1)*BetTable[S3])*(1-(BetTable[C% 3]))+BetTable[S3])</f>
        <v>0</v>
      </c>
      <c r="AC1256" s="165">
        <f>IFERROR(IF(BetTable[Sport]="","",BetTable[R1]/BetTable[TS]),"")</f>
        <v>1.0599999999999998</v>
      </c>
      <c r="AD1256" s="165" t="str">
        <f>IF(BetTable[O2]="","",#REF!/BetTable[TS])</f>
        <v/>
      </c>
      <c r="AE1256" s="165" t="str">
        <f>IFERROR(IF(BetTable[Sport]="","",#REF!/BetTable[TS]),"")</f>
        <v/>
      </c>
      <c r="AF1256" s="164">
        <f>IF(BetTable[Outcome]="Win",BetTable[WBA1-Commission],IF(BetTable[Outcome]="Win Half Stake",(BetTable[Stake]/2)+BetTable[WBA1-Commission]/2,IF(BetTable[Outcome]="Lose Half Stake",BetTable[Stake]/2,IF(BetTable[Outcome]="Lose",0,IF(BetTable[Outcome]="Void",BetTable[Stake],)))))</f>
        <v>72.099999999999994</v>
      </c>
      <c r="AG1256" s="164">
        <f>IF(BetTable[Outcome2]="Win",BetTable[WBA2-Commission],IF(BetTable[Outcome2]="Win Half Stake",(BetTable[S2]/2)+BetTable[WBA2-Commission]/2,IF(BetTable[Outcome2]="Lose Half Stake",BetTable[S2]/2,IF(BetTable[Outcome2]="Lose",0,IF(BetTable[Outcome2]="Void",BetTable[S2],)))))</f>
        <v>0</v>
      </c>
      <c r="AH1256" s="164">
        <f>IF(BetTable[Outcome3]="Win",BetTable[WBA3-Commission],IF(BetTable[Outcome3]="Win Half Stake",(BetTable[S3]/2)+BetTable[WBA3-Commission]/2,IF(BetTable[Outcome3]="Lose Half Stake",BetTable[S3]/2,IF(BetTable[Outcome3]="Lose",0,IF(BetTable[Outcome3]="Void",BetTable[S3],)))))</f>
        <v>0</v>
      </c>
      <c r="AI1256" s="168">
        <f>IF(BetTable[Outcome]="",AI1255,BetTable[Result]+AI1255)</f>
        <v>2453.992749999999</v>
      </c>
      <c r="AJ1256" s="160"/>
    </row>
    <row r="1257" spans="1:36" x14ac:dyDescent="0.2">
      <c r="A1257" s="159" t="s">
        <v>2968</v>
      </c>
      <c r="B1257" s="160" t="s">
        <v>200</v>
      </c>
      <c r="C1257" s="161" t="s">
        <v>1714</v>
      </c>
      <c r="D1257" s="161"/>
      <c r="E1257" s="161"/>
      <c r="F1257" s="162"/>
      <c r="G1257" s="162"/>
      <c r="H1257" s="162"/>
      <c r="I1257" s="160" t="s">
        <v>3066</v>
      </c>
      <c r="J1257" s="163">
        <v>1.92</v>
      </c>
      <c r="K1257" s="163"/>
      <c r="L1257" s="163"/>
      <c r="M1257" s="164">
        <v>35</v>
      </c>
      <c r="N1257" s="164"/>
      <c r="O1257" s="164"/>
      <c r="P1257" s="159" t="s">
        <v>637</v>
      </c>
      <c r="Q1257" s="159" t="s">
        <v>703</v>
      </c>
      <c r="R1257" s="159" t="s">
        <v>3067</v>
      </c>
      <c r="S1257" s="165">
        <v>1.8085808580857999E-2</v>
      </c>
      <c r="T1257" s="166" t="s">
        <v>372</v>
      </c>
      <c r="U1257" s="166"/>
      <c r="V1257" s="166"/>
      <c r="W1257" s="167">
        <f>IF(BetTable[Sport]="","",BetTable[Stake]+BetTable[S2]+BetTable[S3])</f>
        <v>35</v>
      </c>
      <c r="X1257" s="164">
        <f>IF(BetTable[Odds]="","",(BetTable[WBA1-Commission])-BetTable[TS])</f>
        <v>32.199999999999989</v>
      </c>
      <c r="Y1257" s="168">
        <f>IF(BetTable[Outcome]="","",BetTable[WBA1]+BetTable[WBA2]+BetTable[WBA3]-BetTable[TS])</f>
        <v>32.199999999999989</v>
      </c>
      <c r="Z1257" s="164">
        <f>(((BetTable[Odds]-1)*BetTable[Stake])*(1-(BetTable[Comm %]))+BetTable[Stake])</f>
        <v>67.199999999999989</v>
      </c>
      <c r="AA1257" s="164">
        <f>(((BetTable[O2]-1)*BetTable[S2])*(1-(BetTable[C% 2]))+BetTable[S2])</f>
        <v>0</v>
      </c>
      <c r="AB1257" s="164">
        <f>(((BetTable[O3]-1)*BetTable[S3])*(1-(BetTable[C% 3]))+BetTable[S3])</f>
        <v>0</v>
      </c>
      <c r="AC1257" s="165">
        <f>IFERROR(IF(BetTable[Sport]="","",BetTable[R1]/BetTable[TS]),"")</f>
        <v>0.91999999999999971</v>
      </c>
      <c r="AD1257" s="165" t="str">
        <f>IF(BetTable[O2]="","",#REF!/BetTable[TS])</f>
        <v/>
      </c>
      <c r="AE1257" s="165" t="str">
        <f>IFERROR(IF(BetTable[Sport]="","",#REF!/BetTable[TS]),"")</f>
        <v/>
      </c>
      <c r="AF1257" s="164">
        <f>IF(BetTable[Outcome]="Win",BetTable[WBA1-Commission],IF(BetTable[Outcome]="Win Half Stake",(BetTable[Stake]/2)+BetTable[WBA1-Commission]/2,IF(BetTable[Outcome]="Lose Half Stake",BetTable[Stake]/2,IF(BetTable[Outcome]="Lose",0,IF(BetTable[Outcome]="Void",BetTable[Stake],)))))</f>
        <v>67.199999999999989</v>
      </c>
      <c r="AG1257" s="164">
        <f>IF(BetTable[Outcome2]="Win",BetTable[WBA2-Commission],IF(BetTable[Outcome2]="Win Half Stake",(BetTable[S2]/2)+BetTable[WBA2-Commission]/2,IF(BetTable[Outcome2]="Lose Half Stake",BetTable[S2]/2,IF(BetTable[Outcome2]="Lose",0,IF(BetTable[Outcome2]="Void",BetTable[S2],)))))</f>
        <v>0</v>
      </c>
      <c r="AH1257" s="164">
        <f>IF(BetTable[Outcome3]="Win",BetTable[WBA3-Commission],IF(BetTable[Outcome3]="Win Half Stake",(BetTable[S3]/2)+BetTable[WBA3-Commission]/2,IF(BetTable[Outcome3]="Lose Half Stake",BetTable[S3]/2,IF(BetTable[Outcome3]="Lose",0,IF(BetTable[Outcome3]="Void",BetTable[S3],)))))</f>
        <v>0</v>
      </c>
      <c r="AI1257" s="168">
        <f>IF(BetTable[Outcome]="",AI1256,BetTable[Result]+AI1256)</f>
        <v>2486.1927499999988</v>
      </c>
      <c r="AJ1257" s="160"/>
    </row>
    <row r="1258" spans="1:36" x14ac:dyDescent="0.2">
      <c r="A1258" s="159" t="s">
        <v>2968</v>
      </c>
      <c r="B1258" s="160" t="s">
        <v>7</v>
      </c>
      <c r="C1258" s="161" t="s">
        <v>1714</v>
      </c>
      <c r="D1258" s="161"/>
      <c r="E1258" s="161"/>
      <c r="F1258" s="162"/>
      <c r="G1258" s="162"/>
      <c r="H1258" s="162"/>
      <c r="I1258" s="160" t="s">
        <v>3055</v>
      </c>
      <c r="J1258" s="163">
        <v>1.88</v>
      </c>
      <c r="K1258" s="163"/>
      <c r="L1258" s="163"/>
      <c r="M1258" s="164">
        <v>38</v>
      </c>
      <c r="N1258" s="164"/>
      <c r="O1258" s="164"/>
      <c r="P1258" s="159" t="s">
        <v>3026</v>
      </c>
      <c r="Q1258" s="159" t="s">
        <v>530</v>
      </c>
      <c r="R1258" s="159" t="s">
        <v>3068</v>
      </c>
      <c r="S1258" s="165">
        <v>2.5454176226338401E-2</v>
      </c>
      <c r="T1258" s="166" t="s">
        <v>372</v>
      </c>
      <c r="U1258" s="166"/>
      <c r="V1258" s="166"/>
      <c r="W1258" s="167">
        <f>IF(BetTable[Sport]="","",BetTable[Stake]+BetTable[S2]+BetTable[S3])</f>
        <v>38</v>
      </c>
      <c r="X1258" s="164">
        <f>IF(BetTable[Odds]="","",(BetTable[WBA1-Commission])-BetTable[TS])</f>
        <v>33.44</v>
      </c>
      <c r="Y1258" s="168">
        <f>IF(BetTable[Outcome]="","",BetTable[WBA1]+BetTable[WBA2]+BetTable[WBA3]-BetTable[TS])</f>
        <v>33.44</v>
      </c>
      <c r="Z1258" s="164">
        <f>(((BetTable[Odds]-1)*BetTable[Stake])*(1-(BetTable[Comm %]))+BetTable[Stake])</f>
        <v>71.44</v>
      </c>
      <c r="AA1258" s="164">
        <f>(((BetTable[O2]-1)*BetTable[S2])*(1-(BetTable[C% 2]))+BetTable[S2])</f>
        <v>0</v>
      </c>
      <c r="AB1258" s="164">
        <f>(((BetTable[O3]-1)*BetTable[S3])*(1-(BetTable[C% 3]))+BetTable[S3])</f>
        <v>0</v>
      </c>
      <c r="AC1258" s="165">
        <f>IFERROR(IF(BetTable[Sport]="","",BetTable[R1]/BetTable[TS]),"")</f>
        <v>0.87999999999999989</v>
      </c>
      <c r="AD1258" s="165" t="str">
        <f>IF(BetTable[O2]="","",#REF!/BetTable[TS])</f>
        <v/>
      </c>
      <c r="AE1258" s="165" t="str">
        <f>IFERROR(IF(BetTable[Sport]="","",#REF!/BetTable[TS]),"")</f>
        <v/>
      </c>
      <c r="AF1258" s="164">
        <f>IF(BetTable[Outcome]="Win",BetTable[WBA1-Commission],IF(BetTable[Outcome]="Win Half Stake",(BetTable[Stake]/2)+BetTable[WBA1-Commission]/2,IF(BetTable[Outcome]="Lose Half Stake",BetTable[Stake]/2,IF(BetTable[Outcome]="Lose",0,IF(BetTable[Outcome]="Void",BetTable[Stake],)))))</f>
        <v>71.44</v>
      </c>
      <c r="AG1258" s="164">
        <f>IF(BetTable[Outcome2]="Win",BetTable[WBA2-Commission],IF(BetTable[Outcome2]="Win Half Stake",(BetTable[S2]/2)+BetTable[WBA2-Commission]/2,IF(BetTable[Outcome2]="Lose Half Stake",BetTable[S2]/2,IF(BetTable[Outcome2]="Lose",0,IF(BetTable[Outcome2]="Void",BetTable[S2],)))))</f>
        <v>0</v>
      </c>
      <c r="AH1258" s="164">
        <f>IF(BetTable[Outcome3]="Win",BetTable[WBA3-Commission],IF(BetTable[Outcome3]="Win Half Stake",(BetTable[S3]/2)+BetTable[WBA3-Commission]/2,IF(BetTable[Outcome3]="Lose Half Stake",BetTable[S3]/2,IF(BetTable[Outcome3]="Lose",0,IF(BetTable[Outcome3]="Void",BetTable[S3],)))))</f>
        <v>0</v>
      </c>
      <c r="AI1258" s="168">
        <f>IF(BetTable[Outcome]="",AI1257,BetTable[Result]+AI1257)</f>
        <v>2519.6327499999989</v>
      </c>
      <c r="AJ1258" s="160"/>
    </row>
    <row r="1259" spans="1:36" x14ac:dyDescent="0.2">
      <c r="A1259" s="159" t="s">
        <v>2968</v>
      </c>
      <c r="B1259" s="160" t="s">
        <v>200</v>
      </c>
      <c r="C1259" s="161" t="s">
        <v>1714</v>
      </c>
      <c r="D1259" s="161"/>
      <c r="E1259" s="161"/>
      <c r="F1259" s="162"/>
      <c r="G1259" s="162"/>
      <c r="H1259" s="162"/>
      <c r="I1259" s="160" t="s">
        <v>3069</v>
      </c>
      <c r="J1259" s="163">
        <v>1.71</v>
      </c>
      <c r="K1259" s="163"/>
      <c r="L1259" s="163"/>
      <c r="M1259" s="164">
        <v>65</v>
      </c>
      <c r="N1259" s="164"/>
      <c r="O1259" s="164"/>
      <c r="P1259" s="159" t="s">
        <v>3070</v>
      </c>
      <c r="Q1259" s="159" t="s">
        <v>488</v>
      </c>
      <c r="R1259" s="159" t="s">
        <v>3071</v>
      </c>
      <c r="S1259" s="165">
        <v>3.50695758803614E-2</v>
      </c>
      <c r="T1259" s="166" t="s">
        <v>372</v>
      </c>
      <c r="U1259" s="166"/>
      <c r="V1259" s="166"/>
      <c r="W1259" s="167">
        <f>IF(BetTable[Sport]="","",BetTable[Stake]+BetTable[S2]+BetTable[S3])</f>
        <v>65</v>
      </c>
      <c r="X1259" s="164">
        <f>IF(BetTable[Odds]="","",(BetTable[WBA1-Commission])-BetTable[TS])</f>
        <v>46.150000000000006</v>
      </c>
      <c r="Y1259" s="168">
        <f>IF(BetTable[Outcome]="","",BetTable[WBA1]+BetTable[WBA2]+BetTable[WBA3]-BetTable[TS])</f>
        <v>46.150000000000006</v>
      </c>
      <c r="Z1259" s="164">
        <f>(((BetTable[Odds]-1)*BetTable[Stake])*(1-(BetTable[Comm %]))+BetTable[Stake])</f>
        <v>111.15</v>
      </c>
      <c r="AA1259" s="164">
        <f>(((BetTable[O2]-1)*BetTable[S2])*(1-(BetTable[C% 2]))+BetTable[S2])</f>
        <v>0</v>
      </c>
      <c r="AB1259" s="164">
        <f>(((BetTable[O3]-1)*BetTable[S3])*(1-(BetTable[C% 3]))+BetTable[S3])</f>
        <v>0</v>
      </c>
      <c r="AC1259" s="165">
        <f>IFERROR(IF(BetTable[Sport]="","",BetTable[R1]/BetTable[TS]),"")</f>
        <v>0.71000000000000008</v>
      </c>
      <c r="AD1259" s="165" t="str">
        <f>IF(BetTable[O2]="","",#REF!/BetTable[TS])</f>
        <v/>
      </c>
      <c r="AE1259" s="165" t="str">
        <f>IFERROR(IF(BetTable[Sport]="","",#REF!/BetTable[TS]),"")</f>
        <v/>
      </c>
      <c r="AF1259" s="164">
        <f>IF(BetTable[Outcome]="Win",BetTable[WBA1-Commission],IF(BetTable[Outcome]="Win Half Stake",(BetTable[Stake]/2)+BetTable[WBA1-Commission]/2,IF(BetTable[Outcome]="Lose Half Stake",BetTable[Stake]/2,IF(BetTable[Outcome]="Lose",0,IF(BetTable[Outcome]="Void",BetTable[Stake],)))))</f>
        <v>111.15</v>
      </c>
      <c r="AG1259" s="164">
        <f>IF(BetTable[Outcome2]="Win",BetTable[WBA2-Commission],IF(BetTable[Outcome2]="Win Half Stake",(BetTable[S2]/2)+BetTable[WBA2-Commission]/2,IF(BetTable[Outcome2]="Lose Half Stake",BetTable[S2]/2,IF(BetTable[Outcome2]="Lose",0,IF(BetTable[Outcome2]="Void",BetTable[S2],)))))</f>
        <v>0</v>
      </c>
      <c r="AH1259" s="164">
        <f>IF(BetTable[Outcome3]="Win",BetTable[WBA3-Commission],IF(BetTable[Outcome3]="Win Half Stake",(BetTable[S3]/2)+BetTable[WBA3-Commission]/2,IF(BetTable[Outcome3]="Lose Half Stake",BetTable[S3]/2,IF(BetTable[Outcome3]="Lose",0,IF(BetTable[Outcome3]="Void",BetTable[S3],)))))</f>
        <v>0</v>
      </c>
      <c r="AI1259" s="168">
        <f>IF(BetTable[Outcome]="",AI1258,BetTable[Result]+AI1258)</f>
        <v>2565.7827499999989</v>
      </c>
      <c r="AJ1259" s="160"/>
    </row>
    <row r="1260" spans="1:36" x14ac:dyDescent="0.2">
      <c r="A1260" s="159" t="s">
        <v>2968</v>
      </c>
      <c r="B1260" s="160" t="s">
        <v>7</v>
      </c>
      <c r="C1260" s="161" t="s">
        <v>1714</v>
      </c>
      <c r="D1260" s="161"/>
      <c r="E1260" s="161"/>
      <c r="F1260" s="162"/>
      <c r="G1260" s="162"/>
      <c r="H1260" s="162"/>
      <c r="I1260" s="160" t="s">
        <v>2991</v>
      </c>
      <c r="J1260" s="163">
        <v>2.13</v>
      </c>
      <c r="K1260" s="163"/>
      <c r="L1260" s="163"/>
      <c r="M1260" s="164">
        <v>30</v>
      </c>
      <c r="N1260" s="164"/>
      <c r="O1260" s="164"/>
      <c r="P1260" s="159" t="s">
        <v>3072</v>
      </c>
      <c r="Q1260" s="159" t="s">
        <v>503</v>
      </c>
      <c r="R1260" s="159" t="s">
        <v>3073</v>
      </c>
      <c r="S1260" s="165">
        <v>1.9238840378707499E-2</v>
      </c>
      <c r="T1260" s="166" t="s">
        <v>382</v>
      </c>
      <c r="U1260" s="166"/>
      <c r="V1260" s="166"/>
      <c r="W1260" s="167">
        <f>IF(BetTable[Sport]="","",BetTable[Stake]+BetTable[S2]+BetTable[S3])</f>
        <v>30</v>
      </c>
      <c r="X1260" s="164">
        <f>IF(BetTable[Odds]="","",(BetTable[WBA1-Commission])-BetTable[TS])</f>
        <v>33.9</v>
      </c>
      <c r="Y1260" s="168">
        <f>IF(BetTable[Outcome]="","",BetTable[WBA1]+BetTable[WBA2]+BetTable[WBA3]-BetTable[TS])</f>
        <v>-30</v>
      </c>
      <c r="Z1260" s="164">
        <f>(((BetTable[Odds]-1)*BetTable[Stake])*(1-(BetTable[Comm %]))+BetTable[Stake])</f>
        <v>63.9</v>
      </c>
      <c r="AA1260" s="164">
        <f>(((BetTable[O2]-1)*BetTable[S2])*(1-(BetTable[C% 2]))+BetTable[S2])</f>
        <v>0</v>
      </c>
      <c r="AB1260" s="164">
        <f>(((BetTable[O3]-1)*BetTable[S3])*(1-(BetTable[C% 3]))+BetTable[S3])</f>
        <v>0</v>
      </c>
      <c r="AC1260" s="165">
        <f>IFERROR(IF(BetTable[Sport]="","",BetTable[R1]/BetTable[TS]),"")</f>
        <v>1.1299999999999999</v>
      </c>
      <c r="AD1260" s="165" t="str">
        <f>IF(BetTable[O2]="","",#REF!/BetTable[TS])</f>
        <v/>
      </c>
      <c r="AE1260" s="165" t="str">
        <f>IFERROR(IF(BetTable[Sport]="","",#REF!/BetTable[TS]),"")</f>
        <v/>
      </c>
      <c r="AF1260" s="164">
        <f>IF(BetTable[Outcome]="Win",BetTable[WBA1-Commission],IF(BetTable[Outcome]="Win Half Stake",(BetTable[Stake]/2)+BetTable[WBA1-Commission]/2,IF(BetTable[Outcome]="Lose Half Stake",BetTable[Stake]/2,IF(BetTable[Outcome]="Lose",0,IF(BetTable[Outcome]="Void",BetTable[Stake],)))))</f>
        <v>0</v>
      </c>
      <c r="AG1260" s="164">
        <f>IF(BetTable[Outcome2]="Win",BetTable[WBA2-Commission],IF(BetTable[Outcome2]="Win Half Stake",(BetTable[S2]/2)+BetTable[WBA2-Commission]/2,IF(BetTable[Outcome2]="Lose Half Stake",BetTable[S2]/2,IF(BetTable[Outcome2]="Lose",0,IF(BetTable[Outcome2]="Void",BetTable[S2],)))))</f>
        <v>0</v>
      </c>
      <c r="AH1260" s="164">
        <f>IF(BetTable[Outcome3]="Win",BetTable[WBA3-Commission],IF(BetTable[Outcome3]="Win Half Stake",(BetTable[S3]/2)+BetTable[WBA3-Commission]/2,IF(BetTable[Outcome3]="Lose Half Stake",BetTable[S3]/2,IF(BetTable[Outcome3]="Lose",0,IF(BetTable[Outcome3]="Void",BetTable[S3],)))))</f>
        <v>0</v>
      </c>
      <c r="AI1260" s="168">
        <f>IF(BetTable[Outcome]="",AI1259,BetTable[Result]+AI1259)</f>
        <v>2535.7827499999989</v>
      </c>
      <c r="AJ1260" s="160"/>
    </row>
    <row r="1261" spans="1:36" x14ac:dyDescent="0.2">
      <c r="A1261" s="159" t="s">
        <v>2968</v>
      </c>
      <c r="B1261" s="160" t="s">
        <v>8</v>
      </c>
      <c r="C1261" s="161" t="s">
        <v>91</v>
      </c>
      <c r="D1261" s="161"/>
      <c r="E1261" s="161"/>
      <c r="F1261" s="162"/>
      <c r="G1261" s="162"/>
      <c r="H1261" s="162"/>
      <c r="I1261" s="160" t="s">
        <v>3074</v>
      </c>
      <c r="J1261" s="163">
        <v>2.66</v>
      </c>
      <c r="K1261" s="163"/>
      <c r="L1261" s="163"/>
      <c r="M1261" s="164">
        <v>18</v>
      </c>
      <c r="N1261" s="164"/>
      <c r="O1261" s="164"/>
      <c r="P1261" s="159" t="s">
        <v>428</v>
      </c>
      <c r="Q1261" s="159" t="s">
        <v>1842</v>
      </c>
      <c r="R1261" s="159" t="s">
        <v>3075</v>
      </c>
      <c r="S1261" s="165">
        <v>1.67508396217135E-2</v>
      </c>
      <c r="T1261" s="166" t="s">
        <v>382</v>
      </c>
      <c r="U1261" s="166"/>
      <c r="V1261" s="166"/>
      <c r="W1261" s="167">
        <f>IF(BetTable[Sport]="","",BetTable[Stake]+BetTable[S2]+BetTable[S3])</f>
        <v>18</v>
      </c>
      <c r="X1261" s="164">
        <f>IF(BetTable[Odds]="","",(BetTable[WBA1-Commission])-BetTable[TS])</f>
        <v>29.880000000000003</v>
      </c>
      <c r="Y1261" s="168">
        <f>IF(BetTable[Outcome]="","",BetTable[WBA1]+BetTable[WBA2]+BetTable[WBA3]-BetTable[TS])</f>
        <v>-18</v>
      </c>
      <c r="Z1261" s="164">
        <f>(((BetTable[Odds]-1)*BetTable[Stake])*(1-(BetTable[Comm %]))+BetTable[Stake])</f>
        <v>47.88</v>
      </c>
      <c r="AA1261" s="164">
        <f>(((BetTable[O2]-1)*BetTable[S2])*(1-(BetTable[C% 2]))+BetTable[S2])</f>
        <v>0</v>
      </c>
      <c r="AB1261" s="164">
        <f>(((BetTable[O3]-1)*BetTable[S3])*(1-(BetTable[C% 3]))+BetTable[S3])</f>
        <v>0</v>
      </c>
      <c r="AC1261" s="165">
        <f>IFERROR(IF(BetTable[Sport]="","",BetTable[R1]/BetTable[TS]),"")</f>
        <v>1.6600000000000001</v>
      </c>
      <c r="AD1261" s="165" t="str">
        <f>IF(BetTable[O2]="","",#REF!/BetTable[TS])</f>
        <v/>
      </c>
      <c r="AE1261" s="165" t="str">
        <f>IFERROR(IF(BetTable[Sport]="","",#REF!/BetTable[TS]),"")</f>
        <v/>
      </c>
      <c r="AF1261" s="164">
        <f>IF(BetTable[Outcome]="Win",BetTable[WBA1-Commission],IF(BetTable[Outcome]="Win Half Stake",(BetTable[Stake]/2)+BetTable[WBA1-Commission]/2,IF(BetTable[Outcome]="Lose Half Stake",BetTable[Stake]/2,IF(BetTable[Outcome]="Lose",0,IF(BetTable[Outcome]="Void",BetTable[Stake],)))))</f>
        <v>0</v>
      </c>
      <c r="AG1261" s="164">
        <f>IF(BetTable[Outcome2]="Win",BetTable[WBA2-Commission],IF(BetTable[Outcome2]="Win Half Stake",(BetTable[S2]/2)+BetTable[WBA2-Commission]/2,IF(BetTable[Outcome2]="Lose Half Stake",BetTable[S2]/2,IF(BetTable[Outcome2]="Lose",0,IF(BetTable[Outcome2]="Void",BetTable[S2],)))))</f>
        <v>0</v>
      </c>
      <c r="AH1261" s="164">
        <f>IF(BetTable[Outcome3]="Win",BetTable[WBA3-Commission],IF(BetTable[Outcome3]="Win Half Stake",(BetTable[S3]/2)+BetTable[WBA3-Commission]/2,IF(BetTable[Outcome3]="Lose Half Stake",BetTable[S3]/2,IF(BetTable[Outcome3]="Lose",0,IF(BetTable[Outcome3]="Void",BetTable[S3],)))))</f>
        <v>0</v>
      </c>
      <c r="AI1261" s="168">
        <f>IF(BetTable[Outcome]="",AI1260,BetTable[Result]+AI1260)</f>
        <v>2517.7827499999989</v>
      </c>
      <c r="AJ1261" s="160"/>
    </row>
    <row r="1262" spans="1:36" x14ac:dyDescent="0.2">
      <c r="A1262" s="159" t="s">
        <v>2968</v>
      </c>
      <c r="B1262" s="160" t="s">
        <v>7</v>
      </c>
      <c r="C1262" s="161" t="s">
        <v>91</v>
      </c>
      <c r="D1262" s="161"/>
      <c r="E1262" s="161"/>
      <c r="F1262" s="162"/>
      <c r="G1262" s="162"/>
      <c r="H1262" s="162"/>
      <c r="I1262" s="160" t="s">
        <v>3076</v>
      </c>
      <c r="J1262" s="163">
        <v>1.85</v>
      </c>
      <c r="K1262" s="163"/>
      <c r="L1262" s="163"/>
      <c r="M1262" s="164">
        <v>51</v>
      </c>
      <c r="N1262" s="164"/>
      <c r="O1262" s="164"/>
      <c r="P1262" s="159" t="s">
        <v>1617</v>
      </c>
      <c r="Q1262" s="159" t="s">
        <v>491</v>
      </c>
      <c r="R1262" s="159" t="s">
        <v>3077</v>
      </c>
      <c r="S1262" s="165">
        <v>2.4467889099437298E-2</v>
      </c>
      <c r="T1262" s="166" t="s">
        <v>372</v>
      </c>
      <c r="U1262" s="166"/>
      <c r="V1262" s="166"/>
      <c r="W1262" s="167">
        <f>IF(BetTable[Sport]="","",BetTable[Stake]+BetTable[S2]+BetTable[S3])</f>
        <v>51</v>
      </c>
      <c r="X1262" s="164">
        <f>IF(BetTable[Odds]="","",(BetTable[WBA1-Commission])-BetTable[TS])</f>
        <v>43.349999999999994</v>
      </c>
      <c r="Y1262" s="168">
        <f>IF(BetTable[Outcome]="","",BetTable[WBA1]+BetTable[WBA2]+BetTable[WBA3]-BetTable[TS])</f>
        <v>43.349999999999994</v>
      </c>
      <c r="Z1262" s="164">
        <f>(((BetTable[Odds]-1)*BetTable[Stake])*(1-(BetTable[Comm %]))+BetTable[Stake])</f>
        <v>94.35</v>
      </c>
      <c r="AA1262" s="164">
        <f>(((BetTable[O2]-1)*BetTable[S2])*(1-(BetTable[C% 2]))+BetTable[S2])</f>
        <v>0</v>
      </c>
      <c r="AB1262" s="164">
        <f>(((BetTable[O3]-1)*BetTable[S3])*(1-(BetTable[C% 3]))+BetTable[S3])</f>
        <v>0</v>
      </c>
      <c r="AC1262" s="165">
        <f>IFERROR(IF(BetTable[Sport]="","",BetTable[R1]/BetTable[TS]),"")</f>
        <v>0.84999999999999987</v>
      </c>
      <c r="AD1262" s="165" t="str">
        <f>IF(BetTable[O2]="","",#REF!/BetTable[TS])</f>
        <v/>
      </c>
      <c r="AE1262" s="165" t="str">
        <f>IFERROR(IF(BetTable[Sport]="","",#REF!/BetTable[TS]),"")</f>
        <v/>
      </c>
      <c r="AF1262" s="164">
        <f>IF(BetTable[Outcome]="Win",BetTable[WBA1-Commission],IF(BetTable[Outcome]="Win Half Stake",(BetTable[Stake]/2)+BetTable[WBA1-Commission]/2,IF(BetTable[Outcome]="Lose Half Stake",BetTable[Stake]/2,IF(BetTable[Outcome]="Lose",0,IF(BetTable[Outcome]="Void",BetTable[Stake],)))))</f>
        <v>94.35</v>
      </c>
      <c r="AG1262" s="164">
        <f>IF(BetTable[Outcome2]="Win",BetTable[WBA2-Commission],IF(BetTable[Outcome2]="Win Half Stake",(BetTable[S2]/2)+BetTable[WBA2-Commission]/2,IF(BetTable[Outcome2]="Lose Half Stake",BetTable[S2]/2,IF(BetTable[Outcome2]="Lose",0,IF(BetTable[Outcome2]="Void",BetTable[S2],)))))</f>
        <v>0</v>
      </c>
      <c r="AH1262" s="164">
        <f>IF(BetTable[Outcome3]="Win",BetTable[WBA3-Commission],IF(BetTable[Outcome3]="Win Half Stake",(BetTable[S3]/2)+BetTable[WBA3-Commission]/2,IF(BetTable[Outcome3]="Lose Half Stake",BetTable[S3]/2,IF(BetTable[Outcome3]="Lose",0,IF(BetTable[Outcome3]="Void",BetTable[S3],)))))</f>
        <v>0</v>
      </c>
      <c r="AI1262" s="168">
        <f>IF(BetTable[Outcome]="",AI1261,BetTable[Result]+AI1261)</f>
        <v>2561.1327499999989</v>
      </c>
      <c r="AJ1262" s="160"/>
    </row>
    <row r="1263" spans="1:36" x14ac:dyDescent="0.2">
      <c r="A1263" s="159" t="s">
        <v>2968</v>
      </c>
      <c r="B1263" s="160" t="s">
        <v>7</v>
      </c>
      <c r="C1263" s="161" t="s">
        <v>91</v>
      </c>
      <c r="D1263" s="161"/>
      <c r="E1263" s="161"/>
      <c r="F1263" s="162"/>
      <c r="G1263" s="162"/>
      <c r="H1263" s="162"/>
      <c r="I1263" s="160" t="s">
        <v>3078</v>
      </c>
      <c r="J1263" s="163">
        <v>1.98</v>
      </c>
      <c r="K1263" s="163"/>
      <c r="L1263" s="163"/>
      <c r="M1263" s="164">
        <v>64</v>
      </c>
      <c r="N1263" s="164"/>
      <c r="O1263" s="164"/>
      <c r="P1263" s="159" t="s">
        <v>551</v>
      </c>
      <c r="Q1263" s="159" t="s">
        <v>540</v>
      </c>
      <c r="R1263" s="159" t="s">
        <v>3079</v>
      </c>
      <c r="S1263" s="165">
        <v>3.7035095403651797E-2</v>
      </c>
      <c r="T1263" s="166" t="s">
        <v>382</v>
      </c>
      <c r="U1263" s="166"/>
      <c r="V1263" s="166"/>
      <c r="W1263" s="167">
        <f>IF(BetTable[Sport]="","",BetTable[Stake]+BetTable[S2]+BetTable[S3])</f>
        <v>64</v>
      </c>
      <c r="X1263" s="164">
        <f>IF(BetTable[Odds]="","",(BetTable[WBA1-Commission])-BetTable[TS])</f>
        <v>62.72</v>
      </c>
      <c r="Y1263" s="168">
        <f>IF(BetTable[Outcome]="","",BetTable[WBA1]+BetTable[WBA2]+BetTable[WBA3]-BetTable[TS])</f>
        <v>-64</v>
      </c>
      <c r="Z1263" s="164">
        <f>(((BetTable[Odds]-1)*BetTable[Stake])*(1-(BetTable[Comm %]))+BetTable[Stake])</f>
        <v>126.72</v>
      </c>
      <c r="AA1263" s="164">
        <f>(((BetTable[O2]-1)*BetTable[S2])*(1-(BetTable[C% 2]))+BetTable[S2])</f>
        <v>0</v>
      </c>
      <c r="AB1263" s="164">
        <f>(((BetTable[O3]-1)*BetTable[S3])*(1-(BetTable[C% 3]))+BetTable[S3])</f>
        <v>0</v>
      </c>
      <c r="AC1263" s="165">
        <f>IFERROR(IF(BetTable[Sport]="","",BetTable[R1]/BetTable[TS]),"")</f>
        <v>0.98</v>
      </c>
      <c r="AD1263" s="165" t="str">
        <f>IF(BetTable[O2]="","",#REF!/BetTable[TS])</f>
        <v/>
      </c>
      <c r="AE1263" s="165" t="str">
        <f>IFERROR(IF(BetTable[Sport]="","",#REF!/BetTable[TS]),"")</f>
        <v/>
      </c>
      <c r="AF1263" s="164">
        <f>IF(BetTable[Outcome]="Win",BetTable[WBA1-Commission],IF(BetTable[Outcome]="Win Half Stake",(BetTable[Stake]/2)+BetTable[WBA1-Commission]/2,IF(BetTable[Outcome]="Lose Half Stake",BetTable[Stake]/2,IF(BetTable[Outcome]="Lose",0,IF(BetTable[Outcome]="Void",BetTable[Stake],)))))</f>
        <v>0</v>
      </c>
      <c r="AG1263" s="164">
        <f>IF(BetTable[Outcome2]="Win",BetTable[WBA2-Commission],IF(BetTable[Outcome2]="Win Half Stake",(BetTable[S2]/2)+BetTable[WBA2-Commission]/2,IF(BetTable[Outcome2]="Lose Half Stake",BetTable[S2]/2,IF(BetTable[Outcome2]="Lose",0,IF(BetTable[Outcome2]="Void",BetTable[S2],)))))</f>
        <v>0</v>
      </c>
      <c r="AH1263" s="164">
        <f>IF(BetTable[Outcome3]="Win",BetTable[WBA3-Commission],IF(BetTable[Outcome3]="Win Half Stake",(BetTable[S3]/2)+BetTable[WBA3-Commission]/2,IF(BetTable[Outcome3]="Lose Half Stake",BetTable[S3]/2,IF(BetTable[Outcome3]="Lose",0,IF(BetTable[Outcome3]="Void",BetTable[S3],)))))</f>
        <v>0</v>
      </c>
      <c r="AI1263" s="168">
        <f>IF(BetTable[Outcome]="",AI1262,BetTable[Result]+AI1262)</f>
        <v>2497.1327499999989</v>
      </c>
      <c r="AJ1263" s="160"/>
    </row>
    <row r="1264" spans="1:36" x14ac:dyDescent="0.2">
      <c r="A1264" s="159" t="s">
        <v>2968</v>
      </c>
      <c r="B1264" s="160" t="s">
        <v>201</v>
      </c>
      <c r="C1264" s="161" t="s">
        <v>91</v>
      </c>
      <c r="D1264" s="161"/>
      <c r="E1264" s="161"/>
      <c r="F1264" s="162"/>
      <c r="G1264" s="162"/>
      <c r="H1264" s="162"/>
      <c r="I1264" s="160" t="s">
        <v>3080</v>
      </c>
      <c r="J1264" s="163">
        <v>1.81</v>
      </c>
      <c r="K1264" s="163"/>
      <c r="L1264" s="163"/>
      <c r="M1264" s="164">
        <v>40</v>
      </c>
      <c r="N1264" s="164"/>
      <c r="O1264" s="164"/>
      <c r="P1264" s="159" t="s">
        <v>453</v>
      </c>
      <c r="Q1264" s="159" t="s">
        <v>482</v>
      </c>
      <c r="R1264" s="159" t="s">
        <v>3081</v>
      </c>
      <c r="S1264" s="165">
        <v>1.80982684030279E-2</v>
      </c>
      <c r="T1264" s="166" t="s">
        <v>372</v>
      </c>
      <c r="U1264" s="166"/>
      <c r="V1264" s="166"/>
      <c r="W1264" s="167">
        <f>IF(BetTable[Sport]="","",BetTable[Stake]+BetTable[S2]+BetTable[S3])</f>
        <v>40</v>
      </c>
      <c r="X1264" s="164">
        <f>IF(BetTable[Odds]="","",(BetTable[WBA1-Commission])-BetTable[TS])</f>
        <v>32.400000000000006</v>
      </c>
      <c r="Y1264" s="168">
        <f>IF(BetTable[Outcome]="","",BetTable[WBA1]+BetTable[WBA2]+BetTable[WBA3]-BetTable[TS])</f>
        <v>32.400000000000006</v>
      </c>
      <c r="Z1264" s="164">
        <f>(((BetTable[Odds]-1)*BetTable[Stake])*(1-(BetTable[Comm %]))+BetTable[Stake])</f>
        <v>72.400000000000006</v>
      </c>
      <c r="AA1264" s="164">
        <f>(((BetTable[O2]-1)*BetTable[S2])*(1-(BetTable[C% 2]))+BetTable[S2])</f>
        <v>0</v>
      </c>
      <c r="AB1264" s="164">
        <f>(((BetTable[O3]-1)*BetTable[S3])*(1-(BetTable[C% 3]))+BetTable[S3])</f>
        <v>0</v>
      </c>
      <c r="AC1264" s="165">
        <f>IFERROR(IF(BetTable[Sport]="","",BetTable[R1]/BetTable[TS]),"")</f>
        <v>0.81000000000000016</v>
      </c>
      <c r="AD1264" s="165" t="str">
        <f>IF(BetTable[O2]="","",#REF!/BetTable[TS])</f>
        <v/>
      </c>
      <c r="AE1264" s="165" t="str">
        <f>IFERROR(IF(BetTable[Sport]="","",#REF!/BetTable[TS]),"")</f>
        <v/>
      </c>
      <c r="AF1264" s="164">
        <f>IF(BetTable[Outcome]="Win",BetTable[WBA1-Commission],IF(BetTable[Outcome]="Win Half Stake",(BetTable[Stake]/2)+BetTable[WBA1-Commission]/2,IF(BetTable[Outcome]="Lose Half Stake",BetTable[Stake]/2,IF(BetTable[Outcome]="Lose",0,IF(BetTable[Outcome]="Void",BetTable[Stake],)))))</f>
        <v>72.400000000000006</v>
      </c>
      <c r="AG1264" s="164">
        <f>IF(BetTable[Outcome2]="Win",BetTable[WBA2-Commission],IF(BetTable[Outcome2]="Win Half Stake",(BetTable[S2]/2)+BetTable[WBA2-Commission]/2,IF(BetTable[Outcome2]="Lose Half Stake",BetTable[S2]/2,IF(BetTable[Outcome2]="Lose",0,IF(BetTable[Outcome2]="Void",BetTable[S2],)))))</f>
        <v>0</v>
      </c>
      <c r="AH1264" s="164">
        <f>IF(BetTable[Outcome3]="Win",BetTable[WBA3-Commission],IF(BetTable[Outcome3]="Win Half Stake",(BetTable[S3]/2)+BetTable[WBA3-Commission]/2,IF(BetTable[Outcome3]="Lose Half Stake",BetTable[S3]/2,IF(BetTable[Outcome3]="Lose",0,IF(BetTable[Outcome3]="Void",BetTable[S3],)))))</f>
        <v>0</v>
      </c>
      <c r="AI1264" s="168">
        <f>IF(BetTable[Outcome]="",AI1263,BetTable[Result]+AI1263)</f>
        <v>2529.5327499999989</v>
      </c>
      <c r="AJ1264" s="160"/>
    </row>
    <row r="1265" spans="1:36" x14ac:dyDescent="0.2">
      <c r="A1265" s="159" t="s">
        <v>2968</v>
      </c>
      <c r="B1265" s="160" t="s">
        <v>200</v>
      </c>
      <c r="C1265" s="161" t="s">
        <v>1714</v>
      </c>
      <c r="D1265" s="161"/>
      <c r="E1265" s="161"/>
      <c r="F1265" s="162"/>
      <c r="G1265" s="162"/>
      <c r="H1265" s="162"/>
      <c r="I1265" s="160" t="s">
        <v>3082</v>
      </c>
      <c r="J1265" s="163">
        <v>2.48</v>
      </c>
      <c r="K1265" s="163"/>
      <c r="L1265" s="163"/>
      <c r="M1265" s="164">
        <v>22</v>
      </c>
      <c r="N1265" s="164"/>
      <c r="O1265" s="164"/>
      <c r="P1265" s="159" t="s">
        <v>435</v>
      </c>
      <c r="Q1265" s="159" t="s">
        <v>503</v>
      </c>
      <c r="R1265" s="159" t="s">
        <v>3083</v>
      </c>
      <c r="S1265" s="165">
        <v>1.8301635634688E-2</v>
      </c>
      <c r="T1265" s="166" t="s">
        <v>372</v>
      </c>
      <c r="U1265" s="166"/>
      <c r="V1265" s="166"/>
      <c r="W1265" s="167">
        <f>IF(BetTable[Sport]="","",BetTable[Stake]+BetTable[S2]+BetTable[S3])</f>
        <v>22</v>
      </c>
      <c r="X1265" s="164">
        <f>IF(BetTable[Odds]="","",(BetTable[WBA1-Commission])-BetTable[TS])</f>
        <v>32.56</v>
      </c>
      <c r="Y1265" s="168">
        <f>IF(BetTable[Outcome]="","",BetTable[WBA1]+BetTable[WBA2]+BetTable[WBA3]-BetTable[TS])</f>
        <v>32.56</v>
      </c>
      <c r="Z1265" s="164">
        <f>(((BetTable[Odds]-1)*BetTable[Stake])*(1-(BetTable[Comm %]))+BetTable[Stake])</f>
        <v>54.56</v>
      </c>
      <c r="AA1265" s="164">
        <f>(((BetTable[O2]-1)*BetTable[S2])*(1-(BetTable[C% 2]))+BetTable[S2])</f>
        <v>0</v>
      </c>
      <c r="AB1265" s="164">
        <f>(((BetTable[O3]-1)*BetTable[S3])*(1-(BetTable[C% 3]))+BetTable[S3])</f>
        <v>0</v>
      </c>
      <c r="AC1265" s="165">
        <f>IFERROR(IF(BetTable[Sport]="","",BetTable[R1]/BetTable[TS]),"")</f>
        <v>1.4800000000000002</v>
      </c>
      <c r="AD1265" s="165" t="str">
        <f>IF(BetTable[O2]="","",#REF!/BetTable[TS])</f>
        <v/>
      </c>
      <c r="AE1265" s="165" t="str">
        <f>IFERROR(IF(BetTable[Sport]="","",#REF!/BetTable[TS]),"")</f>
        <v/>
      </c>
      <c r="AF1265" s="164">
        <f>IF(BetTable[Outcome]="Win",BetTable[WBA1-Commission],IF(BetTable[Outcome]="Win Half Stake",(BetTable[Stake]/2)+BetTable[WBA1-Commission]/2,IF(BetTable[Outcome]="Lose Half Stake",BetTable[Stake]/2,IF(BetTable[Outcome]="Lose",0,IF(BetTable[Outcome]="Void",BetTable[Stake],)))))</f>
        <v>54.56</v>
      </c>
      <c r="AG1265" s="164">
        <f>IF(BetTable[Outcome2]="Win",BetTable[WBA2-Commission],IF(BetTable[Outcome2]="Win Half Stake",(BetTable[S2]/2)+BetTable[WBA2-Commission]/2,IF(BetTable[Outcome2]="Lose Half Stake",BetTable[S2]/2,IF(BetTable[Outcome2]="Lose",0,IF(BetTable[Outcome2]="Void",BetTable[S2],)))))</f>
        <v>0</v>
      </c>
      <c r="AH1265" s="164">
        <f>IF(BetTable[Outcome3]="Win",BetTable[WBA3-Commission],IF(BetTable[Outcome3]="Win Half Stake",(BetTable[S3]/2)+BetTable[WBA3-Commission]/2,IF(BetTable[Outcome3]="Lose Half Stake",BetTable[S3]/2,IF(BetTable[Outcome3]="Lose",0,IF(BetTable[Outcome3]="Void",BetTable[S3],)))))</f>
        <v>0</v>
      </c>
      <c r="AI1265" s="168">
        <f>IF(BetTable[Outcome]="",AI1264,BetTable[Result]+AI1264)</f>
        <v>2562.0927499999989</v>
      </c>
      <c r="AJ1265" s="160"/>
    </row>
    <row r="1266" spans="1:36" x14ac:dyDescent="0.2">
      <c r="A1266" s="159" t="s">
        <v>2968</v>
      </c>
      <c r="B1266" s="160" t="s">
        <v>7</v>
      </c>
      <c r="C1266" s="161" t="s">
        <v>216</v>
      </c>
      <c r="D1266" s="161"/>
      <c r="E1266" s="161"/>
      <c r="F1266" s="162"/>
      <c r="G1266" s="162"/>
      <c r="H1266" s="162"/>
      <c r="I1266" s="160" t="s">
        <v>3020</v>
      </c>
      <c r="J1266" s="163">
        <v>1.909</v>
      </c>
      <c r="K1266" s="163"/>
      <c r="L1266" s="163"/>
      <c r="M1266" s="164">
        <v>33</v>
      </c>
      <c r="N1266" s="164"/>
      <c r="O1266" s="164"/>
      <c r="P1266" s="159" t="s">
        <v>3084</v>
      </c>
      <c r="Q1266" s="159" t="s">
        <v>547</v>
      </c>
      <c r="R1266" s="159" t="s">
        <v>3085</v>
      </c>
      <c r="S1266" s="165">
        <v>2.4273986578506698E-2</v>
      </c>
      <c r="T1266" s="166" t="s">
        <v>382</v>
      </c>
      <c r="U1266" s="166"/>
      <c r="V1266" s="166"/>
      <c r="W1266" s="167">
        <f>IF(BetTable[Sport]="","",BetTable[Stake]+BetTable[S2]+BetTable[S3])</f>
        <v>33</v>
      </c>
      <c r="X1266" s="164">
        <f>IF(BetTable[Odds]="","",(BetTable[WBA1-Commission])-BetTable[TS])</f>
        <v>29.997</v>
      </c>
      <c r="Y1266" s="168">
        <f>IF(BetTable[Outcome]="","",BetTable[WBA1]+BetTable[WBA2]+BetTable[WBA3]-BetTable[TS])</f>
        <v>-33</v>
      </c>
      <c r="Z1266" s="164">
        <f>(((BetTable[Odds]-1)*BetTable[Stake])*(1-(BetTable[Comm %]))+BetTable[Stake])</f>
        <v>62.997</v>
      </c>
      <c r="AA1266" s="164">
        <f>(((BetTable[O2]-1)*BetTable[S2])*(1-(BetTable[C% 2]))+BetTable[S2])</f>
        <v>0</v>
      </c>
      <c r="AB1266" s="164">
        <f>(((BetTable[O3]-1)*BetTable[S3])*(1-(BetTable[C% 3]))+BetTable[S3])</f>
        <v>0</v>
      </c>
      <c r="AC1266" s="165">
        <f>IFERROR(IF(BetTable[Sport]="","",BetTable[R1]/BetTable[TS]),"")</f>
        <v>0.90900000000000003</v>
      </c>
      <c r="AD1266" s="165" t="str">
        <f>IF(BetTable[O2]="","",#REF!/BetTable[TS])</f>
        <v/>
      </c>
      <c r="AE1266" s="165" t="str">
        <f>IFERROR(IF(BetTable[Sport]="","",#REF!/BetTable[TS]),"")</f>
        <v/>
      </c>
      <c r="AF1266" s="164">
        <f>IF(BetTable[Outcome]="Win",BetTable[WBA1-Commission],IF(BetTable[Outcome]="Win Half Stake",(BetTable[Stake]/2)+BetTable[WBA1-Commission]/2,IF(BetTable[Outcome]="Lose Half Stake",BetTable[Stake]/2,IF(BetTable[Outcome]="Lose",0,IF(BetTable[Outcome]="Void",BetTable[Stake],)))))</f>
        <v>0</v>
      </c>
      <c r="AG1266" s="164">
        <f>IF(BetTable[Outcome2]="Win",BetTable[WBA2-Commission],IF(BetTable[Outcome2]="Win Half Stake",(BetTable[S2]/2)+BetTable[WBA2-Commission]/2,IF(BetTable[Outcome2]="Lose Half Stake",BetTable[S2]/2,IF(BetTable[Outcome2]="Lose",0,IF(BetTable[Outcome2]="Void",BetTable[S2],)))))</f>
        <v>0</v>
      </c>
      <c r="AH1266" s="164">
        <f>IF(BetTable[Outcome3]="Win",BetTable[WBA3-Commission],IF(BetTable[Outcome3]="Win Half Stake",(BetTable[S3]/2)+BetTable[WBA3-Commission]/2,IF(BetTable[Outcome3]="Lose Half Stake",BetTable[S3]/2,IF(BetTable[Outcome3]="Lose",0,IF(BetTable[Outcome3]="Void",BetTable[S3],)))))</f>
        <v>0</v>
      </c>
      <c r="AI1266" s="168">
        <f>IF(BetTable[Outcome]="",AI1265,BetTable[Result]+AI1265)</f>
        <v>2529.0927499999989</v>
      </c>
      <c r="AJ1266" s="160"/>
    </row>
    <row r="1267" spans="1:36" x14ac:dyDescent="0.2">
      <c r="A1267" s="159" t="s">
        <v>2968</v>
      </c>
      <c r="B1267" s="160" t="s">
        <v>200</v>
      </c>
      <c r="C1267" s="161" t="s">
        <v>1714</v>
      </c>
      <c r="D1267" s="161"/>
      <c r="E1267" s="161"/>
      <c r="F1267" s="162"/>
      <c r="G1267" s="162"/>
      <c r="H1267" s="162"/>
      <c r="I1267" s="160" t="s">
        <v>3086</v>
      </c>
      <c r="J1267" s="163">
        <v>2</v>
      </c>
      <c r="K1267" s="163"/>
      <c r="L1267" s="163"/>
      <c r="M1267" s="164">
        <v>41</v>
      </c>
      <c r="N1267" s="164"/>
      <c r="O1267" s="164"/>
      <c r="P1267" s="159" t="s">
        <v>1636</v>
      </c>
      <c r="Q1267" s="159" t="s">
        <v>703</v>
      </c>
      <c r="R1267" s="159" t="s">
        <v>3087</v>
      </c>
      <c r="S1267" s="165">
        <v>2.2907605014576098E-2</v>
      </c>
      <c r="T1267" s="166" t="s">
        <v>382</v>
      </c>
      <c r="U1267" s="166"/>
      <c r="V1267" s="166"/>
      <c r="W1267" s="167">
        <f>IF(BetTable[Sport]="","",BetTable[Stake]+BetTable[S2]+BetTable[S3])</f>
        <v>41</v>
      </c>
      <c r="X1267" s="164">
        <f>IF(BetTable[Odds]="","",(BetTable[WBA1-Commission])-BetTable[TS])</f>
        <v>41</v>
      </c>
      <c r="Y1267" s="168">
        <f>IF(BetTable[Outcome]="","",BetTable[WBA1]+BetTable[WBA2]+BetTable[WBA3]-BetTable[TS])</f>
        <v>-41</v>
      </c>
      <c r="Z1267" s="164">
        <f>(((BetTable[Odds]-1)*BetTable[Stake])*(1-(BetTable[Comm %]))+BetTable[Stake])</f>
        <v>82</v>
      </c>
      <c r="AA1267" s="164">
        <f>(((BetTable[O2]-1)*BetTable[S2])*(1-(BetTable[C% 2]))+BetTable[S2])</f>
        <v>0</v>
      </c>
      <c r="AB1267" s="164">
        <f>(((BetTable[O3]-1)*BetTable[S3])*(1-(BetTable[C% 3]))+BetTable[S3])</f>
        <v>0</v>
      </c>
      <c r="AC1267" s="165">
        <f>IFERROR(IF(BetTable[Sport]="","",BetTable[R1]/BetTable[TS]),"")</f>
        <v>1</v>
      </c>
      <c r="AD1267" s="165" t="str">
        <f>IF(BetTable[O2]="","",#REF!/BetTable[TS])</f>
        <v/>
      </c>
      <c r="AE1267" s="165" t="str">
        <f>IFERROR(IF(BetTable[Sport]="","",#REF!/BetTable[TS]),"")</f>
        <v/>
      </c>
      <c r="AF1267" s="164">
        <f>IF(BetTable[Outcome]="Win",BetTable[WBA1-Commission],IF(BetTable[Outcome]="Win Half Stake",(BetTable[Stake]/2)+BetTable[WBA1-Commission]/2,IF(BetTable[Outcome]="Lose Half Stake",BetTable[Stake]/2,IF(BetTable[Outcome]="Lose",0,IF(BetTable[Outcome]="Void",BetTable[Stake],)))))</f>
        <v>0</v>
      </c>
      <c r="AG1267" s="164">
        <f>IF(BetTable[Outcome2]="Win",BetTable[WBA2-Commission],IF(BetTable[Outcome2]="Win Half Stake",(BetTable[S2]/2)+BetTable[WBA2-Commission]/2,IF(BetTable[Outcome2]="Lose Half Stake",BetTable[S2]/2,IF(BetTable[Outcome2]="Lose",0,IF(BetTable[Outcome2]="Void",BetTable[S2],)))))</f>
        <v>0</v>
      </c>
      <c r="AH1267" s="164">
        <f>IF(BetTable[Outcome3]="Win",BetTable[WBA3-Commission],IF(BetTable[Outcome3]="Win Half Stake",(BetTable[S3]/2)+BetTable[WBA3-Commission]/2,IF(BetTable[Outcome3]="Lose Half Stake",BetTable[S3]/2,IF(BetTable[Outcome3]="Lose",0,IF(BetTable[Outcome3]="Void",BetTable[S3],)))))</f>
        <v>0</v>
      </c>
      <c r="AI1267" s="168">
        <f>IF(BetTable[Outcome]="",AI1266,BetTable[Result]+AI1266)</f>
        <v>2488.0927499999989</v>
      </c>
      <c r="AJ1267" s="160"/>
    </row>
    <row r="1268" spans="1:36" x14ac:dyDescent="0.2">
      <c r="A1268" s="159" t="s">
        <v>2968</v>
      </c>
      <c r="B1268" s="160" t="s">
        <v>7</v>
      </c>
      <c r="C1268" s="161" t="s">
        <v>91</v>
      </c>
      <c r="D1268" s="161"/>
      <c r="E1268" s="161"/>
      <c r="F1268" s="162"/>
      <c r="G1268" s="162"/>
      <c r="H1268" s="162"/>
      <c r="I1268" s="160" t="s">
        <v>3088</v>
      </c>
      <c r="J1268" s="163">
        <v>2.09</v>
      </c>
      <c r="K1268" s="163"/>
      <c r="L1268" s="163"/>
      <c r="M1268" s="164">
        <v>66</v>
      </c>
      <c r="N1268" s="164"/>
      <c r="O1268" s="164"/>
      <c r="P1268" s="159" t="s">
        <v>3089</v>
      </c>
      <c r="Q1268" s="159" t="s">
        <v>581</v>
      </c>
      <c r="R1268" s="159" t="s">
        <v>3090</v>
      </c>
      <c r="S1268" s="165">
        <v>4.0260741962441698E-2</v>
      </c>
      <c r="T1268" s="166" t="s">
        <v>372</v>
      </c>
      <c r="U1268" s="166"/>
      <c r="V1268" s="166"/>
      <c r="W1268" s="167">
        <f>IF(BetTable[Sport]="","",BetTable[Stake]+BetTable[S2]+BetTable[S3])</f>
        <v>66</v>
      </c>
      <c r="X1268" s="164">
        <f>IF(BetTable[Odds]="","",(BetTable[WBA1-Commission])-BetTable[TS])</f>
        <v>71.94</v>
      </c>
      <c r="Y1268" s="168">
        <f>IF(BetTable[Outcome]="","",BetTable[WBA1]+BetTable[WBA2]+BetTable[WBA3]-BetTable[TS])</f>
        <v>71.94</v>
      </c>
      <c r="Z1268" s="164">
        <f>(((BetTable[Odds]-1)*BetTable[Stake])*(1-(BetTable[Comm %]))+BetTable[Stake])</f>
        <v>137.94</v>
      </c>
      <c r="AA1268" s="164">
        <f>(((BetTable[O2]-1)*BetTable[S2])*(1-(BetTable[C% 2]))+BetTable[S2])</f>
        <v>0</v>
      </c>
      <c r="AB1268" s="164">
        <f>(((BetTable[O3]-1)*BetTable[S3])*(1-(BetTable[C% 3]))+BetTable[S3])</f>
        <v>0</v>
      </c>
      <c r="AC1268" s="165">
        <f>IFERROR(IF(BetTable[Sport]="","",BetTable[R1]/BetTable[TS]),"")</f>
        <v>1.0899999999999999</v>
      </c>
      <c r="AD1268" s="165" t="str">
        <f>IF(BetTable[O2]="","",#REF!/BetTable[TS])</f>
        <v/>
      </c>
      <c r="AE1268" s="165" t="str">
        <f>IFERROR(IF(BetTable[Sport]="","",#REF!/BetTable[TS]),"")</f>
        <v/>
      </c>
      <c r="AF1268" s="164">
        <f>IF(BetTable[Outcome]="Win",BetTable[WBA1-Commission],IF(BetTable[Outcome]="Win Half Stake",(BetTable[Stake]/2)+BetTable[WBA1-Commission]/2,IF(BetTable[Outcome]="Lose Half Stake",BetTable[Stake]/2,IF(BetTable[Outcome]="Lose",0,IF(BetTable[Outcome]="Void",BetTable[Stake],)))))</f>
        <v>137.94</v>
      </c>
      <c r="AG1268" s="164">
        <f>IF(BetTable[Outcome2]="Win",BetTable[WBA2-Commission],IF(BetTable[Outcome2]="Win Half Stake",(BetTable[S2]/2)+BetTable[WBA2-Commission]/2,IF(BetTable[Outcome2]="Lose Half Stake",BetTable[S2]/2,IF(BetTable[Outcome2]="Lose",0,IF(BetTable[Outcome2]="Void",BetTable[S2],)))))</f>
        <v>0</v>
      </c>
      <c r="AH1268" s="164">
        <f>IF(BetTable[Outcome3]="Win",BetTable[WBA3-Commission],IF(BetTable[Outcome3]="Win Half Stake",(BetTable[S3]/2)+BetTable[WBA3-Commission]/2,IF(BetTable[Outcome3]="Lose Half Stake",BetTable[S3]/2,IF(BetTable[Outcome3]="Lose",0,IF(BetTable[Outcome3]="Void",BetTable[S3],)))))</f>
        <v>0</v>
      </c>
      <c r="AI1268" s="168">
        <f>IF(BetTable[Outcome]="",AI1267,BetTable[Result]+AI1267)</f>
        <v>2560.0327499999989</v>
      </c>
      <c r="AJ1268" s="160"/>
    </row>
    <row r="1269" spans="1:36" x14ac:dyDescent="0.2">
      <c r="A1269" s="159" t="s">
        <v>2968</v>
      </c>
      <c r="B1269" s="160" t="s">
        <v>200</v>
      </c>
      <c r="C1269" s="161" t="s">
        <v>1714</v>
      </c>
      <c r="D1269" s="161"/>
      <c r="E1269" s="161"/>
      <c r="F1269" s="162"/>
      <c r="G1269" s="162"/>
      <c r="H1269" s="162"/>
      <c r="I1269" s="160" t="s">
        <v>3091</v>
      </c>
      <c r="J1269" s="163">
        <v>1.69</v>
      </c>
      <c r="K1269" s="163"/>
      <c r="L1269" s="163"/>
      <c r="M1269" s="164">
        <v>51</v>
      </c>
      <c r="N1269" s="164"/>
      <c r="O1269" s="164"/>
      <c r="P1269" s="159" t="s">
        <v>791</v>
      </c>
      <c r="Q1269" s="159" t="s">
        <v>621</v>
      </c>
      <c r="R1269" s="159" t="s">
        <v>3092</v>
      </c>
      <c r="S1269" s="165">
        <v>1.9762195630588501E-2</v>
      </c>
      <c r="T1269" s="166" t="s">
        <v>372</v>
      </c>
      <c r="U1269" s="166"/>
      <c r="V1269" s="166"/>
      <c r="W1269" s="167">
        <f>IF(BetTable[Sport]="","",BetTable[Stake]+BetTable[S2]+BetTable[S3])</f>
        <v>51</v>
      </c>
      <c r="X1269" s="164">
        <f>IF(BetTable[Odds]="","",(BetTable[WBA1-Commission])-BetTable[TS])</f>
        <v>35.19</v>
      </c>
      <c r="Y1269" s="168">
        <f>IF(BetTable[Outcome]="","",BetTable[WBA1]+BetTable[WBA2]+BetTable[WBA3]-BetTable[TS])</f>
        <v>35.19</v>
      </c>
      <c r="Z1269" s="164">
        <f>(((BetTable[Odds]-1)*BetTable[Stake])*(1-(BetTable[Comm %]))+BetTable[Stake])</f>
        <v>86.19</v>
      </c>
      <c r="AA1269" s="164">
        <f>(((BetTable[O2]-1)*BetTable[S2])*(1-(BetTable[C% 2]))+BetTable[S2])</f>
        <v>0</v>
      </c>
      <c r="AB1269" s="164">
        <f>(((BetTable[O3]-1)*BetTable[S3])*(1-(BetTable[C% 3]))+BetTable[S3])</f>
        <v>0</v>
      </c>
      <c r="AC1269" s="165">
        <f>IFERROR(IF(BetTable[Sport]="","",BetTable[R1]/BetTable[TS]),"")</f>
        <v>0.69</v>
      </c>
      <c r="AD1269" s="165" t="str">
        <f>IF(BetTable[O2]="","",#REF!/BetTable[TS])</f>
        <v/>
      </c>
      <c r="AE1269" s="165" t="str">
        <f>IFERROR(IF(BetTable[Sport]="","",#REF!/BetTable[TS]),"")</f>
        <v/>
      </c>
      <c r="AF1269" s="164">
        <f>IF(BetTable[Outcome]="Win",BetTable[WBA1-Commission],IF(BetTable[Outcome]="Win Half Stake",(BetTable[Stake]/2)+BetTable[WBA1-Commission]/2,IF(BetTable[Outcome]="Lose Half Stake",BetTable[Stake]/2,IF(BetTable[Outcome]="Lose",0,IF(BetTable[Outcome]="Void",BetTable[Stake],)))))</f>
        <v>86.19</v>
      </c>
      <c r="AG1269" s="164">
        <f>IF(BetTable[Outcome2]="Win",BetTable[WBA2-Commission],IF(BetTable[Outcome2]="Win Half Stake",(BetTable[S2]/2)+BetTable[WBA2-Commission]/2,IF(BetTable[Outcome2]="Lose Half Stake",BetTable[S2]/2,IF(BetTable[Outcome2]="Lose",0,IF(BetTable[Outcome2]="Void",BetTable[S2],)))))</f>
        <v>0</v>
      </c>
      <c r="AH1269" s="164">
        <f>IF(BetTable[Outcome3]="Win",BetTable[WBA3-Commission],IF(BetTable[Outcome3]="Win Half Stake",(BetTable[S3]/2)+BetTable[WBA3-Commission]/2,IF(BetTable[Outcome3]="Lose Half Stake",BetTable[S3]/2,IF(BetTable[Outcome3]="Lose",0,IF(BetTable[Outcome3]="Void",BetTable[S3],)))))</f>
        <v>0</v>
      </c>
      <c r="AI1269" s="168">
        <f>IF(BetTable[Outcome]="",AI1268,BetTable[Result]+AI1268)</f>
        <v>2595.222749999999</v>
      </c>
      <c r="AJ1269" s="160" t="s">
        <v>3093</v>
      </c>
    </row>
    <row r="1270" spans="1:36" x14ac:dyDescent="0.2">
      <c r="A1270" s="159" t="s">
        <v>2968</v>
      </c>
      <c r="B1270" s="160" t="s">
        <v>7</v>
      </c>
      <c r="C1270" s="161" t="s">
        <v>1714</v>
      </c>
      <c r="D1270" s="161"/>
      <c r="E1270" s="161"/>
      <c r="F1270" s="162"/>
      <c r="G1270" s="162"/>
      <c r="H1270" s="162"/>
      <c r="I1270" s="160" t="s">
        <v>3094</v>
      </c>
      <c r="J1270" s="163">
        <v>1.9</v>
      </c>
      <c r="K1270" s="163"/>
      <c r="L1270" s="163"/>
      <c r="M1270" s="164">
        <v>38</v>
      </c>
      <c r="N1270" s="164"/>
      <c r="O1270" s="164"/>
      <c r="P1270" s="159" t="s">
        <v>3095</v>
      </c>
      <c r="Q1270" s="159" t="s">
        <v>1132</v>
      </c>
      <c r="R1270" s="159" t="s">
        <v>3096</v>
      </c>
      <c r="S1270" s="165">
        <v>2.5447883379971399E-2</v>
      </c>
      <c r="T1270" s="166" t="s">
        <v>372</v>
      </c>
      <c r="U1270" s="166"/>
      <c r="V1270" s="166"/>
      <c r="W1270" s="167">
        <f>IF(BetTable[Sport]="","",BetTable[Stake]+BetTable[S2]+BetTable[S3])</f>
        <v>38</v>
      </c>
      <c r="X1270" s="164">
        <f>IF(BetTable[Odds]="","",(BetTable[WBA1-Commission])-BetTable[TS])</f>
        <v>34.199999999999989</v>
      </c>
      <c r="Y1270" s="168">
        <f>IF(BetTable[Outcome]="","",BetTable[WBA1]+BetTable[WBA2]+BetTable[WBA3]-BetTable[TS])</f>
        <v>34.199999999999989</v>
      </c>
      <c r="Z1270" s="164">
        <f>(((BetTable[Odds]-1)*BetTable[Stake])*(1-(BetTable[Comm %]))+BetTable[Stake])</f>
        <v>72.199999999999989</v>
      </c>
      <c r="AA1270" s="164">
        <f>(((BetTable[O2]-1)*BetTable[S2])*(1-(BetTable[C% 2]))+BetTable[S2])</f>
        <v>0</v>
      </c>
      <c r="AB1270" s="164">
        <f>(((BetTable[O3]-1)*BetTable[S3])*(1-(BetTable[C% 3]))+BetTable[S3])</f>
        <v>0</v>
      </c>
      <c r="AC1270" s="165">
        <f>IFERROR(IF(BetTable[Sport]="","",BetTable[R1]/BetTable[TS]),"")</f>
        <v>0.89999999999999969</v>
      </c>
      <c r="AD1270" s="165" t="str">
        <f>IF(BetTable[O2]="","",#REF!/BetTable[TS])</f>
        <v/>
      </c>
      <c r="AE1270" s="165" t="str">
        <f>IFERROR(IF(BetTable[Sport]="","",#REF!/BetTable[TS]),"")</f>
        <v/>
      </c>
      <c r="AF1270" s="164">
        <f>IF(BetTable[Outcome]="Win",BetTable[WBA1-Commission],IF(BetTable[Outcome]="Win Half Stake",(BetTable[Stake]/2)+BetTable[WBA1-Commission]/2,IF(BetTable[Outcome]="Lose Half Stake",BetTable[Stake]/2,IF(BetTable[Outcome]="Lose",0,IF(BetTable[Outcome]="Void",BetTable[Stake],)))))</f>
        <v>72.199999999999989</v>
      </c>
      <c r="AG1270" s="164">
        <f>IF(BetTable[Outcome2]="Win",BetTable[WBA2-Commission],IF(BetTable[Outcome2]="Win Half Stake",(BetTable[S2]/2)+BetTable[WBA2-Commission]/2,IF(BetTable[Outcome2]="Lose Half Stake",BetTable[S2]/2,IF(BetTable[Outcome2]="Lose",0,IF(BetTable[Outcome2]="Void",BetTable[S2],)))))</f>
        <v>0</v>
      </c>
      <c r="AH1270" s="164">
        <f>IF(BetTable[Outcome3]="Win",BetTable[WBA3-Commission],IF(BetTable[Outcome3]="Win Half Stake",(BetTable[S3]/2)+BetTable[WBA3-Commission]/2,IF(BetTable[Outcome3]="Lose Half Stake",BetTable[S3]/2,IF(BetTable[Outcome3]="Lose",0,IF(BetTable[Outcome3]="Void",BetTable[S3],)))))</f>
        <v>0</v>
      </c>
      <c r="AI1270" s="168">
        <f>IF(BetTable[Outcome]="",AI1269,BetTable[Result]+AI1269)</f>
        <v>2629.4227499999988</v>
      </c>
      <c r="AJ1270" s="160"/>
    </row>
    <row r="1271" spans="1:36" x14ac:dyDescent="0.2">
      <c r="A1271" s="159" t="s">
        <v>2968</v>
      </c>
      <c r="B1271" s="160" t="s">
        <v>7</v>
      </c>
      <c r="C1271" s="161" t="s">
        <v>1714</v>
      </c>
      <c r="D1271" s="161"/>
      <c r="E1271" s="161"/>
      <c r="F1271" s="162"/>
      <c r="G1271" s="162"/>
      <c r="H1271" s="162"/>
      <c r="I1271" s="160" t="s">
        <v>3097</v>
      </c>
      <c r="J1271" s="163">
        <v>1.86</v>
      </c>
      <c r="K1271" s="163"/>
      <c r="L1271" s="163"/>
      <c r="M1271" s="164">
        <v>38</v>
      </c>
      <c r="N1271" s="164"/>
      <c r="O1271" s="164"/>
      <c r="P1271" s="159" t="s">
        <v>551</v>
      </c>
      <c r="Q1271" s="159" t="s">
        <v>485</v>
      </c>
      <c r="R1271" s="159" t="s">
        <v>3098</v>
      </c>
      <c r="S1271" s="165">
        <v>2.2516935498217799E-2</v>
      </c>
      <c r="T1271" s="166" t="s">
        <v>372</v>
      </c>
      <c r="U1271" s="166"/>
      <c r="V1271" s="166"/>
      <c r="W1271" s="167">
        <f>IF(BetTable[Sport]="","",BetTable[Stake]+BetTable[S2]+BetTable[S3])</f>
        <v>38</v>
      </c>
      <c r="X1271" s="164">
        <f>IF(BetTable[Odds]="","",(BetTable[WBA1-Commission])-BetTable[TS])</f>
        <v>32.680000000000007</v>
      </c>
      <c r="Y1271" s="168">
        <f>IF(BetTable[Outcome]="","",BetTable[WBA1]+BetTable[WBA2]+BetTable[WBA3]-BetTable[TS])</f>
        <v>32.680000000000007</v>
      </c>
      <c r="Z1271" s="164">
        <f>(((BetTable[Odds]-1)*BetTable[Stake])*(1-(BetTable[Comm %]))+BetTable[Stake])</f>
        <v>70.680000000000007</v>
      </c>
      <c r="AA1271" s="164">
        <f>(((BetTable[O2]-1)*BetTable[S2])*(1-(BetTable[C% 2]))+BetTable[S2])</f>
        <v>0</v>
      </c>
      <c r="AB1271" s="164">
        <f>(((BetTable[O3]-1)*BetTable[S3])*(1-(BetTable[C% 3]))+BetTable[S3])</f>
        <v>0</v>
      </c>
      <c r="AC1271" s="165">
        <f>IFERROR(IF(BetTable[Sport]="","",BetTable[R1]/BetTable[TS]),"")</f>
        <v>0.86000000000000021</v>
      </c>
      <c r="AD1271" s="165" t="str">
        <f>IF(BetTable[O2]="","",#REF!/BetTable[TS])</f>
        <v/>
      </c>
      <c r="AE1271" s="165" t="str">
        <f>IFERROR(IF(BetTable[Sport]="","",#REF!/BetTable[TS]),"")</f>
        <v/>
      </c>
      <c r="AF1271" s="164">
        <f>IF(BetTable[Outcome]="Win",BetTable[WBA1-Commission],IF(BetTable[Outcome]="Win Half Stake",(BetTable[Stake]/2)+BetTable[WBA1-Commission]/2,IF(BetTable[Outcome]="Lose Half Stake",BetTable[Stake]/2,IF(BetTable[Outcome]="Lose",0,IF(BetTable[Outcome]="Void",BetTable[Stake],)))))</f>
        <v>70.680000000000007</v>
      </c>
      <c r="AG1271" s="164">
        <f>IF(BetTable[Outcome2]="Win",BetTable[WBA2-Commission],IF(BetTable[Outcome2]="Win Half Stake",(BetTable[S2]/2)+BetTable[WBA2-Commission]/2,IF(BetTable[Outcome2]="Lose Half Stake",BetTable[S2]/2,IF(BetTable[Outcome2]="Lose",0,IF(BetTable[Outcome2]="Void",BetTable[S2],)))))</f>
        <v>0</v>
      </c>
      <c r="AH1271" s="164">
        <f>IF(BetTable[Outcome3]="Win",BetTable[WBA3-Commission],IF(BetTable[Outcome3]="Win Half Stake",(BetTable[S3]/2)+BetTable[WBA3-Commission]/2,IF(BetTable[Outcome3]="Lose Half Stake",BetTable[S3]/2,IF(BetTable[Outcome3]="Lose",0,IF(BetTable[Outcome3]="Void",BetTable[S3],)))))</f>
        <v>0</v>
      </c>
      <c r="AI1271" s="168">
        <f>IF(BetTable[Outcome]="",AI1270,BetTable[Result]+AI1270)</f>
        <v>2662.1027499999987</v>
      </c>
      <c r="AJ1271" s="160"/>
    </row>
    <row r="1272" spans="1:36" x14ac:dyDescent="0.2">
      <c r="A1272" s="159" t="s">
        <v>2968</v>
      </c>
      <c r="B1272" s="160" t="s">
        <v>7</v>
      </c>
      <c r="C1272" s="161" t="s">
        <v>1714</v>
      </c>
      <c r="D1272" s="161"/>
      <c r="E1272" s="161"/>
      <c r="F1272" s="162"/>
      <c r="G1272" s="162"/>
      <c r="H1272" s="162"/>
      <c r="I1272" s="160" t="s">
        <v>3097</v>
      </c>
      <c r="J1272" s="163">
        <v>1.97</v>
      </c>
      <c r="K1272" s="163"/>
      <c r="L1272" s="163"/>
      <c r="M1272" s="164">
        <v>38</v>
      </c>
      <c r="N1272" s="164"/>
      <c r="O1272" s="164"/>
      <c r="P1272" s="159" t="s">
        <v>3099</v>
      </c>
      <c r="Q1272" s="159" t="s">
        <v>485</v>
      </c>
      <c r="R1272" s="159" t="s">
        <v>3100</v>
      </c>
      <c r="S1272" s="165">
        <v>1.9031185090607299E-2</v>
      </c>
      <c r="T1272" s="166" t="s">
        <v>382</v>
      </c>
      <c r="U1272" s="166"/>
      <c r="V1272" s="166"/>
      <c r="W1272" s="167">
        <f>IF(BetTable[Sport]="","",BetTable[Stake]+BetTable[S2]+BetTable[S3])</f>
        <v>38</v>
      </c>
      <c r="X1272" s="164">
        <f>IF(BetTable[Odds]="","",(BetTable[WBA1-Commission])-BetTable[TS])</f>
        <v>36.86</v>
      </c>
      <c r="Y1272" s="168">
        <f>IF(BetTable[Outcome]="","",BetTable[WBA1]+BetTable[WBA2]+BetTable[WBA3]-BetTable[TS])</f>
        <v>-38</v>
      </c>
      <c r="Z1272" s="164">
        <f>(((BetTable[Odds]-1)*BetTable[Stake])*(1-(BetTable[Comm %]))+BetTable[Stake])</f>
        <v>74.86</v>
      </c>
      <c r="AA1272" s="164">
        <f>(((BetTable[O2]-1)*BetTable[S2])*(1-(BetTable[C% 2]))+BetTable[S2])</f>
        <v>0</v>
      </c>
      <c r="AB1272" s="164">
        <f>(((BetTable[O3]-1)*BetTable[S3])*(1-(BetTable[C% 3]))+BetTable[S3])</f>
        <v>0</v>
      </c>
      <c r="AC1272" s="165">
        <f>IFERROR(IF(BetTable[Sport]="","",BetTable[R1]/BetTable[TS]),"")</f>
        <v>0.97</v>
      </c>
      <c r="AD1272" s="165" t="str">
        <f>IF(BetTable[O2]="","",#REF!/BetTable[TS])</f>
        <v/>
      </c>
      <c r="AE1272" s="165" t="str">
        <f>IFERROR(IF(BetTable[Sport]="","",#REF!/BetTable[TS]),"")</f>
        <v/>
      </c>
      <c r="AF1272" s="164">
        <f>IF(BetTable[Outcome]="Win",BetTable[WBA1-Commission],IF(BetTable[Outcome]="Win Half Stake",(BetTable[Stake]/2)+BetTable[WBA1-Commission]/2,IF(BetTable[Outcome]="Lose Half Stake",BetTable[Stake]/2,IF(BetTable[Outcome]="Lose",0,IF(BetTable[Outcome]="Void",BetTable[Stake],)))))</f>
        <v>0</v>
      </c>
      <c r="AG1272" s="164">
        <f>IF(BetTable[Outcome2]="Win",BetTable[WBA2-Commission],IF(BetTable[Outcome2]="Win Half Stake",(BetTable[S2]/2)+BetTable[WBA2-Commission]/2,IF(BetTable[Outcome2]="Lose Half Stake",BetTable[S2]/2,IF(BetTable[Outcome2]="Lose",0,IF(BetTable[Outcome2]="Void",BetTable[S2],)))))</f>
        <v>0</v>
      </c>
      <c r="AH1272" s="164">
        <f>IF(BetTable[Outcome3]="Win",BetTable[WBA3-Commission],IF(BetTable[Outcome3]="Win Half Stake",(BetTable[S3]/2)+BetTable[WBA3-Commission]/2,IF(BetTable[Outcome3]="Lose Half Stake",BetTable[S3]/2,IF(BetTable[Outcome3]="Lose",0,IF(BetTable[Outcome3]="Void",BetTable[S3],)))))</f>
        <v>0</v>
      </c>
      <c r="AI1272" s="168">
        <f>IF(BetTable[Outcome]="",AI1271,BetTable[Result]+AI1271)</f>
        <v>2624.1027499999987</v>
      </c>
      <c r="AJ1272" s="160"/>
    </row>
    <row r="1273" spans="1:36" x14ac:dyDescent="0.2">
      <c r="A1273" s="159" t="s">
        <v>2968</v>
      </c>
      <c r="B1273" s="160" t="s">
        <v>7</v>
      </c>
      <c r="C1273" s="161" t="s">
        <v>1714</v>
      </c>
      <c r="D1273" s="161"/>
      <c r="E1273" s="161"/>
      <c r="F1273" s="162"/>
      <c r="G1273" s="162"/>
      <c r="H1273" s="162"/>
      <c r="I1273" s="160" t="s">
        <v>3101</v>
      </c>
      <c r="J1273" s="163">
        <v>1.94</v>
      </c>
      <c r="K1273" s="163"/>
      <c r="L1273" s="163"/>
      <c r="M1273" s="164">
        <v>36</v>
      </c>
      <c r="N1273" s="164"/>
      <c r="O1273" s="164"/>
      <c r="P1273" s="159" t="s">
        <v>2089</v>
      </c>
      <c r="Q1273" s="159" t="s">
        <v>488</v>
      </c>
      <c r="R1273" s="159" t="s">
        <v>3102</v>
      </c>
      <c r="S1273" s="165">
        <v>1.8893851274148998E-2</v>
      </c>
      <c r="T1273" s="166" t="s">
        <v>382</v>
      </c>
      <c r="U1273" s="166"/>
      <c r="V1273" s="166"/>
      <c r="W1273" s="167">
        <f>IF(BetTable[Sport]="","",BetTable[Stake]+BetTable[S2]+BetTable[S3])</f>
        <v>36</v>
      </c>
      <c r="X1273" s="164">
        <f>IF(BetTable[Odds]="","",(BetTable[WBA1-Commission])-BetTable[TS])</f>
        <v>33.840000000000003</v>
      </c>
      <c r="Y1273" s="168">
        <f>IF(BetTable[Outcome]="","",BetTable[WBA1]+BetTable[WBA2]+BetTable[WBA3]-BetTable[TS])</f>
        <v>-36</v>
      </c>
      <c r="Z1273" s="164">
        <f>(((BetTable[Odds]-1)*BetTable[Stake])*(1-(BetTable[Comm %]))+BetTable[Stake])</f>
        <v>69.84</v>
      </c>
      <c r="AA1273" s="164">
        <f>(((BetTable[O2]-1)*BetTable[S2])*(1-(BetTable[C% 2]))+BetTable[S2])</f>
        <v>0</v>
      </c>
      <c r="AB1273" s="164">
        <f>(((BetTable[O3]-1)*BetTable[S3])*(1-(BetTable[C% 3]))+BetTable[S3])</f>
        <v>0</v>
      </c>
      <c r="AC1273" s="165">
        <f>IFERROR(IF(BetTable[Sport]="","",BetTable[R1]/BetTable[TS]),"")</f>
        <v>0.94000000000000006</v>
      </c>
      <c r="AD1273" s="165" t="str">
        <f>IF(BetTable[O2]="","",#REF!/BetTable[TS])</f>
        <v/>
      </c>
      <c r="AE1273" s="165" t="str">
        <f>IFERROR(IF(BetTable[Sport]="","",#REF!/BetTable[TS]),"")</f>
        <v/>
      </c>
      <c r="AF1273" s="164">
        <f>IF(BetTable[Outcome]="Win",BetTable[WBA1-Commission],IF(BetTable[Outcome]="Win Half Stake",(BetTable[Stake]/2)+BetTable[WBA1-Commission]/2,IF(BetTable[Outcome]="Lose Half Stake",BetTable[Stake]/2,IF(BetTable[Outcome]="Lose",0,IF(BetTable[Outcome]="Void",BetTable[Stake],)))))</f>
        <v>0</v>
      </c>
      <c r="AG1273" s="164">
        <f>IF(BetTable[Outcome2]="Win",BetTable[WBA2-Commission],IF(BetTable[Outcome2]="Win Half Stake",(BetTable[S2]/2)+BetTable[WBA2-Commission]/2,IF(BetTable[Outcome2]="Lose Half Stake",BetTable[S2]/2,IF(BetTable[Outcome2]="Lose",0,IF(BetTable[Outcome2]="Void",BetTable[S2],)))))</f>
        <v>0</v>
      </c>
      <c r="AH1273" s="164">
        <f>IF(BetTable[Outcome3]="Win",BetTable[WBA3-Commission],IF(BetTable[Outcome3]="Win Half Stake",(BetTable[S3]/2)+BetTable[WBA3-Commission]/2,IF(BetTable[Outcome3]="Lose Half Stake",BetTable[S3]/2,IF(BetTable[Outcome3]="Lose",0,IF(BetTable[Outcome3]="Void",BetTable[S3],)))))</f>
        <v>0</v>
      </c>
      <c r="AI1273" s="168">
        <f>IF(BetTable[Outcome]="",AI1272,BetTable[Result]+AI1272)</f>
        <v>2588.1027499999987</v>
      </c>
      <c r="AJ1273" s="160"/>
    </row>
    <row r="1274" spans="1:36" x14ac:dyDescent="0.2">
      <c r="A1274" s="159" t="s">
        <v>2968</v>
      </c>
      <c r="B1274" s="160" t="s">
        <v>7</v>
      </c>
      <c r="C1274" s="161" t="s">
        <v>1714</v>
      </c>
      <c r="D1274" s="161"/>
      <c r="E1274" s="161"/>
      <c r="F1274" s="162"/>
      <c r="G1274" s="162"/>
      <c r="H1274" s="162"/>
      <c r="I1274" s="160" t="s">
        <v>3103</v>
      </c>
      <c r="J1274" s="163">
        <v>1.88</v>
      </c>
      <c r="K1274" s="163"/>
      <c r="L1274" s="163"/>
      <c r="M1274" s="164">
        <v>49</v>
      </c>
      <c r="N1274" s="164"/>
      <c r="O1274" s="164"/>
      <c r="P1274" s="159" t="s">
        <v>1725</v>
      </c>
      <c r="Q1274" s="159" t="s">
        <v>488</v>
      </c>
      <c r="R1274" s="159" t="s">
        <v>3104</v>
      </c>
      <c r="S1274" s="165">
        <v>2.4023153359006299E-2</v>
      </c>
      <c r="T1274" s="166" t="s">
        <v>372</v>
      </c>
      <c r="U1274" s="166"/>
      <c r="V1274" s="166"/>
      <c r="W1274" s="167">
        <f>IF(BetTable[Sport]="","",BetTable[Stake]+BetTable[S2]+BetTable[S3])</f>
        <v>49</v>
      </c>
      <c r="X1274" s="164">
        <f>IF(BetTable[Odds]="","",(BetTable[WBA1-Commission])-BetTable[TS])</f>
        <v>43.120000000000005</v>
      </c>
      <c r="Y1274" s="168">
        <f>IF(BetTable[Outcome]="","",BetTable[WBA1]+BetTable[WBA2]+BetTable[WBA3]-BetTable[TS])</f>
        <v>43.120000000000005</v>
      </c>
      <c r="Z1274" s="164">
        <f>(((BetTable[Odds]-1)*BetTable[Stake])*(1-(BetTable[Comm %]))+BetTable[Stake])</f>
        <v>92.12</v>
      </c>
      <c r="AA1274" s="164">
        <f>(((BetTable[O2]-1)*BetTable[S2])*(1-(BetTable[C% 2]))+BetTable[S2])</f>
        <v>0</v>
      </c>
      <c r="AB1274" s="164">
        <f>(((BetTable[O3]-1)*BetTable[S3])*(1-(BetTable[C% 3]))+BetTable[S3])</f>
        <v>0</v>
      </c>
      <c r="AC1274" s="165">
        <f>IFERROR(IF(BetTable[Sport]="","",BetTable[R1]/BetTable[TS]),"")</f>
        <v>0.88000000000000012</v>
      </c>
      <c r="AD1274" s="165" t="str">
        <f>IF(BetTable[O2]="","",#REF!/BetTable[TS])</f>
        <v/>
      </c>
      <c r="AE1274" s="165" t="str">
        <f>IFERROR(IF(BetTable[Sport]="","",#REF!/BetTable[TS]),"")</f>
        <v/>
      </c>
      <c r="AF1274" s="164">
        <f>IF(BetTable[Outcome]="Win",BetTable[WBA1-Commission],IF(BetTable[Outcome]="Win Half Stake",(BetTable[Stake]/2)+BetTable[WBA1-Commission]/2,IF(BetTable[Outcome]="Lose Half Stake",BetTable[Stake]/2,IF(BetTable[Outcome]="Lose",0,IF(BetTable[Outcome]="Void",BetTable[Stake],)))))</f>
        <v>92.12</v>
      </c>
      <c r="AG1274" s="164">
        <f>IF(BetTable[Outcome2]="Win",BetTable[WBA2-Commission],IF(BetTable[Outcome2]="Win Half Stake",(BetTable[S2]/2)+BetTable[WBA2-Commission]/2,IF(BetTable[Outcome2]="Lose Half Stake",BetTable[S2]/2,IF(BetTable[Outcome2]="Lose",0,IF(BetTable[Outcome2]="Void",BetTable[S2],)))))</f>
        <v>0</v>
      </c>
      <c r="AH1274" s="164">
        <f>IF(BetTable[Outcome3]="Win",BetTable[WBA3-Commission],IF(BetTable[Outcome3]="Win Half Stake",(BetTable[S3]/2)+BetTable[WBA3-Commission]/2,IF(BetTable[Outcome3]="Lose Half Stake",BetTable[S3]/2,IF(BetTable[Outcome3]="Lose",0,IF(BetTable[Outcome3]="Void",BetTable[S3],)))))</f>
        <v>0</v>
      </c>
      <c r="AI1274" s="168">
        <f>IF(BetTable[Outcome]="",AI1273,BetTable[Result]+AI1273)</f>
        <v>2631.2227499999985</v>
      </c>
      <c r="AJ1274" s="160"/>
    </row>
    <row r="1275" spans="1:36" x14ac:dyDescent="0.2">
      <c r="A1275" s="159" t="s">
        <v>2968</v>
      </c>
      <c r="B1275" s="160" t="s">
        <v>7</v>
      </c>
      <c r="C1275" s="161" t="s">
        <v>1714</v>
      </c>
      <c r="D1275" s="161"/>
      <c r="E1275" s="161"/>
      <c r="F1275" s="162"/>
      <c r="G1275" s="162"/>
      <c r="H1275" s="162"/>
      <c r="I1275" s="160" t="s">
        <v>3105</v>
      </c>
      <c r="J1275" s="163">
        <v>1.86</v>
      </c>
      <c r="K1275" s="163"/>
      <c r="L1275" s="163"/>
      <c r="M1275" s="164">
        <v>39</v>
      </c>
      <c r="N1275" s="164"/>
      <c r="O1275" s="164"/>
      <c r="P1275" s="159" t="s">
        <v>1799</v>
      </c>
      <c r="Q1275" s="159" t="s">
        <v>530</v>
      </c>
      <c r="R1275" s="159" t="s">
        <v>3106</v>
      </c>
      <c r="S1275" s="165">
        <v>1.87229868193311E-2</v>
      </c>
      <c r="T1275" s="166" t="s">
        <v>382</v>
      </c>
      <c r="U1275" s="166"/>
      <c r="V1275" s="166"/>
      <c r="W1275" s="167">
        <f>IF(BetTable[Sport]="","",BetTable[Stake]+BetTable[S2]+BetTable[S3])</f>
        <v>39</v>
      </c>
      <c r="X1275" s="164">
        <f>IF(BetTable[Odds]="","",(BetTable[WBA1-Commission])-BetTable[TS])</f>
        <v>33.540000000000006</v>
      </c>
      <c r="Y1275" s="168">
        <f>IF(BetTable[Outcome]="","",BetTable[WBA1]+BetTable[WBA2]+BetTable[WBA3]-BetTable[TS])</f>
        <v>-39</v>
      </c>
      <c r="Z1275" s="164">
        <f>(((BetTable[Odds]-1)*BetTable[Stake])*(1-(BetTable[Comm %]))+BetTable[Stake])</f>
        <v>72.540000000000006</v>
      </c>
      <c r="AA1275" s="164">
        <f>(((BetTable[O2]-1)*BetTable[S2])*(1-(BetTable[C% 2]))+BetTable[S2])</f>
        <v>0</v>
      </c>
      <c r="AB1275" s="164">
        <f>(((BetTable[O3]-1)*BetTable[S3])*(1-(BetTable[C% 3]))+BetTable[S3])</f>
        <v>0</v>
      </c>
      <c r="AC1275" s="165">
        <f>IFERROR(IF(BetTable[Sport]="","",BetTable[R1]/BetTable[TS]),"")</f>
        <v>0.86000000000000021</v>
      </c>
      <c r="AD1275" s="165" t="str">
        <f>IF(BetTable[O2]="","",#REF!/BetTable[TS])</f>
        <v/>
      </c>
      <c r="AE1275" s="165" t="str">
        <f>IFERROR(IF(BetTable[Sport]="","",#REF!/BetTable[TS]),"")</f>
        <v/>
      </c>
      <c r="AF1275" s="164">
        <f>IF(BetTable[Outcome]="Win",BetTable[WBA1-Commission],IF(BetTable[Outcome]="Win Half Stake",(BetTable[Stake]/2)+BetTable[WBA1-Commission]/2,IF(BetTable[Outcome]="Lose Half Stake",BetTable[Stake]/2,IF(BetTable[Outcome]="Lose",0,IF(BetTable[Outcome]="Void",BetTable[Stake],)))))</f>
        <v>0</v>
      </c>
      <c r="AG1275" s="164">
        <f>IF(BetTable[Outcome2]="Win",BetTable[WBA2-Commission],IF(BetTable[Outcome2]="Win Half Stake",(BetTable[S2]/2)+BetTable[WBA2-Commission]/2,IF(BetTable[Outcome2]="Lose Half Stake",BetTable[S2]/2,IF(BetTable[Outcome2]="Lose",0,IF(BetTable[Outcome2]="Void",BetTable[S2],)))))</f>
        <v>0</v>
      </c>
      <c r="AH1275" s="164">
        <f>IF(BetTable[Outcome3]="Win",BetTable[WBA3-Commission],IF(BetTable[Outcome3]="Win Half Stake",(BetTable[S3]/2)+BetTable[WBA3-Commission]/2,IF(BetTable[Outcome3]="Lose Half Stake",BetTable[S3]/2,IF(BetTable[Outcome3]="Lose",0,IF(BetTable[Outcome3]="Void",BetTable[S3],)))))</f>
        <v>0</v>
      </c>
      <c r="AI1275" s="168">
        <f>IF(BetTable[Outcome]="",AI1274,BetTable[Result]+AI1274)</f>
        <v>2592.2227499999985</v>
      </c>
      <c r="AJ1275" s="160"/>
    </row>
    <row r="1276" spans="1:36" x14ac:dyDescent="0.2">
      <c r="A1276" s="159" t="s">
        <v>2968</v>
      </c>
      <c r="B1276" s="160" t="s">
        <v>7</v>
      </c>
      <c r="C1276" s="161" t="s">
        <v>1714</v>
      </c>
      <c r="D1276" s="161"/>
      <c r="E1276" s="161"/>
      <c r="F1276" s="162"/>
      <c r="G1276" s="162"/>
      <c r="H1276" s="162"/>
      <c r="I1276" s="160" t="s">
        <v>3107</v>
      </c>
      <c r="J1276" s="163">
        <v>1.88</v>
      </c>
      <c r="K1276" s="163"/>
      <c r="L1276" s="163"/>
      <c r="M1276" s="164">
        <v>43</v>
      </c>
      <c r="N1276" s="164"/>
      <c r="O1276" s="164"/>
      <c r="P1276" s="159" t="s">
        <v>3108</v>
      </c>
      <c r="Q1276" s="159" t="s">
        <v>491</v>
      </c>
      <c r="R1276" s="159" t="s">
        <v>3109</v>
      </c>
      <c r="S1276" s="165">
        <v>2.1150146922309099E-2</v>
      </c>
      <c r="T1276" s="166" t="s">
        <v>372</v>
      </c>
      <c r="U1276" s="166"/>
      <c r="V1276" s="166"/>
      <c r="W1276" s="167">
        <f>IF(BetTable[Sport]="","",BetTable[Stake]+BetTable[S2]+BetTable[S3])</f>
        <v>43</v>
      </c>
      <c r="X1276" s="164">
        <f>IF(BetTable[Odds]="","",(BetTable[WBA1-Commission])-BetTable[TS])</f>
        <v>37.840000000000003</v>
      </c>
      <c r="Y1276" s="168">
        <f>IF(BetTable[Outcome]="","",BetTable[WBA1]+BetTable[WBA2]+BetTable[WBA3]-BetTable[TS])</f>
        <v>37.840000000000003</v>
      </c>
      <c r="Z1276" s="164">
        <f>(((BetTable[Odds]-1)*BetTable[Stake])*(1-(BetTable[Comm %]))+BetTable[Stake])</f>
        <v>80.84</v>
      </c>
      <c r="AA1276" s="164">
        <f>(((BetTable[O2]-1)*BetTable[S2])*(1-(BetTable[C% 2]))+BetTable[S2])</f>
        <v>0</v>
      </c>
      <c r="AB1276" s="164">
        <f>(((BetTable[O3]-1)*BetTable[S3])*(1-(BetTable[C% 3]))+BetTable[S3])</f>
        <v>0</v>
      </c>
      <c r="AC1276" s="165">
        <f>IFERROR(IF(BetTable[Sport]="","",BetTable[R1]/BetTable[TS]),"")</f>
        <v>0.88000000000000012</v>
      </c>
      <c r="AD1276" s="165" t="str">
        <f>IF(BetTable[O2]="","",#REF!/BetTable[TS])</f>
        <v/>
      </c>
      <c r="AE1276" s="165" t="str">
        <f>IFERROR(IF(BetTable[Sport]="","",#REF!/BetTable[TS]),"")</f>
        <v/>
      </c>
      <c r="AF1276" s="164">
        <f>IF(BetTable[Outcome]="Win",BetTable[WBA1-Commission],IF(BetTable[Outcome]="Win Half Stake",(BetTable[Stake]/2)+BetTable[WBA1-Commission]/2,IF(BetTable[Outcome]="Lose Half Stake",BetTable[Stake]/2,IF(BetTable[Outcome]="Lose",0,IF(BetTable[Outcome]="Void",BetTable[Stake],)))))</f>
        <v>80.84</v>
      </c>
      <c r="AG1276" s="164">
        <f>IF(BetTable[Outcome2]="Win",BetTable[WBA2-Commission],IF(BetTable[Outcome2]="Win Half Stake",(BetTable[S2]/2)+BetTable[WBA2-Commission]/2,IF(BetTable[Outcome2]="Lose Half Stake",BetTable[S2]/2,IF(BetTable[Outcome2]="Lose",0,IF(BetTable[Outcome2]="Void",BetTable[S2],)))))</f>
        <v>0</v>
      </c>
      <c r="AH1276" s="164">
        <f>IF(BetTable[Outcome3]="Win",BetTable[WBA3-Commission],IF(BetTable[Outcome3]="Win Half Stake",(BetTable[S3]/2)+BetTable[WBA3-Commission]/2,IF(BetTable[Outcome3]="Lose Half Stake",BetTable[S3]/2,IF(BetTable[Outcome3]="Lose",0,IF(BetTable[Outcome3]="Void",BetTable[S3],)))))</f>
        <v>0</v>
      </c>
      <c r="AI1276" s="168">
        <f>IF(BetTable[Outcome]="",AI1275,BetTable[Result]+AI1275)</f>
        <v>2630.0627499999987</v>
      </c>
      <c r="AJ1276" s="160"/>
    </row>
    <row r="1277" spans="1:36" x14ac:dyDescent="0.2">
      <c r="A1277" s="159" t="s">
        <v>2968</v>
      </c>
      <c r="B1277" s="160" t="s">
        <v>200</v>
      </c>
      <c r="C1277" s="161" t="s">
        <v>1714</v>
      </c>
      <c r="D1277" s="161"/>
      <c r="E1277" s="161"/>
      <c r="F1277" s="162"/>
      <c r="G1277" s="162"/>
      <c r="H1277" s="162"/>
      <c r="I1277" s="160" t="s">
        <v>3110</v>
      </c>
      <c r="J1277" s="163">
        <v>1.84</v>
      </c>
      <c r="K1277" s="163"/>
      <c r="L1277" s="163"/>
      <c r="M1277" s="164">
        <v>61</v>
      </c>
      <c r="N1277" s="164"/>
      <c r="O1277" s="164"/>
      <c r="P1277" s="159" t="s">
        <v>385</v>
      </c>
      <c r="Q1277" s="159" t="s">
        <v>581</v>
      </c>
      <c r="R1277" s="159" t="s">
        <v>3111</v>
      </c>
      <c r="S1277" s="165">
        <v>2.8839453650923701E-2</v>
      </c>
      <c r="T1277" s="166" t="s">
        <v>383</v>
      </c>
      <c r="U1277" s="166"/>
      <c r="V1277" s="166"/>
      <c r="W1277" s="167">
        <f>IF(BetTable[Sport]="","",BetTable[Stake]+BetTable[S2]+BetTable[S3])</f>
        <v>61</v>
      </c>
      <c r="X1277" s="164">
        <f>IF(BetTable[Odds]="","",(BetTable[WBA1-Commission])-BetTable[TS])</f>
        <v>51.240000000000009</v>
      </c>
      <c r="Y1277" s="168">
        <f>IF(BetTable[Outcome]="","",BetTable[WBA1]+BetTable[WBA2]+BetTable[WBA3]-BetTable[TS])</f>
        <v>0</v>
      </c>
      <c r="Z1277" s="164">
        <f>(((BetTable[Odds]-1)*BetTable[Stake])*(1-(BetTable[Comm %]))+BetTable[Stake])</f>
        <v>112.24000000000001</v>
      </c>
      <c r="AA1277" s="164">
        <f>(((BetTable[O2]-1)*BetTable[S2])*(1-(BetTable[C% 2]))+BetTable[S2])</f>
        <v>0</v>
      </c>
      <c r="AB1277" s="164">
        <f>(((BetTable[O3]-1)*BetTable[S3])*(1-(BetTable[C% 3]))+BetTable[S3])</f>
        <v>0</v>
      </c>
      <c r="AC1277" s="165">
        <f>IFERROR(IF(BetTable[Sport]="","",BetTable[R1]/BetTable[TS]),"")</f>
        <v>0.84000000000000019</v>
      </c>
      <c r="AD1277" s="165" t="str">
        <f>IF(BetTable[O2]="","",#REF!/BetTable[TS])</f>
        <v/>
      </c>
      <c r="AE1277" s="165" t="str">
        <f>IFERROR(IF(BetTable[Sport]="","",#REF!/BetTable[TS]),"")</f>
        <v/>
      </c>
      <c r="AF1277" s="164">
        <f>IF(BetTable[Outcome]="Win",BetTable[WBA1-Commission],IF(BetTable[Outcome]="Win Half Stake",(BetTable[Stake]/2)+BetTable[WBA1-Commission]/2,IF(BetTable[Outcome]="Lose Half Stake",BetTable[Stake]/2,IF(BetTable[Outcome]="Lose",0,IF(BetTable[Outcome]="Void",BetTable[Stake],)))))</f>
        <v>61</v>
      </c>
      <c r="AG1277" s="164">
        <f>IF(BetTable[Outcome2]="Win",BetTable[WBA2-Commission],IF(BetTable[Outcome2]="Win Half Stake",(BetTable[S2]/2)+BetTable[WBA2-Commission]/2,IF(BetTable[Outcome2]="Lose Half Stake",BetTable[S2]/2,IF(BetTable[Outcome2]="Lose",0,IF(BetTable[Outcome2]="Void",BetTable[S2],)))))</f>
        <v>0</v>
      </c>
      <c r="AH1277" s="164">
        <f>IF(BetTable[Outcome3]="Win",BetTable[WBA3-Commission],IF(BetTable[Outcome3]="Win Half Stake",(BetTable[S3]/2)+BetTable[WBA3-Commission]/2,IF(BetTable[Outcome3]="Lose Half Stake",BetTable[S3]/2,IF(BetTable[Outcome3]="Lose",0,IF(BetTable[Outcome3]="Void",BetTable[S3],)))))</f>
        <v>0</v>
      </c>
      <c r="AI1277" s="168">
        <f>IF(BetTable[Outcome]="",AI1276,BetTable[Result]+AI1276)</f>
        <v>2630.0627499999987</v>
      </c>
      <c r="AJ1277" s="160"/>
    </row>
    <row r="1278" spans="1:36" x14ac:dyDescent="0.2">
      <c r="A1278" s="159" t="s">
        <v>2968</v>
      </c>
      <c r="B1278" s="160" t="s">
        <v>200</v>
      </c>
      <c r="C1278" s="161" t="s">
        <v>1714</v>
      </c>
      <c r="D1278" s="161"/>
      <c r="E1278" s="161"/>
      <c r="F1278" s="162"/>
      <c r="G1278" s="162"/>
      <c r="H1278" s="162"/>
      <c r="I1278" s="160" t="s">
        <v>3112</v>
      </c>
      <c r="J1278" s="163">
        <v>1.98</v>
      </c>
      <c r="K1278" s="163"/>
      <c r="L1278" s="163"/>
      <c r="M1278" s="164">
        <v>45</v>
      </c>
      <c r="N1278" s="164"/>
      <c r="O1278" s="164"/>
      <c r="P1278" s="159" t="s">
        <v>385</v>
      </c>
      <c r="Q1278" s="159" t="s">
        <v>488</v>
      </c>
      <c r="R1278" s="159" t="s">
        <v>3113</v>
      </c>
      <c r="S1278" s="165">
        <v>2.4961677319057698E-2</v>
      </c>
      <c r="T1278" s="166" t="s">
        <v>383</v>
      </c>
      <c r="U1278" s="166"/>
      <c r="V1278" s="166"/>
      <c r="W1278" s="167">
        <f>IF(BetTable[Sport]="","",BetTable[Stake]+BetTable[S2]+BetTable[S3])</f>
        <v>45</v>
      </c>
      <c r="X1278" s="164">
        <f>IF(BetTable[Odds]="","",(BetTable[WBA1-Commission])-BetTable[TS])</f>
        <v>44.099999999999994</v>
      </c>
      <c r="Y1278" s="168">
        <f>IF(BetTable[Outcome]="","",BetTable[WBA1]+BetTable[WBA2]+BetTable[WBA3]-BetTable[TS])</f>
        <v>0</v>
      </c>
      <c r="Z1278" s="164">
        <f>(((BetTable[Odds]-1)*BetTable[Stake])*(1-(BetTable[Comm %]))+BetTable[Stake])</f>
        <v>89.1</v>
      </c>
      <c r="AA1278" s="164">
        <f>(((BetTable[O2]-1)*BetTable[S2])*(1-(BetTable[C% 2]))+BetTable[S2])</f>
        <v>0</v>
      </c>
      <c r="AB1278" s="164">
        <f>(((BetTable[O3]-1)*BetTable[S3])*(1-(BetTable[C% 3]))+BetTable[S3])</f>
        <v>0</v>
      </c>
      <c r="AC1278" s="165">
        <f>IFERROR(IF(BetTable[Sport]="","",BetTable[R1]/BetTable[TS]),"")</f>
        <v>0.97999999999999987</v>
      </c>
      <c r="AD1278" s="165" t="str">
        <f>IF(BetTable[O2]="","",#REF!/BetTable[TS])</f>
        <v/>
      </c>
      <c r="AE1278" s="165" t="str">
        <f>IFERROR(IF(BetTable[Sport]="","",#REF!/BetTable[TS]),"")</f>
        <v/>
      </c>
      <c r="AF1278" s="164">
        <f>IF(BetTable[Outcome]="Win",BetTable[WBA1-Commission],IF(BetTable[Outcome]="Win Half Stake",(BetTable[Stake]/2)+BetTable[WBA1-Commission]/2,IF(BetTable[Outcome]="Lose Half Stake",BetTable[Stake]/2,IF(BetTable[Outcome]="Lose",0,IF(BetTable[Outcome]="Void",BetTable[Stake],)))))</f>
        <v>45</v>
      </c>
      <c r="AG1278" s="164">
        <f>IF(BetTable[Outcome2]="Win",BetTable[WBA2-Commission],IF(BetTable[Outcome2]="Win Half Stake",(BetTable[S2]/2)+BetTable[WBA2-Commission]/2,IF(BetTable[Outcome2]="Lose Half Stake",BetTable[S2]/2,IF(BetTable[Outcome2]="Lose",0,IF(BetTable[Outcome2]="Void",BetTable[S2],)))))</f>
        <v>0</v>
      </c>
      <c r="AH1278" s="164">
        <f>IF(BetTable[Outcome3]="Win",BetTable[WBA3-Commission],IF(BetTable[Outcome3]="Win Half Stake",(BetTable[S3]/2)+BetTable[WBA3-Commission]/2,IF(BetTable[Outcome3]="Lose Half Stake",BetTable[S3]/2,IF(BetTable[Outcome3]="Lose",0,IF(BetTable[Outcome3]="Void",BetTable[S3],)))))</f>
        <v>0</v>
      </c>
      <c r="AI1278" s="168">
        <f>IF(BetTable[Outcome]="",AI1277,BetTable[Result]+AI1277)</f>
        <v>2630.0627499999987</v>
      </c>
      <c r="AJ1278" s="160"/>
    </row>
    <row r="1279" spans="1:36" x14ac:dyDescent="0.2">
      <c r="A1279" s="159" t="s">
        <v>2968</v>
      </c>
      <c r="B1279" s="160" t="s">
        <v>7</v>
      </c>
      <c r="C1279" s="161" t="s">
        <v>91</v>
      </c>
      <c r="D1279" s="161"/>
      <c r="E1279" s="161"/>
      <c r="F1279" s="162"/>
      <c r="G1279" s="162"/>
      <c r="H1279" s="162"/>
      <c r="I1279" s="160" t="s">
        <v>3114</v>
      </c>
      <c r="J1279" s="163">
        <v>1.92</v>
      </c>
      <c r="K1279" s="163"/>
      <c r="L1279" s="163"/>
      <c r="M1279" s="164">
        <v>34</v>
      </c>
      <c r="N1279" s="164"/>
      <c r="O1279" s="164"/>
      <c r="P1279" s="159" t="s">
        <v>3115</v>
      </c>
      <c r="Q1279" s="159" t="s">
        <v>530</v>
      </c>
      <c r="R1279" s="159" t="s">
        <v>3116</v>
      </c>
      <c r="S1279" s="165">
        <v>2.20273876239057E-2</v>
      </c>
      <c r="T1279" s="166" t="s">
        <v>372</v>
      </c>
      <c r="U1279" s="166"/>
      <c r="V1279" s="166"/>
      <c r="W1279" s="167">
        <f>IF(BetTable[Sport]="","",BetTable[Stake]+BetTable[S2]+BetTable[S3])</f>
        <v>34</v>
      </c>
      <c r="X1279" s="164">
        <f>IF(BetTable[Odds]="","",(BetTable[WBA1-Commission])-BetTable[TS])</f>
        <v>31.28</v>
      </c>
      <c r="Y1279" s="168">
        <f>IF(BetTable[Outcome]="","",BetTable[WBA1]+BetTable[WBA2]+BetTable[WBA3]-BetTable[TS])</f>
        <v>31.28</v>
      </c>
      <c r="Z1279" s="164">
        <f>(((BetTable[Odds]-1)*BetTable[Stake])*(1-(BetTable[Comm %]))+BetTable[Stake])</f>
        <v>65.28</v>
      </c>
      <c r="AA1279" s="164">
        <f>(((BetTable[O2]-1)*BetTable[S2])*(1-(BetTable[C% 2]))+BetTable[S2])</f>
        <v>0</v>
      </c>
      <c r="AB1279" s="164">
        <f>(((BetTable[O3]-1)*BetTable[S3])*(1-(BetTable[C% 3]))+BetTable[S3])</f>
        <v>0</v>
      </c>
      <c r="AC1279" s="165">
        <f>IFERROR(IF(BetTable[Sport]="","",BetTable[R1]/BetTable[TS]),"")</f>
        <v>0.92</v>
      </c>
      <c r="AD1279" s="165" t="str">
        <f>IF(BetTable[O2]="","",#REF!/BetTable[TS])</f>
        <v/>
      </c>
      <c r="AE1279" s="165" t="str">
        <f>IFERROR(IF(BetTable[Sport]="","",#REF!/BetTable[TS]),"")</f>
        <v/>
      </c>
      <c r="AF1279" s="164">
        <f>IF(BetTable[Outcome]="Win",BetTable[WBA1-Commission],IF(BetTable[Outcome]="Win Half Stake",(BetTable[Stake]/2)+BetTable[WBA1-Commission]/2,IF(BetTable[Outcome]="Lose Half Stake",BetTable[Stake]/2,IF(BetTable[Outcome]="Lose",0,IF(BetTable[Outcome]="Void",BetTable[Stake],)))))</f>
        <v>65.28</v>
      </c>
      <c r="AG1279" s="164">
        <f>IF(BetTable[Outcome2]="Win",BetTable[WBA2-Commission],IF(BetTable[Outcome2]="Win Half Stake",(BetTable[S2]/2)+BetTable[WBA2-Commission]/2,IF(BetTable[Outcome2]="Lose Half Stake",BetTable[S2]/2,IF(BetTable[Outcome2]="Lose",0,IF(BetTable[Outcome2]="Void",BetTable[S2],)))))</f>
        <v>0</v>
      </c>
      <c r="AH1279" s="164">
        <f>IF(BetTable[Outcome3]="Win",BetTable[WBA3-Commission],IF(BetTable[Outcome3]="Win Half Stake",(BetTable[S3]/2)+BetTable[WBA3-Commission]/2,IF(BetTable[Outcome3]="Lose Half Stake",BetTable[S3]/2,IF(BetTable[Outcome3]="Lose",0,IF(BetTable[Outcome3]="Void",BetTable[S3],)))))</f>
        <v>0</v>
      </c>
      <c r="AI1279" s="168">
        <f>IF(BetTable[Outcome]="",AI1278,BetTable[Result]+AI1278)</f>
        <v>2661.3427499999989</v>
      </c>
      <c r="AJ1279" s="160"/>
    </row>
    <row r="1280" spans="1:36" x14ac:dyDescent="0.2">
      <c r="A1280" s="159" t="s">
        <v>2968</v>
      </c>
      <c r="B1280" s="160" t="s">
        <v>7</v>
      </c>
      <c r="C1280" s="161" t="s">
        <v>1714</v>
      </c>
      <c r="D1280" s="161"/>
      <c r="E1280" s="161"/>
      <c r="F1280" s="162"/>
      <c r="G1280" s="162"/>
      <c r="H1280" s="162"/>
      <c r="I1280" s="160" t="s">
        <v>3114</v>
      </c>
      <c r="J1280" s="163">
        <v>1.96</v>
      </c>
      <c r="K1280" s="163"/>
      <c r="L1280" s="163"/>
      <c r="M1280" s="164">
        <v>38</v>
      </c>
      <c r="N1280" s="164"/>
      <c r="O1280" s="164"/>
      <c r="P1280" s="159" t="s">
        <v>3117</v>
      </c>
      <c r="Q1280" s="159" t="s">
        <v>530</v>
      </c>
      <c r="R1280" s="159" t="s">
        <v>3118</v>
      </c>
      <c r="S1280" s="165">
        <v>5.1836856542003998E-2</v>
      </c>
      <c r="T1280" s="166" t="s">
        <v>372</v>
      </c>
      <c r="U1280" s="166"/>
      <c r="V1280" s="166"/>
      <c r="W1280" s="167">
        <f>IF(BetTable[Sport]="","",BetTable[Stake]+BetTable[S2]+BetTable[S3])</f>
        <v>38</v>
      </c>
      <c r="X1280" s="164">
        <f>IF(BetTable[Odds]="","",(BetTable[WBA1-Commission])-BetTable[TS])</f>
        <v>36.47999999999999</v>
      </c>
      <c r="Y1280" s="168">
        <f>IF(BetTable[Outcome]="","",BetTable[WBA1]+BetTable[WBA2]+BetTable[WBA3]-BetTable[TS])</f>
        <v>36.47999999999999</v>
      </c>
      <c r="Z1280" s="164">
        <f>(((BetTable[Odds]-1)*BetTable[Stake])*(1-(BetTable[Comm %]))+BetTable[Stake])</f>
        <v>74.47999999999999</v>
      </c>
      <c r="AA1280" s="164">
        <f>(((BetTable[O2]-1)*BetTable[S2])*(1-(BetTable[C% 2]))+BetTable[S2])</f>
        <v>0</v>
      </c>
      <c r="AB1280" s="164">
        <f>(((BetTable[O3]-1)*BetTable[S3])*(1-(BetTable[C% 3]))+BetTable[S3])</f>
        <v>0</v>
      </c>
      <c r="AC1280" s="165">
        <f>IFERROR(IF(BetTable[Sport]="","",BetTable[R1]/BetTable[TS]),"")</f>
        <v>0.95999999999999974</v>
      </c>
      <c r="AD1280" s="165" t="str">
        <f>IF(BetTable[O2]="","",#REF!/BetTable[TS])</f>
        <v/>
      </c>
      <c r="AE1280" s="165" t="str">
        <f>IFERROR(IF(BetTable[Sport]="","",#REF!/BetTable[TS]),"")</f>
        <v/>
      </c>
      <c r="AF1280" s="164">
        <f>IF(BetTable[Outcome]="Win",BetTable[WBA1-Commission],IF(BetTable[Outcome]="Win Half Stake",(BetTable[Stake]/2)+BetTable[WBA1-Commission]/2,IF(BetTable[Outcome]="Lose Half Stake",BetTable[Stake]/2,IF(BetTable[Outcome]="Lose",0,IF(BetTable[Outcome]="Void",BetTable[Stake],)))))</f>
        <v>74.47999999999999</v>
      </c>
      <c r="AG1280" s="164">
        <f>IF(BetTable[Outcome2]="Win",BetTable[WBA2-Commission],IF(BetTable[Outcome2]="Win Half Stake",(BetTable[S2]/2)+BetTable[WBA2-Commission]/2,IF(BetTable[Outcome2]="Lose Half Stake",BetTable[S2]/2,IF(BetTable[Outcome2]="Lose",0,IF(BetTable[Outcome2]="Void",BetTable[S2],)))))</f>
        <v>0</v>
      </c>
      <c r="AH1280" s="164">
        <f>IF(BetTable[Outcome3]="Win",BetTable[WBA3-Commission],IF(BetTable[Outcome3]="Win Half Stake",(BetTable[S3]/2)+BetTable[WBA3-Commission]/2,IF(BetTable[Outcome3]="Lose Half Stake",BetTable[S3]/2,IF(BetTable[Outcome3]="Lose",0,IF(BetTable[Outcome3]="Void",BetTable[S3],)))))</f>
        <v>0</v>
      </c>
      <c r="AI1280" s="168">
        <f>IF(BetTable[Outcome]="",AI1279,BetTable[Result]+AI1279)</f>
        <v>2697.8227499999989</v>
      </c>
      <c r="AJ1280" s="160"/>
    </row>
    <row r="1281" spans="1:36" x14ac:dyDescent="0.2">
      <c r="A1281" s="159" t="s">
        <v>2968</v>
      </c>
      <c r="B1281" s="160" t="s">
        <v>200</v>
      </c>
      <c r="C1281" s="161" t="s">
        <v>1714</v>
      </c>
      <c r="D1281" s="161"/>
      <c r="E1281" s="161"/>
      <c r="F1281" s="162"/>
      <c r="G1281" s="162"/>
      <c r="H1281" s="162"/>
      <c r="I1281" s="160" t="s">
        <v>3119</v>
      </c>
      <c r="J1281" s="163">
        <v>1.78</v>
      </c>
      <c r="K1281" s="163"/>
      <c r="L1281" s="163"/>
      <c r="M1281" s="164">
        <v>51</v>
      </c>
      <c r="N1281" s="164"/>
      <c r="O1281" s="164"/>
      <c r="P1281" s="159" t="s">
        <v>1345</v>
      </c>
      <c r="Q1281" s="159" t="s">
        <v>581</v>
      </c>
      <c r="R1281" s="159" t="s">
        <v>3120</v>
      </c>
      <c r="S1281" s="165">
        <v>2.2417442238798699E-2</v>
      </c>
      <c r="T1281" s="166" t="s">
        <v>372</v>
      </c>
      <c r="U1281" s="166"/>
      <c r="V1281" s="166"/>
      <c r="W1281" s="167">
        <f>IF(BetTable[Sport]="","",BetTable[Stake]+BetTable[S2]+BetTable[S3])</f>
        <v>51</v>
      </c>
      <c r="X1281" s="164">
        <f>IF(BetTable[Odds]="","",(BetTable[WBA1-Commission])-BetTable[TS])</f>
        <v>39.78</v>
      </c>
      <c r="Y1281" s="168">
        <f>IF(BetTable[Outcome]="","",BetTable[WBA1]+BetTable[WBA2]+BetTable[WBA3]-BetTable[TS])</f>
        <v>39.78</v>
      </c>
      <c r="Z1281" s="164">
        <f>(((BetTable[Odds]-1)*BetTable[Stake])*(1-(BetTable[Comm %]))+BetTable[Stake])</f>
        <v>90.78</v>
      </c>
      <c r="AA1281" s="164">
        <f>(((BetTable[O2]-1)*BetTable[S2])*(1-(BetTable[C% 2]))+BetTable[S2])</f>
        <v>0</v>
      </c>
      <c r="AB1281" s="164">
        <f>(((BetTable[O3]-1)*BetTable[S3])*(1-(BetTable[C% 3]))+BetTable[S3])</f>
        <v>0</v>
      </c>
      <c r="AC1281" s="165">
        <f>IFERROR(IF(BetTable[Sport]="","",BetTable[R1]/BetTable[TS]),"")</f>
        <v>0.78</v>
      </c>
      <c r="AD1281" s="165" t="str">
        <f>IF(BetTable[O2]="","",#REF!/BetTable[TS])</f>
        <v/>
      </c>
      <c r="AE1281" s="165" t="str">
        <f>IFERROR(IF(BetTable[Sport]="","",#REF!/BetTable[TS]),"")</f>
        <v/>
      </c>
      <c r="AF1281" s="164">
        <f>IF(BetTable[Outcome]="Win",BetTable[WBA1-Commission],IF(BetTable[Outcome]="Win Half Stake",(BetTable[Stake]/2)+BetTable[WBA1-Commission]/2,IF(BetTable[Outcome]="Lose Half Stake",BetTable[Stake]/2,IF(BetTable[Outcome]="Lose",0,IF(BetTable[Outcome]="Void",BetTable[Stake],)))))</f>
        <v>90.78</v>
      </c>
      <c r="AG1281" s="164">
        <f>IF(BetTable[Outcome2]="Win",BetTable[WBA2-Commission],IF(BetTable[Outcome2]="Win Half Stake",(BetTable[S2]/2)+BetTable[WBA2-Commission]/2,IF(BetTable[Outcome2]="Lose Half Stake",BetTable[S2]/2,IF(BetTable[Outcome2]="Lose",0,IF(BetTable[Outcome2]="Void",BetTable[S2],)))))</f>
        <v>0</v>
      </c>
      <c r="AH1281" s="164">
        <f>IF(BetTable[Outcome3]="Win",BetTable[WBA3-Commission],IF(BetTable[Outcome3]="Win Half Stake",(BetTable[S3]/2)+BetTable[WBA3-Commission]/2,IF(BetTable[Outcome3]="Lose Half Stake",BetTable[S3]/2,IF(BetTable[Outcome3]="Lose",0,IF(BetTable[Outcome3]="Void",BetTable[S3],)))))</f>
        <v>0</v>
      </c>
      <c r="AI1281" s="168">
        <f>IF(BetTable[Outcome]="",AI1280,BetTable[Result]+AI1280)</f>
        <v>2737.6027499999991</v>
      </c>
      <c r="AJ1281" s="160"/>
    </row>
    <row r="1282" spans="1:36" x14ac:dyDescent="0.2">
      <c r="A1282" s="159" t="s">
        <v>2968</v>
      </c>
      <c r="B1282" s="160" t="s">
        <v>200</v>
      </c>
      <c r="C1282" s="161" t="s">
        <v>1714</v>
      </c>
      <c r="D1282" s="161"/>
      <c r="E1282" s="161"/>
      <c r="F1282" s="162"/>
      <c r="G1282" s="162"/>
      <c r="H1282" s="162"/>
      <c r="I1282" s="160" t="s">
        <v>3121</v>
      </c>
      <c r="J1282" s="163">
        <v>1.9</v>
      </c>
      <c r="K1282" s="163"/>
      <c r="L1282" s="163"/>
      <c r="M1282" s="164">
        <v>36</v>
      </c>
      <c r="N1282" s="164"/>
      <c r="O1282" s="164"/>
      <c r="P1282" s="159" t="s">
        <v>1345</v>
      </c>
      <c r="Q1282" s="159" t="s">
        <v>488</v>
      </c>
      <c r="R1282" s="159" t="s">
        <v>3122</v>
      </c>
      <c r="S1282" s="165">
        <v>1.84471858854518E-2</v>
      </c>
      <c r="T1282" s="166" t="s">
        <v>372</v>
      </c>
      <c r="U1282" s="166"/>
      <c r="V1282" s="166"/>
      <c r="W1282" s="167">
        <f>IF(BetTable[Sport]="","",BetTable[Stake]+BetTable[S2]+BetTable[S3])</f>
        <v>36</v>
      </c>
      <c r="X1282" s="164">
        <f>IF(BetTable[Odds]="","",(BetTable[WBA1-Commission])-BetTable[TS])</f>
        <v>32.400000000000006</v>
      </c>
      <c r="Y1282" s="168">
        <f>IF(BetTable[Outcome]="","",BetTable[WBA1]+BetTable[WBA2]+BetTable[WBA3]-BetTable[TS])</f>
        <v>32.400000000000006</v>
      </c>
      <c r="Z1282" s="164">
        <f>(((BetTable[Odds]-1)*BetTable[Stake])*(1-(BetTable[Comm %]))+BetTable[Stake])</f>
        <v>68.400000000000006</v>
      </c>
      <c r="AA1282" s="164">
        <f>(((BetTable[O2]-1)*BetTable[S2])*(1-(BetTable[C% 2]))+BetTable[S2])</f>
        <v>0</v>
      </c>
      <c r="AB1282" s="164">
        <f>(((BetTable[O3]-1)*BetTable[S3])*(1-(BetTable[C% 3]))+BetTable[S3])</f>
        <v>0</v>
      </c>
      <c r="AC1282" s="165">
        <f>IFERROR(IF(BetTable[Sport]="","",BetTable[R1]/BetTable[TS]),"")</f>
        <v>0.90000000000000013</v>
      </c>
      <c r="AD1282" s="165" t="str">
        <f>IF(BetTable[O2]="","",#REF!/BetTable[TS])</f>
        <v/>
      </c>
      <c r="AE1282" s="165" t="str">
        <f>IFERROR(IF(BetTable[Sport]="","",#REF!/BetTable[TS]),"")</f>
        <v/>
      </c>
      <c r="AF1282" s="164">
        <f>IF(BetTable[Outcome]="Win",BetTable[WBA1-Commission],IF(BetTable[Outcome]="Win Half Stake",(BetTable[Stake]/2)+BetTable[WBA1-Commission]/2,IF(BetTable[Outcome]="Lose Half Stake",BetTable[Stake]/2,IF(BetTable[Outcome]="Lose",0,IF(BetTable[Outcome]="Void",BetTable[Stake],)))))</f>
        <v>68.400000000000006</v>
      </c>
      <c r="AG1282" s="164">
        <f>IF(BetTable[Outcome2]="Win",BetTable[WBA2-Commission],IF(BetTable[Outcome2]="Win Half Stake",(BetTable[S2]/2)+BetTable[WBA2-Commission]/2,IF(BetTable[Outcome2]="Lose Half Stake",BetTable[S2]/2,IF(BetTable[Outcome2]="Lose",0,IF(BetTable[Outcome2]="Void",BetTable[S2],)))))</f>
        <v>0</v>
      </c>
      <c r="AH1282" s="164">
        <f>IF(BetTable[Outcome3]="Win",BetTable[WBA3-Commission],IF(BetTable[Outcome3]="Win Half Stake",(BetTable[S3]/2)+BetTable[WBA3-Commission]/2,IF(BetTable[Outcome3]="Lose Half Stake",BetTable[S3]/2,IF(BetTable[Outcome3]="Lose",0,IF(BetTable[Outcome3]="Void",BetTable[S3],)))))</f>
        <v>0</v>
      </c>
      <c r="AI1282" s="168">
        <f>IF(BetTable[Outcome]="",AI1281,BetTable[Result]+AI1281)</f>
        <v>2770.0027499999992</v>
      </c>
      <c r="AJ1282" s="160"/>
    </row>
    <row r="1283" spans="1:36" x14ac:dyDescent="0.2">
      <c r="A1283" s="159" t="s">
        <v>2968</v>
      </c>
      <c r="B1283" s="160" t="s">
        <v>200</v>
      </c>
      <c r="C1283" s="161" t="s">
        <v>1714</v>
      </c>
      <c r="D1283" s="161"/>
      <c r="E1283" s="161"/>
      <c r="F1283" s="162"/>
      <c r="G1283" s="162"/>
      <c r="H1283" s="162"/>
      <c r="I1283" s="160" t="s">
        <v>3110</v>
      </c>
      <c r="J1283" s="163">
        <v>1.75</v>
      </c>
      <c r="K1283" s="163"/>
      <c r="L1283" s="163"/>
      <c r="M1283" s="164">
        <v>41</v>
      </c>
      <c r="N1283" s="164"/>
      <c r="O1283" s="164"/>
      <c r="P1283" s="159" t="s">
        <v>688</v>
      </c>
      <c r="Q1283" s="159" t="s">
        <v>581</v>
      </c>
      <c r="R1283" s="159" t="s">
        <v>3123</v>
      </c>
      <c r="S1283" s="165">
        <v>1.71831415521283E-2</v>
      </c>
      <c r="T1283" s="166" t="s">
        <v>382</v>
      </c>
      <c r="U1283" s="166"/>
      <c r="V1283" s="166"/>
      <c r="W1283" s="167">
        <f>IF(BetTable[Sport]="","",BetTable[Stake]+BetTable[S2]+BetTable[S3])</f>
        <v>41</v>
      </c>
      <c r="X1283" s="164">
        <f>IF(BetTable[Odds]="","",(BetTable[WBA1-Commission])-BetTable[TS])</f>
        <v>30.75</v>
      </c>
      <c r="Y1283" s="168">
        <f>IF(BetTable[Outcome]="","",BetTable[WBA1]+BetTable[WBA2]+BetTable[WBA3]-BetTable[TS])</f>
        <v>-41</v>
      </c>
      <c r="Z1283" s="164">
        <f>(((BetTable[Odds]-1)*BetTable[Stake])*(1-(BetTable[Comm %]))+BetTable[Stake])</f>
        <v>71.75</v>
      </c>
      <c r="AA1283" s="164">
        <f>(((BetTable[O2]-1)*BetTable[S2])*(1-(BetTable[C% 2]))+BetTable[S2])</f>
        <v>0</v>
      </c>
      <c r="AB1283" s="164">
        <f>(((BetTable[O3]-1)*BetTable[S3])*(1-(BetTable[C% 3]))+BetTable[S3])</f>
        <v>0</v>
      </c>
      <c r="AC1283" s="165">
        <f>IFERROR(IF(BetTable[Sport]="","",BetTable[R1]/BetTable[TS]),"")</f>
        <v>0.75</v>
      </c>
      <c r="AD1283" s="165" t="str">
        <f>IF(BetTable[O2]="","",#REF!/BetTable[TS])</f>
        <v/>
      </c>
      <c r="AE1283" s="165" t="str">
        <f>IFERROR(IF(BetTable[Sport]="","",#REF!/BetTable[TS]),"")</f>
        <v/>
      </c>
      <c r="AF1283" s="164">
        <f>IF(BetTable[Outcome]="Win",BetTable[WBA1-Commission],IF(BetTable[Outcome]="Win Half Stake",(BetTable[Stake]/2)+BetTable[WBA1-Commission]/2,IF(BetTable[Outcome]="Lose Half Stake",BetTable[Stake]/2,IF(BetTable[Outcome]="Lose",0,IF(BetTable[Outcome]="Void",BetTable[Stake],)))))</f>
        <v>0</v>
      </c>
      <c r="AG1283" s="164">
        <f>IF(BetTable[Outcome2]="Win",BetTable[WBA2-Commission],IF(BetTable[Outcome2]="Win Half Stake",(BetTable[S2]/2)+BetTable[WBA2-Commission]/2,IF(BetTable[Outcome2]="Lose Half Stake",BetTable[S2]/2,IF(BetTable[Outcome2]="Lose",0,IF(BetTable[Outcome2]="Void",BetTable[S2],)))))</f>
        <v>0</v>
      </c>
      <c r="AH1283" s="164">
        <f>IF(BetTable[Outcome3]="Win",BetTable[WBA3-Commission],IF(BetTable[Outcome3]="Win Half Stake",(BetTable[S3]/2)+BetTable[WBA3-Commission]/2,IF(BetTable[Outcome3]="Lose Half Stake",BetTable[S3]/2,IF(BetTable[Outcome3]="Lose",0,IF(BetTable[Outcome3]="Void",BetTable[S3],)))))</f>
        <v>0</v>
      </c>
      <c r="AI1283" s="168">
        <f>IF(BetTable[Outcome]="",AI1282,BetTable[Result]+AI1282)</f>
        <v>2729.0027499999992</v>
      </c>
      <c r="AJ1283" s="160"/>
    </row>
    <row r="1284" spans="1:36" x14ac:dyDescent="0.2">
      <c r="A1284" s="242" t="s">
        <v>2968</v>
      </c>
      <c r="B1284" s="243" t="s">
        <v>200</v>
      </c>
      <c r="C1284" s="244" t="s">
        <v>1714</v>
      </c>
      <c r="D1284" s="244"/>
      <c r="E1284" s="244"/>
      <c r="F1284" s="245"/>
      <c r="G1284" s="245"/>
      <c r="H1284" s="245"/>
      <c r="I1284" s="243" t="s">
        <v>3124</v>
      </c>
      <c r="J1284" s="246">
        <v>1.75</v>
      </c>
      <c r="K1284" s="246"/>
      <c r="L1284" s="246"/>
      <c r="M1284" s="247">
        <v>54</v>
      </c>
      <c r="N1284" s="247"/>
      <c r="O1284" s="247"/>
      <c r="P1284" s="242" t="s">
        <v>688</v>
      </c>
      <c r="Q1284" s="242" t="s">
        <v>581</v>
      </c>
      <c r="R1284" s="242" t="s">
        <v>3125</v>
      </c>
      <c r="S1284" s="248">
        <v>2.2742085102639701E-2</v>
      </c>
      <c r="T1284" s="249" t="s">
        <v>372</v>
      </c>
      <c r="U1284" s="249"/>
      <c r="V1284" s="249"/>
      <c r="W1284" s="250">
        <f>IF(BetTable[Sport]="","",BetTable[Stake]+BetTable[S2]+BetTable[S3])</f>
        <v>54</v>
      </c>
      <c r="X1284" s="247">
        <f>IF(BetTable[Odds]="","",(BetTable[WBA1-Commission])-BetTable[TS])</f>
        <v>40.5</v>
      </c>
      <c r="Y1284" s="251">
        <f>IF(BetTable[Outcome]="","",BetTable[WBA1]+BetTable[WBA2]+BetTable[WBA3]-BetTable[TS])</f>
        <v>40.5</v>
      </c>
      <c r="Z1284" s="247">
        <f>(((BetTable[Odds]-1)*BetTable[Stake])*(1-(BetTable[Comm %]))+BetTable[Stake])</f>
        <v>94.5</v>
      </c>
      <c r="AA1284" s="247">
        <f>(((BetTable[O2]-1)*BetTable[S2])*(1-(BetTable[C% 2]))+BetTable[S2])</f>
        <v>0</v>
      </c>
      <c r="AB1284" s="247">
        <f>(((BetTable[O3]-1)*BetTable[S3])*(1-(BetTable[C% 3]))+BetTable[S3])</f>
        <v>0</v>
      </c>
      <c r="AC1284" s="248">
        <f>IFERROR(IF(BetTable[Sport]="","",BetTable[R1]/BetTable[TS]),"")</f>
        <v>0.75</v>
      </c>
      <c r="AD1284" s="248" t="str">
        <f>IF(BetTable[O2]="","",#REF!/BetTable[TS])</f>
        <v/>
      </c>
      <c r="AE1284" s="248" t="str">
        <f>IFERROR(IF(BetTable[Sport]="","",#REF!/BetTable[TS]),"")</f>
        <v/>
      </c>
      <c r="AF1284" s="247">
        <f>IF(BetTable[Outcome]="Win",BetTable[WBA1-Commission],IF(BetTable[Outcome]="Win Half Stake",(BetTable[Stake]/2)+BetTable[WBA1-Commission]/2,IF(BetTable[Outcome]="Lose Half Stake",BetTable[Stake]/2,IF(BetTable[Outcome]="Lose",0,IF(BetTable[Outcome]="Void",BetTable[Stake],)))))</f>
        <v>94.5</v>
      </c>
      <c r="AG1284" s="247">
        <f>IF(BetTable[Outcome2]="Win",BetTable[WBA2-Commission],IF(BetTable[Outcome2]="Win Half Stake",(BetTable[S2]/2)+BetTable[WBA2-Commission]/2,IF(BetTable[Outcome2]="Lose Half Stake",BetTable[S2]/2,IF(BetTable[Outcome2]="Lose",0,IF(BetTable[Outcome2]="Void",BetTable[S2],)))))</f>
        <v>0</v>
      </c>
      <c r="AH1284" s="247">
        <f>IF(BetTable[Outcome3]="Win",BetTable[WBA3-Commission],IF(BetTable[Outcome3]="Win Half Stake",(BetTable[S3]/2)+BetTable[WBA3-Commission]/2,IF(BetTable[Outcome3]="Lose Half Stake",BetTable[S3]/2,IF(BetTable[Outcome3]="Lose",0,IF(BetTable[Outcome3]="Void",BetTable[S3],)))))</f>
        <v>0</v>
      </c>
      <c r="AI1284" s="251">
        <f>IF(BetTable[Outcome]="",AI1283,BetTable[Result]+AI1283)</f>
        <v>2769.5027499999992</v>
      </c>
      <c r="AJ1284" s="243"/>
    </row>
    <row r="1285" spans="1:36" x14ac:dyDescent="0.2">
      <c r="A1285" s="242" t="s">
        <v>2968</v>
      </c>
      <c r="B1285" s="243" t="s">
        <v>200</v>
      </c>
      <c r="C1285" s="244" t="s">
        <v>1714</v>
      </c>
      <c r="D1285" s="244"/>
      <c r="E1285" s="244"/>
      <c r="F1285" s="245"/>
      <c r="G1285" s="245"/>
      <c r="H1285" s="245"/>
      <c r="I1285" s="243" t="s">
        <v>3110</v>
      </c>
      <c r="J1285" s="246">
        <v>2.19</v>
      </c>
      <c r="K1285" s="246"/>
      <c r="L1285" s="246"/>
      <c r="M1285" s="247">
        <v>57</v>
      </c>
      <c r="N1285" s="247"/>
      <c r="O1285" s="247"/>
      <c r="P1285" s="242" t="s">
        <v>448</v>
      </c>
      <c r="Q1285" s="242" t="s">
        <v>581</v>
      </c>
      <c r="R1285" s="242" t="s">
        <v>3126</v>
      </c>
      <c r="S1285" s="248">
        <v>3.7970515269570598E-2</v>
      </c>
      <c r="T1285" s="249" t="s">
        <v>372</v>
      </c>
      <c r="U1285" s="249"/>
      <c r="V1285" s="249"/>
      <c r="W1285" s="250">
        <f>IF(BetTable[Sport]="","",BetTable[Stake]+BetTable[S2]+BetTable[S3])</f>
        <v>57</v>
      </c>
      <c r="X1285" s="247">
        <f>IF(BetTable[Odds]="","",(BetTable[WBA1-Commission])-BetTable[TS])</f>
        <v>67.83</v>
      </c>
      <c r="Y1285" s="251">
        <f>IF(BetTable[Outcome]="","",BetTable[WBA1]+BetTable[WBA2]+BetTable[WBA3]-BetTable[TS])</f>
        <v>67.83</v>
      </c>
      <c r="Z1285" s="247">
        <f>(((BetTable[Odds]-1)*BetTable[Stake])*(1-(BetTable[Comm %]))+BetTable[Stake])</f>
        <v>124.83</v>
      </c>
      <c r="AA1285" s="247">
        <f>(((BetTable[O2]-1)*BetTable[S2])*(1-(BetTable[C% 2]))+BetTable[S2])</f>
        <v>0</v>
      </c>
      <c r="AB1285" s="247">
        <f>(((BetTable[O3]-1)*BetTable[S3])*(1-(BetTable[C% 3]))+BetTable[S3])</f>
        <v>0</v>
      </c>
      <c r="AC1285" s="248">
        <f>IFERROR(IF(BetTable[Sport]="","",BetTable[R1]/BetTable[TS]),"")</f>
        <v>1.19</v>
      </c>
      <c r="AD1285" s="248" t="str">
        <f>IF(BetTable[O2]="","",#REF!/BetTable[TS])</f>
        <v/>
      </c>
      <c r="AE1285" s="248" t="str">
        <f>IFERROR(IF(BetTable[Sport]="","",#REF!/BetTable[TS]),"")</f>
        <v/>
      </c>
      <c r="AF1285" s="247">
        <f>IF(BetTable[Outcome]="Win",BetTable[WBA1-Commission],IF(BetTable[Outcome]="Win Half Stake",(BetTable[Stake]/2)+BetTable[WBA1-Commission]/2,IF(BetTable[Outcome]="Lose Half Stake",BetTable[Stake]/2,IF(BetTable[Outcome]="Lose",0,IF(BetTable[Outcome]="Void",BetTable[Stake],)))))</f>
        <v>124.83</v>
      </c>
      <c r="AG1285" s="247">
        <f>IF(BetTable[Outcome2]="Win",BetTable[WBA2-Commission],IF(BetTable[Outcome2]="Win Half Stake",(BetTable[S2]/2)+BetTable[WBA2-Commission]/2,IF(BetTable[Outcome2]="Lose Half Stake",BetTable[S2]/2,IF(BetTable[Outcome2]="Lose",0,IF(BetTable[Outcome2]="Void",BetTable[S2],)))))</f>
        <v>0</v>
      </c>
      <c r="AH1285" s="247">
        <f>IF(BetTable[Outcome3]="Win",BetTable[WBA3-Commission],IF(BetTable[Outcome3]="Win Half Stake",(BetTable[S3]/2)+BetTable[WBA3-Commission]/2,IF(BetTable[Outcome3]="Lose Half Stake",BetTable[S3]/2,IF(BetTable[Outcome3]="Lose",0,IF(BetTable[Outcome3]="Void",BetTable[S3],)))))</f>
        <v>0</v>
      </c>
      <c r="AI1285" s="251">
        <f>IF(BetTable[Outcome]="",AI1284,BetTable[Result]+AI1284)</f>
        <v>2837.3327499999991</v>
      </c>
      <c r="AJ1285" s="243"/>
    </row>
    <row r="1286" spans="1:36" x14ac:dyDescent="0.2">
      <c r="A1286" s="242" t="s">
        <v>2968</v>
      </c>
      <c r="B1286" s="243" t="s">
        <v>7</v>
      </c>
      <c r="C1286" s="244" t="s">
        <v>1714</v>
      </c>
      <c r="D1286" s="244"/>
      <c r="E1286" s="244"/>
      <c r="F1286" s="245"/>
      <c r="G1286" s="245"/>
      <c r="H1286" s="245"/>
      <c r="I1286" s="243" t="s">
        <v>3105</v>
      </c>
      <c r="J1286" s="246">
        <v>1.92</v>
      </c>
      <c r="K1286" s="246"/>
      <c r="L1286" s="246"/>
      <c r="M1286" s="247">
        <v>33</v>
      </c>
      <c r="N1286" s="247"/>
      <c r="O1286" s="247"/>
      <c r="P1286" s="242" t="s">
        <v>671</v>
      </c>
      <c r="Q1286" s="242" t="s">
        <v>530</v>
      </c>
      <c r="R1286" s="242" t="s">
        <v>3127</v>
      </c>
      <c r="S1286" s="248">
        <v>1.6979950146099501E-2</v>
      </c>
      <c r="T1286" s="249" t="s">
        <v>372</v>
      </c>
      <c r="U1286" s="249"/>
      <c r="V1286" s="249"/>
      <c r="W1286" s="250">
        <f>IF(BetTable[Sport]="","",BetTable[Stake]+BetTable[S2]+BetTable[S3])</f>
        <v>33</v>
      </c>
      <c r="X1286" s="247">
        <f>IF(BetTable[Odds]="","",(BetTable[WBA1-Commission])-BetTable[TS])</f>
        <v>30.36</v>
      </c>
      <c r="Y1286" s="251">
        <f>IF(BetTable[Outcome]="","",BetTable[WBA1]+BetTable[WBA2]+BetTable[WBA3]-BetTable[TS])</f>
        <v>30.36</v>
      </c>
      <c r="Z1286" s="247">
        <f>(((BetTable[Odds]-1)*BetTable[Stake])*(1-(BetTable[Comm %]))+BetTable[Stake])</f>
        <v>63.36</v>
      </c>
      <c r="AA1286" s="247">
        <f>(((BetTable[O2]-1)*BetTable[S2])*(1-(BetTable[C% 2]))+BetTable[S2])</f>
        <v>0</v>
      </c>
      <c r="AB1286" s="247">
        <f>(((BetTable[O3]-1)*BetTable[S3])*(1-(BetTable[C% 3]))+BetTable[S3])</f>
        <v>0</v>
      </c>
      <c r="AC1286" s="248">
        <f>IFERROR(IF(BetTable[Sport]="","",BetTable[R1]/BetTable[TS]),"")</f>
        <v>0.91999999999999993</v>
      </c>
      <c r="AD1286" s="248" t="str">
        <f>IF(BetTable[O2]="","",#REF!/BetTable[TS])</f>
        <v/>
      </c>
      <c r="AE1286" s="248" t="str">
        <f>IFERROR(IF(BetTable[Sport]="","",#REF!/BetTable[TS]),"")</f>
        <v/>
      </c>
      <c r="AF1286" s="247">
        <f>IF(BetTable[Outcome]="Win",BetTable[WBA1-Commission],IF(BetTable[Outcome]="Win Half Stake",(BetTable[Stake]/2)+BetTable[WBA1-Commission]/2,IF(BetTable[Outcome]="Lose Half Stake",BetTable[Stake]/2,IF(BetTable[Outcome]="Lose",0,IF(BetTable[Outcome]="Void",BetTable[Stake],)))))</f>
        <v>63.36</v>
      </c>
      <c r="AG1286" s="247">
        <f>IF(BetTable[Outcome2]="Win",BetTable[WBA2-Commission],IF(BetTable[Outcome2]="Win Half Stake",(BetTable[S2]/2)+BetTable[WBA2-Commission]/2,IF(BetTable[Outcome2]="Lose Half Stake",BetTable[S2]/2,IF(BetTable[Outcome2]="Lose",0,IF(BetTable[Outcome2]="Void",BetTable[S2],)))))</f>
        <v>0</v>
      </c>
      <c r="AH1286" s="247">
        <f>IF(BetTable[Outcome3]="Win",BetTable[WBA3-Commission],IF(BetTable[Outcome3]="Win Half Stake",(BetTable[S3]/2)+BetTable[WBA3-Commission]/2,IF(BetTable[Outcome3]="Lose Half Stake",BetTable[S3]/2,IF(BetTable[Outcome3]="Lose",0,IF(BetTable[Outcome3]="Void",BetTable[S3],)))))</f>
        <v>0</v>
      </c>
      <c r="AI1286" s="251">
        <f>IF(BetTable[Outcome]="",AI1285,BetTable[Result]+AI1285)</f>
        <v>2867.6927499999993</v>
      </c>
      <c r="AJ1286" s="243"/>
    </row>
    <row r="1287" spans="1:36" x14ac:dyDescent="0.2">
      <c r="A1287" s="242" t="s">
        <v>2968</v>
      </c>
      <c r="B1287" s="243" t="s">
        <v>200</v>
      </c>
      <c r="C1287" s="244" t="s">
        <v>1714</v>
      </c>
      <c r="D1287" s="244"/>
      <c r="E1287" s="244"/>
      <c r="F1287" s="245"/>
      <c r="G1287" s="245"/>
      <c r="H1287" s="245"/>
      <c r="I1287" s="243" t="s">
        <v>3128</v>
      </c>
      <c r="J1287" s="246">
        <v>1.76</v>
      </c>
      <c r="K1287" s="246"/>
      <c r="L1287" s="246"/>
      <c r="M1287" s="247">
        <v>39</v>
      </c>
      <c r="N1287" s="247"/>
      <c r="O1287" s="247"/>
      <c r="P1287" s="242" t="s">
        <v>448</v>
      </c>
      <c r="Q1287" s="242" t="s">
        <v>488</v>
      </c>
      <c r="R1287" s="242" t="s">
        <v>3129</v>
      </c>
      <c r="S1287" s="248">
        <v>1.65622066199025E-2</v>
      </c>
      <c r="T1287" s="249" t="s">
        <v>382</v>
      </c>
      <c r="U1287" s="249"/>
      <c r="V1287" s="249"/>
      <c r="W1287" s="250">
        <f>IF(BetTable[Sport]="","",BetTable[Stake]+BetTable[S2]+BetTable[S3])</f>
        <v>39</v>
      </c>
      <c r="X1287" s="247">
        <f>IF(BetTable[Odds]="","",(BetTable[WBA1-Commission])-BetTable[TS])</f>
        <v>29.64</v>
      </c>
      <c r="Y1287" s="251">
        <f>IF(BetTable[Outcome]="","",BetTable[WBA1]+BetTable[WBA2]+BetTable[WBA3]-BetTable[TS])</f>
        <v>-39</v>
      </c>
      <c r="Z1287" s="247">
        <f>(((BetTable[Odds]-1)*BetTable[Stake])*(1-(BetTable[Comm %]))+BetTable[Stake])</f>
        <v>68.64</v>
      </c>
      <c r="AA1287" s="247">
        <f>(((BetTable[O2]-1)*BetTable[S2])*(1-(BetTable[C% 2]))+BetTable[S2])</f>
        <v>0</v>
      </c>
      <c r="AB1287" s="247">
        <f>(((BetTable[O3]-1)*BetTable[S3])*(1-(BetTable[C% 3]))+BetTable[S3])</f>
        <v>0</v>
      </c>
      <c r="AC1287" s="248">
        <f>IFERROR(IF(BetTable[Sport]="","",BetTable[R1]/BetTable[TS]),"")</f>
        <v>0.76</v>
      </c>
      <c r="AD1287" s="248" t="str">
        <f>IF(BetTable[O2]="","",#REF!/BetTable[TS])</f>
        <v/>
      </c>
      <c r="AE1287" s="248" t="str">
        <f>IFERROR(IF(BetTable[Sport]="","",#REF!/BetTable[TS]),"")</f>
        <v/>
      </c>
      <c r="AF1287" s="247">
        <f>IF(BetTable[Outcome]="Win",BetTable[WBA1-Commission],IF(BetTable[Outcome]="Win Half Stake",(BetTable[Stake]/2)+BetTable[WBA1-Commission]/2,IF(BetTable[Outcome]="Lose Half Stake",BetTable[Stake]/2,IF(BetTable[Outcome]="Lose",0,IF(BetTable[Outcome]="Void",BetTable[Stake],)))))</f>
        <v>0</v>
      </c>
      <c r="AG1287" s="247">
        <f>IF(BetTable[Outcome2]="Win",BetTable[WBA2-Commission],IF(BetTable[Outcome2]="Win Half Stake",(BetTable[S2]/2)+BetTable[WBA2-Commission]/2,IF(BetTable[Outcome2]="Lose Half Stake",BetTable[S2]/2,IF(BetTable[Outcome2]="Lose",0,IF(BetTable[Outcome2]="Void",BetTable[S2],)))))</f>
        <v>0</v>
      </c>
      <c r="AH1287" s="247">
        <f>IF(BetTable[Outcome3]="Win",BetTable[WBA3-Commission],IF(BetTable[Outcome3]="Win Half Stake",(BetTable[S3]/2)+BetTable[WBA3-Commission]/2,IF(BetTable[Outcome3]="Lose Half Stake",BetTable[S3]/2,IF(BetTable[Outcome3]="Lose",0,IF(BetTable[Outcome3]="Void",BetTable[S3],)))))</f>
        <v>0</v>
      </c>
      <c r="AI1287" s="251">
        <f>IF(BetTable[Outcome]="",AI1286,BetTable[Result]+AI1286)</f>
        <v>2828.6927499999993</v>
      </c>
      <c r="AJ1287" s="243"/>
    </row>
    <row r="1288" spans="1:36" x14ac:dyDescent="0.2">
      <c r="A1288" s="242" t="s">
        <v>2968</v>
      </c>
      <c r="B1288" s="243" t="s">
        <v>200</v>
      </c>
      <c r="C1288" s="244" t="s">
        <v>1714</v>
      </c>
      <c r="D1288" s="244"/>
      <c r="E1288" s="244"/>
      <c r="F1288" s="245"/>
      <c r="G1288" s="245"/>
      <c r="H1288" s="245"/>
      <c r="I1288" s="243" t="s">
        <v>3130</v>
      </c>
      <c r="J1288" s="246">
        <v>1.6</v>
      </c>
      <c r="K1288" s="246"/>
      <c r="L1288" s="246"/>
      <c r="M1288" s="247">
        <v>75</v>
      </c>
      <c r="N1288" s="247"/>
      <c r="O1288" s="247"/>
      <c r="P1288" s="242" t="s">
        <v>360</v>
      </c>
      <c r="Q1288" s="242" t="s">
        <v>488</v>
      </c>
      <c r="R1288" s="242" t="s">
        <v>3131</v>
      </c>
      <c r="S1288" s="248">
        <v>2.52228257536001E-2</v>
      </c>
      <c r="T1288" s="249" t="s">
        <v>383</v>
      </c>
      <c r="U1288" s="249"/>
      <c r="V1288" s="249"/>
      <c r="W1288" s="250">
        <f>IF(BetTable[Sport]="","",BetTable[Stake]+BetTable[S2]+BetTable[S3])</f>
        <v>75</v>
      </c>
      <c r="X1288" s="247">
        <f>IF(BetTable[Odds]="","",(BetTable[WBA1-Commission])-BetTable[TS])</f>
        <v>45</v>
      </c>
      <c r="Y1288" s="251">
        <f>IF(BetTable[Outcome]="","",BetTable[WBA1]+BetTable[WBA2]+BetTable[WBA3]-BetTable[TS])</f>
        <v>0</v>
      </c>
      <c r="Z1288" s="247">
        <f>(((BetTable[Odds]-1)*BetTable[Stake])*(1-(BetTable[Comm %]))+BetTable[Stake])</f>
        <v>120</v>
      </c>
      <c r="AA1288" s="247">
        <f>(((BetTable[O2]-1)*BetTable[S2])*(1-(BetTable[C% 2]))+BetTable[S2])</f>
        <v>0</v>
      </c>
      <c r="AB1288" s="247">
        <f>(((BetTable[O3]-1)*BetTable[S3])*(1-(BetTable[C% 3]))+BetTable[S3])</f>
        <v>0</v>
      </c>
      <c r="AC1288" s="248">
        <f>IFERROR(IF(BetTable[Sport]="","",BetTable[R1]/BetTable[TS]),"")</f>
        <v>0.6</v>
      </c>
      <c r="AD1288" s="248" t="str">
        <f>IF(BetTable[O2]="","",#REF!/BetTable[TS])</f>
        <v/>
      </c>
      <c r="AE1288" s="248" t="str">
        <f>IFERROR(IF(BetTable[Sport]="","",#REF!/BetTable[TS]),"")</f>
        <v/>
      </c>
      <c r="AF1288" s="247">
        <f>IF(BetTable[Outcome]="Win",BetTable[WBA1-Commission],IF(BetTable[Outcome]="Win Half Stake",(BetTable[Stake]/2)+BetTable[WBA1-Commission]/2,IF(BetTable[Outcome]="Lose Half Stake",BetTable[Stake]/2,IF(BetTable[Outcome]="Lose",0,IF(BetTable[Outcome]="Void",BetTable[Stake],)))))</f>
        <v>75</v>
      </c>
      <c r="AG1288" s="247">
        <f>IF(BetTable[Outcome2]="Win",BetTable[WBA2-Commission],IF(BetTable[Outcome2]="Win Half Stake",(BetTable[S2]/2)+BetTable[WBA2-Commission]/2,IF(BetTable[Outcome2]="Lose Half Stake",BetTable[S2]/2,IF(BetTable[Outcome2]="Lose",0,IF(BetTable[Outcome2]="Void",BetTable[S2],)))))</f>
        <v>0</v>
      </c>
      <c r="AH1288" s="247">
        <f>IF(BetTable[Outcome3]="Win",BetTable[WBA3-Commission],IF(BetTable[Outcome3]="Win Half Stake",(BetTable[S3]/2)+BetTable[WBA3-Commission]/2,IF(BetTable[Outcome3]="Lose Half Stake",BetTable[S3]/2,IF(BetTable[Outcome3]="Lose",0,IF(BetTable[Outcome3]="Void",BetTable[S3],)))))</f>
        <v>0</v>
      </c>
      <c r="AI1288" s="251">
        <f>IF(BetTable[Outcome]="",AI1287,BetTable[Result]+AI1287)</f>
        <v>2828.6927499999993</v>
      </c>
      <c r="AJ1288" s="243"/>
    </row>
    <row r="1289" spans="1:36" x14ac:dyDescent="0.2">
      <c r="A1289" s="242" t="s">
        <v>2968</v>
      </c>
      <c r="B1289" s="243" t="s">
        <v>7</v>
      </c>
      <c r="C1289" s="244" t="s">
        <v>216</v>
      </c>
      <c r="D1289" s="244"/>
      <c r="E1289" s="244"/>
      <c r="F1289" s="245"/>
      <c r="G1289" s="245"/>
      <c r="H1289" s="245"/>
      <c r="I1289" s="243" t="s">
        <v>3132</v>
      </c>
      <c r="J1289" s="246">
        <v>1.909</v>
      </c>
      <c r="K1289" s="246"/>
      <c r="L1289" s="246"/>
      <c r="M1289" s="247">
        <v>72</v>
      </c>
      <c r="N1289" s="247"/>
      <c r="O1289" s="247"/>
      <c r="P1289" s="242" t="s">
        <v>3084</v>
      </c>
      <c r="Q1289" s="242" t="s">
        <v>968</v>
      </c>
      <c r="R1289" s="242" t="s">
        <v>3133</v>
      </c>
      <c r="S1289" s="248">
        <v>3.6901931103557502E-2</v>
      </c>
      <c r="T1289" s="249" t="s">
        <v>382</v>
      </c>
      <c r="U1289" s="249"/>
      <c r="V1289" s="249"/>
      <c r="W1289" s="250">
        <f>IF(BetTable[Sport]="","",BetTable[Stake]+BetTable[S2]+BetTable[S3])</f>
        <v>72</v>
      </c>
      <c r="X1289" s="247">
        <f>IF(BetTable[Odds]="","",(BetTable[WBA1-Commission])-BetTable[TS])</f>
        <v>65.448000000000008</v>
      </c>
      <c r="Y1289" s="251">
        <f>IF(BetTable[Outcome]="","",BetTable[WBA1]+BetTable[WBA2]+BetTable[WBA3]-BetTable[TS])</f>
        <v>-72</v>
      </c>
      <c r="Z1289" s="247">
        <f>(((BetTable[Odds]-1)*BetTable[Stake])*(1-(BetTable[Comm %]))+BetTable[Stake])</f>
        <v>137.44800000000001</v>
      </c>
      <c r="AA1289" s="247">
        <f>(((BetTable[O2]-1)*BetTable[S2])*(1-(BetTable[C% 2]))+BetTable[S2])</f>
        <v>0</v>
      </c>
      <c r="AB1289" s="247">
        <f>(((BetTable[O3]-1)*BetTable[S3])*(1-(BetTable[C% 3]))+BetTable[S3])</f>
        <v>0</v>
      </c>
      <c r="AC1289" s="248">
        <f>IFERROR(IF(BetTable[Sport]="","",BetTable[R1]/BetTable[TS]),"")</f>
        <v>0.90900000000000014</v>
      </c>
      <c r="AD1289" s="248" t="str">
        <f>IF(BetTable[O2]="","",#REF!/BetTable[TS])</f>
        <v/>
      </c>
      <c r="AE1289" s="248" t="str">
        <f>IFERROR(IF(BetTable[Sport]="","",#REF!/BetTable[TS]),"")</f>
        <v/>
      </c>
      <c r="AF1289" s="247">
        <f>IF(BetTable[Outcome]="Win",BetTable[WBA1-Commission],IF(BetTable[Outcome]="Win Half Stake",(BetTable[Stake]/2)+BetTable[WBA1-Commission]/2,IF(BetTable[Outcome]="Lose Half Stake",BetTable[Stake]/2,IF(BetTable[Outcome]="Lose",0,IF(BetTable[Outcome]="Void",BetTable[Stake],)))))</f>
        <v>0</v>
      </c>
      <c r="AG1289" s="247">
        <f>IF(BetTable[Outcome2]="Win",BetTable[WBA2-Commission],IF(BetTable[Outcome2]="Win Half Stake",(BetTable[S2]/2)+BetTable[WBA2-Commission]/2,IF(BetTable[Outcome2]="Lose Half Stake",BetTable[S2]/2,IF(BetTable[Outcome2]="Lose",0,IF(BetTable[Outcome2]="Void",BetTable[S2],)))))</f>
        <v>0</v>
      </c>
      <c r="AH1289" s="247">
        <f>IF(BetTable[Outcome3]="Win",BetTable[WBA3-Commission],IF(BetTable[Outcome3]="Win Half Stake",(BetTable[S3]/2)+BetTable[WBA3-Commission]/2,IF(BetTable[Outcome3]="Lose Half Stake",BetTable[S3]/2,IF(BetTable[Outcome3]="Lose",0,IF(BetTable[Outcome3]="Void",BetTable[S3],)))))</f>
        <v>0</v>
      </c>
      <c r="AI1289" s="251">
        <f>IF(BetTable[Outcome]="",AI1288,BetTable[Result]+AI1288)</f>
        <v>2756.6927499999993</v>
      </c>
      <c r="AJ1289" s="243"/>
    </row>
    <row r="1290" spans="1:36" x14ac:dyDescent="0.2">
      <c r="A1290" s="242" t="s">
        <v>2968</v>
      </c>
      <c r="B1290" s="243" t="s">
        <v>7</v>
      </c>
      <c r="C1290" s="244" t="s">
        <v>216</v>
      </c>
      <c r="D1290" s="244"/>
      <c r="E1290" s="244"/>
      <c r="F1290" s="245"/>
      <c r="G1290" s="245"/>
      <c r="H1290" s="245"/>
      <c r="I1290" s="243" t="s">
        <v>3134</v>
      </c>
      <c r="J1290" s="246">
        <v>1.333</v>
      </c>
      <c r="K1290" s="246"/>
      <c r="L1290" s="246"/>
      <c r="M1290" s="247">
        <v>60</v>
      </c>
      <c r="N1290" s="247"/>
      <c r="O1290" s="247"/>
      <c r="P1290" s="242" t="s">
        <v>435</v>
      </c>
      <c r="Q1290" s="242" t="s">
        <v>506</v>
      </c>
      <c r="R1290" s="242" t="s">
        <v>3135</v>
      </c>
      <c r="S1290" s="248">
        <v>2.45912960839446E-2</v>
      </c>
      <c r="T1290" s="249" t="s">
        <v>372</v>
      </c>
      <c r="U1290" s="249"/>
      <c r="V1290" s="249"/>
      <c r="W1290" s="250">
        <f>IF(BetTable[Sport]="","",BetTable[Stake]+BetTable[S2]+BetTable[S3])</f>
        <v>60</v>
      </c>
      <c r="X1290" s="247">
        <f>IF(BetTable[Odds]="","",(BetTable[WBA1-Commission])-BetTable[TS])</f>
        <v>19.97999999999999</v>
      </c>
      <c r="Y1290" s="251">
        <f>IF(BetTable[Outcome]="","",BetTable[WBA1]+BetTable[WBA2]+BetTable[WBA3]-BetTable[TS])</f>
        <v>19.97999999999999</v>
      </c>
      <c r="Z1290" s="247">
        <f>(((BetTable[Odds]-1)*BetTable[Stake])*(1-(BetTable[Comm %]))+BetTable[Stake])</f>
        <v>79.97999999999999</v>
      </c>
      <c r="AA1290" s="247">
        <f>(((BetTable[O2]-1)*BetTable[S2])*(1-(BetTable[C% 2]))+BetTable[S2])</f>
        <v>0</v>
      </c>
      <c r="AB1290" s="247">
        <f>(((BetTable[O3]-1)*BetTable[S3])*(1-(BetTable[C% 3]))+BetTable[S3])</f>
        <v>0</v>
      </c>
      <c r="AC1290" s="248">
        <f>IFERROR(IF(BetTable[Sport]="","",BetTable[R1]/BetTable[TS]),"")</f>
        <v>0.33299999999999985</v>
      </c>
      <c r="AD1290" s="248" t="str">
        <f>IF(BetTable[O2]="","",#REF!/BetTable[TS])</f>
        <v/>
      </c>
      <c r="AE1290" s="248" t="str">
        <f>IFERROR(IF(BetTable[Sport]="","",#REF!/BetTable[TS]),"")</f>
        <v/>
      </c>
      <c r="AF1290" s="247">
        <f>IF(BetTable[Outcome]="Win",BetTable[WBA1-Commission],IF(BetTable[Outcome]="Win Half Stake",(BetTable[Stake]/2)+BetTable[WBA1-Commission]/2,IF(BetTable[Outcome]="Lose Half Stake",BetTable[Stake]/2,IF(BetTable[Outcome]="Lose",0,IF(BetTable[Outcome]="Void",BetTable[Stake],)))))</f>
        <v>79.97999999999999</v>
      </c>
      <c r="AG1290" s="247">
        <f>IF(BetTable[Outcome2]="Win",BetTable[WBA2-Commission],IF(BetTable[Outcome2]="Win Half Stake",(BetTable[S2]/2)+BetTable[WBA2-Commission]/2,IF(BetTable[Outcome2]="Lose Half Stake",BetTable[S2]/2,IF(BetTable[Outcome2]="Lose",0,IF(BetTable[Outcome2]="Void",BetTable[S2],)))))</f>
        <v>0</v>
      </c>
      <c r="AH1290" s="247">
        <f>IF(BetTable[Outcome3]="Win",BetTable[WBA3-Commission],IF(BetTable[Outcome3]="Win Half Stake",(BetTable[S3]/2)+BetTable[WBA3-Commission]/2,IF(BetTable[Outcome3]="Lose Half Stake",BetTable[S3]/2,IF(BetTable[Outcome3]="Lose",0,IF(BetTable[Outcome3]="Void",BetTable[S3],)))))</f>
        <v>0</v>
      </c>
      <c r="AI1290" s="251">
        <f>IF(BetTable[Outcome]="",AI1289,BetTable[Result]+AI1289)</f>
        <v>2776.6727499999993</v>
      </c>
      <c r="AJ1290" s="243"/>
    </row>
    <row r="1291" spans="1:36" x14ac:dyDescent="0.2">
      <c r="A1291" s="242" t="s">
        <v>2968</v>
      </c>
      <c r="B1291" s="243" t="s">
        <v>200</v>
      </c>
      <c r="C1291" s="244" t="s">
        <v>1714</v>
      </c>
      <c r="D1291" s="244"/>
      <c r="E1291" s="244"/>
      <c r="F1291" s="245"/>
      <c r="G1291" s="245"/>
      <c r="H1291" s="245"/>
      <c r="I1291" s="243" t="s">
        <v>3136</v>
      </c>
      <c r="J1291" s="246">
        <v>1.99</v>
      </c>
      <c r="K1291" s="246"/>
      <c r="L1291" s="246"/>
      <c r="M1291" s="247">
        <v>52</v>
      </c>
      <c r="N1291" s="247"/>
      <c r="O1291" s="247"/>
      <c r="P1291" s="242" t="s">
        <v>508</v>
      </c>
      <c r="Q1291" s="242" t="s">
        <v>1132</v>
      </c>
      <c r="R1291" s="242" t="s">
        <v>3137</v>
      </c>
      <c r="S1291" s="248">
        <v>2.8724103236970899E-2</v>
      </c>
      <c r="T1291" s="249" t="s">
        <v>382</v>
      </c>
      <c r="U1291" s="249"/>
      <c r="V1291" s="249"/>
      <c r="W1291" s="250">
        <f>IF(BetTable[Sport]="","",BetTable[Stake]+BetTable[S2]+BetTable[S3])</f>
        <v>52</v>
      </c>
      <c r="X1291" s="247">
        <f>IF(BetTable[Odds]="","",(BetTable[WBA1-Commission])-BetTable[TS])</f>
        <v>51.47999999999999</v>
      </c>
      <c r="Y1291" s="251">
        <f>IF(BetTable[Outcome]="","",BetTable[WBA1]+BetTable[WBA2]+BetTable[WBA3]-BetTable[TS])</f>
        <v>-52</v>
      </c>
      <c r="Z1291" s="247">
        <f>(((BetTable[Odds]-1)*BetTable[Stake])*(1-(BetTable[Comm %]))+BetTable[Stake])</f>
        <v>103.47999999999999</v>
      </c>
      <c r="AA1291" s="247">
        <f>(((BetTable[O2]-1)*BetTable[S2])*(1-(BetTable[C% 2]))+BetTable[S2])</f>
        <v>0</v>
      </c>
      <c r="AB1291" s="247">
        <f>(((BetTable[O3]-1)*BetTable[S3])*(1-(BetTable[C% 3]))+BetTable[S3])</f>
        <v>0</v>
      </c>
      <c r="AC1291" s="248">
        <f>IFERROR(IF(BetTable[Sport]="","",BetTable[R1]/BetTable[TS]),"")</f>
        <v>0.98999999999999977</v>
      </c>
      <c r="AD1291" s="248" t="str">
        <f>IF(BetTable[O2]="","",#REF!/BetTable[TS])</f>
        <v/>
      </c>
      <c r="AE1291" s="248" t="str">
        <f>IFERROR(IF(BetTable[Sport]="","",#REF!/BetTable[TS]),"")</f>
        <v/>
      </c>
      <c r="AF1291" s="247">
        <f>IF(BetTable[Outcome]="Win",BetTable[WBA1-Commission],IF(BetTable[Outcome]="Win Half Stake",(BetTable[Stake]/2)+BetTable[WBA1-Commission]/2,IF(BetTable[Outcome]="Lose Half Stake",BetTable[Stake]/2,IF(BetTable[Outcome]="Lose",0,IF(BetTable[Outcome]="Void",BetTable[Stake],)))))</f>
        <v>0</v>
      </c>
      <c r="AG1291" s="247">
        <f>IF(BetTable[Outcome2]="Win",BetTable[WBA2-Commission],IF(BetTable[Outcome2]="Win Half Stake",(BetTable[S2]/2)+BetTable[WBA2-Commission]/2,IF(BetTable[Outcome2]="Lose Half Stake",BetTable[S2]/2,IF(BetTable[Outcome2]="Lose",0,IF(BetTable[Outcome2]="Void",BetTable[S2],)))))</f>
        <v>0</v>
      </c>
      <c r="AH1291" s="247">
        <f>IF(BetTable[Outcome3]="Win",BetTable[WBA3-Commission],IF(BetTable[Outcome3]="Win Half Stake",(BetTable[S3]/2)+BetTable[WBA3-Commission]/2,IF(BetTable[Outcome3]="Lose Half Stake",BetTable[S3]/2,IF(BetTable[Outcome3]="Lose",0,IF(BetTable[Outcome3]="Void",BetTable[S3],)))))</f>
        <v>0</v>
      </c>
      <c r="AI1291" s="251">
        <f>IF(BetTable[Outcome]="",AI1290,BetTable[Result]+AI1290)</f>
        <v>2724.6727499999993</v>
      </c>
      <c r="AJ1291" s="243"/>
    </row>
    <row r="1292" spans="1:36" x14ac:dyDescent="0.2">
      <c r="A1292" s="242" t="s">
        <v>2968</v>
      </c>
      <c r="B1292" s="243" t="s">
        <v>7</v>
      </c>
      <c r="C1292" s="244" t="s">
        <v>1714</v>
      </c>
      <c r="D1292" s="244"/>
      <c r="E1292" s="244"/>
      <c r="F1292" s="245"/>
      <c r="G1292" s="245"/>
      <c r="H1292" s="245"/>
      <c r="I1292" s="243" t="s">
        <v>3094</v>
      </c>
      <c r="J1292" s="246">
        <v>1.82</v>
      </c>
      <c r="K1292" s="246"/>
      <c r="L1292" s="246"/>
      <c r="M1292" s="247">
        <v>36</v>
      </c>
      <c r="N1292" s="247"/>
      <c r="O1292" s="247"/>
      <c r="P1292" s="242" t="s">
        <v>2877</v>
      </c>
      <c r="Q1292" s="242" t="s">
        <v>1132</v>
      </c>
      <c r="R1292" s="242" t="s">
        <v>3138</v>
      </c>
      <c r="S1292" s="248">
        <v>1.6678006549957301E-2</v>
      </c>
      <c r="T1292" s="249" t="s">
        <v>372</v>
      </c>
      <c r="U1292" s="249"/>
      <c r="V1292" s="249"/>
      <c r="W1292" s="250">
        <f>IF(BetTable[Sport]="","",BetTable[Stake]+BetTable[S2]+BetTable[S3])</f>
        <v>36</v>
      </c>
      <c r="X1292" s="247">
        <f>IF(BetTable[Odds]="","",(BetTable[WBA1-Commission])-BetTable[TS])</f>
        <v>29.52000000000001</v>
      </c>
      <c r="Y1292" s="251">
        <f>IF(BetTable[Outcome]="","",BetTable[WBA1]+BetTable[WBA2]+BetTable[WBA3]-BetTable[TS])</f>
        <v>29.52000000000001</v>
      </c>
      <c r="Z1292" s="247">
        <f>(((BetTable[Odds]-1)*BetTable[Stake])*(1-(BetTable[Comm %]))+BetTable[Stake])</f>
        <v>65.52000000000001</v>
      </c>
      <c r="AA1292" s="247">
        <f>(((BetTable[O2]-1)*BetTable[S2])*(1-(BetTable[C% 2]))+BetTable[S2])</f>
        <v>0</v>
      </c>
      <c r="AB1292" s="247">
        <f>(((BetTable[O3]-1)*BetTable[S3])*(1-(BetTable[C% 3]))+BetTable[S3])</f>
        <v>0</v>
      </c>
      <c r="AC1292" s="248">
        <f>IFERROR(IF(BetTable[Sport]="","",BetTable[R1]/BetTable[TS]),"")</f>
        <v>0.82000000000000028</v>
      </c>
      <c r="AD1292" s="248" t="str">
        <f>IF(BetTable[O2]="","",#REF!/BetTable[TS])</f>
        <v/>
      </c>
      <c r="AE1292" s="248" t="str">
        <f>IFERROR(IF(BetTable[Sport]="","",#REF!/BetTable[TS]),"")</f>
        <v/>
      </c>
      <c r="AF1292" s="247">
        <f>IF(BetTable[Outcome]="Win",BetTable[WBA1-Commission],IF(BetTable[Outcome]="Win Half Stake",(BetTable[Stake]/2)+BetTable[WBA1-Commission]/2,IF(BetTable[Outcome]="Lose Half Stake",BetTable[Stake]/2,IF(BetTable[Outcome]="Lose",0,IF(BetTable[Outcome]="Void",BetTable[Stake],)))))</f>
        <v>65.52000000000001</v>
      </c>
      <c r="AG1292" s="247">
        <f>IF(BetTable[Outcome2]="Win",BetTable[WBA2-Commission],IF(BetTable[Outcome2]="Win Half Stake",(BetTable[S2]/2)+BetTable[WBA2-Commission]/2,IF(BetTable[Outcome2]="Lose Half Stake",BetTable[S2]/2,IF(BetTable[Outcome2]="Lose",0,IF(BetTable[Outcome2]="Void",BetTable[S2],)))))</f>
        <v>0</v>
      </c>
      <c r="AH1292" s="247">
        <f>IF(BetTable[Outcome3]="Win",BetTable[WBA3-Commission],IF(BetTable[Outcome3]="Win Half Stake",(BetTable[S3]/2)+BetTable[WBA3-Commission]/2,IF(BetTable[Outcome3]="Lose Half Stake",BetTable[S3]/2,IF(BetTable[Outcome3]="Lose",0,IF(BetTable[Outcome3]="Void",BetTable[S3],)))))</f>
        <v>0</v>
      </c>
      <c r="AI1292" s="251">
        <f>IF(BetTable[Outcome]="",AI1291,BetTable[Result]+AI1291)</f>
        <v>2754.1927499999993</v>
      </c>
      <c r="AJ1292" s="243"/>
    </row>
    <row r="1293" spans="1:36" x14ac:dyDescent="0.2">
      <c r="A1293" s="242" t="s">
        <v>2968</v>
      </c>
      <c r="B1293" s="243" t="s">
        <v>200</v>
      </c>
      <c r="C1293" s="244" t="s">
        <v>1714</v>
      </c>
      <c r="D1293" s="244"/>
      <c r="E1293" s="244"/>
      <c r="F1293" s="245"/>
      <c r="G1293" s="245"/>
      <c r="H1293" s="245"/>
      <c r="I1293" s="243" t="s">
        <v>3139</v>
      </c>
      <c r="J1293" s="246">
        <v>2.2599999999999998</v>
      </c>
      <c r="K1293" s="246"/>
      <c r="L1293" s="246"/>
      <c r="M1293" s="247">
        <v>33</v>
      </c>
      <c r="N1293" s="247"/>
      <c r="O1293" s="247"/>
      <c r="P1293" s="242" t="s">
        <v>635</v>
      </c>
      <c r="Q1293" s="242" t="s">
        <v>466</v>
      </c>
      <c r="R1293" s="242" t="s">
        <v>3140</v>
      </c>
      <c r="S1293" s="248">
        <v>2.3073889601048898E-2</v>
      </c>
      <c r="T1293" s="249" t="s">
        <v>382</v>
      </c>
      <c r="U1293" s="249"/>
      <c r="V1293" s="249"/>
      <c r="W1293" s="250">
        <f>IF(BetTable[Sport]="","",BetTable[Stake]+BetTable[S2]+BetTable[S3])</f>
        <v>33</v>
      </c>
      <c r="X1293" s="247">
        <f>IF(BetTable[Odds]="","",(BetTable[WBA1-Commission])-BetTable[TS])</f>
        <v>41.579999999999984</v>
      </c>
      <c r="Y1293" s="251">
        <f>IF(BetTable[Outcome]="","",BetTable[WBA1]+BetTable[WBA2]+BetTable[WBA3]-BetTable[TS])</f>
        <v>-33</v>
      </c>
      <c r="Z1293" s="247">
        <f>(((BetTable[Odds]-1)*BetTable[Stake])*(1-(BetTable[Comm %]))+BetTable[Stake])</f>
        <v>74.579999999999984</v>
      </c>
      <c r="AA1293" s="247">
        <f>(((BetTable[O2]-1)*BetTable[S2])*(1-(BetTable[C% 2]))+BetTable[S2])</f>
        <v>0</v>
      </c>
      <c r="AB1293" s="247">
        <f>(((BetTable[O3]-1)*BetTable[S3])*(1-(BetTable[C% 3]))+BetTable[S3])</f>
        <v>0</v>
      </c>
      <c r="AC1293" s="248">
        <f>IFERROR(IF(BetTable[Sport]="","",BetTable[R1]/BetTable[TS]),"")</f>
        <v>1.2599999999999996</v>
      </c>
      <c r="AD1293" s="248" t="str">
        <f>IF(BetTable[O2]="","",#REF!/BetTable[TS])</f>
        <v/>
      </c>
      <c r="AE1293" s="248" t="str">
        <f>IFERROR(IF(BetTable[Sport]="","",#REF!/BetTable[TS]),"")</f>
        <v/>
      </c>
      <c r="AF1293" s="247">
        <f>IF(BetTable[Outcome]="Win",BetTable[WBA1-Commission],IF(BetTable[Outcome]="Win Half Stake",(BetTable[Stake]/2)+BetTable[WBA1-Commission]/2,IF(BetTable[Outcome]="Lose Half Stake",BetTable[Stake]/2,IF(BetTable[Outcome]="Lose",0,IF(BetTable[Outcome]="Void",BetTable[Stake],)))))</f>
        <v>0</v>
      </c>
      <c r="AG1293" s="247">
        <f>IF(BetTable[Outcome2]="Win",BetTable[WBA2-Commission],IF(BetTable[Outcome2]="Win Half Stake",(BetTable[S2]/2)+BetTable[WBA2-Commission]/2,IF(BetTable[Outcome2]="Lose Half Stake",BetTable[S2]/2,IF(BetTable[Outcome2]="Lose",0,IF(BetTable[Outcome2]="Void",BetTable[S2],)))))</f>
        <v>0</v>
      </c>
      <c r="AH1293" s="247">
        <f>IF(BetTable[Outcome3]="Win",BetTable[WBA3-Commission],IF(BetTable[Outcome3]="Win Half Stake",(BetTable[S3]/2)+BetTable[WBA3-Commission]/2,IF(BetTable[Outcome3]="Lose Half Stake",BetTable[S3]/2,IF(BetTable[Outcome3]="Lose",0,IF(BetTable[Outcome3]="Void",BetTable[S3],)))))</f>
        <v>0</v>
      </c>
      <c r="AI1293" s="251">
        <f>IF(BetTable[Outcome]="",AI1292,BetTable[Result]+AI1292)</f>
        <v>2721.1927499999993</v>
      </c>
      <c r="AJ1293" s="243"/>
    </row>
    <row r="1294" spans="1:36" x14ac:dyDescent="0.2">
      <c r="A1294" s="242" t="s">
        <v>2968</v>
      </c>
      <c r="B1294" s="243" t="s">
        <v>200</v>
      </c>
      <c r="C1294" s="244" t="s">
        <v>1714</v>
      </c>
      <c r="D1294" s="244"/>
      <c r="E1294" s="244"/>
      <c r="F1294" s="245"/>
      <c r="G1294" s="245"/>
      <c r="H1294" s="245"/>
      <c r="I1294" s="243" t="s">
        <v>3141</v>
      </c>
      <c r="J1294" s="246">
        <v>1.68</v>
      </c>
      <c r="K1294" s="246"/>
      <c r="L1294" s="246"/>
      <c r="M1294" s="247">
        <v>43</v>
      </c>
      <c r="N1294" s="247"/>
      <c r="O1294" s="247"/>
      <c r="P1294" s="242" t="s">
        <v>668</v>
      </c>
      <c r="Q1294" s="242" t="s">
        <v>540</v>
      </c>
      <c r="R1294" s="242" t="s">
        <v>3142</v>
      </c>
      <c r="S1294" s="248">
        <v>1.6377068297019501E-2</v>
      </c>
      <c r="T1294" s="249" t="s">
        <v>372</v>
      </c>
      <c r="U1294" s="249"/>
      <c r="V1294" s="249"/>
      <c r="W1294" s="250">
        <f>IF(BetTable[Sport]="","",BetTable[Stake]+BetTable[S2]+BetTable[S3])</f>
        <v>43</v>
      </c>
      <c r="X1294" s="247">
        <f>IF(BetTable[Odds]="","",(BetTable[WBA1-Commission])-BetTable[TS])</f>
        <v>29.239999999999995</v>
      </c>
      <c r="Y1294" s="251">
        <f>IF(BetTable[Outcome]="","",BetTable[WBA1]+BetTable[WBA2]+BetTable[WBA3]-BetTable[TS])</f>
        <v>29.239999999999995</v>
      </c>
      <c r="Z1294" s="247">
        <f>(((BetTable[Odds]-1)*BetTable[Stake])*(1-(BetTable[Comm %]))+BetTable[Stake])</f>
        <v>72.239999999999995</v>
      </c>
      <c r="AA1294" s="247">
        <f>(((BetTable[O2]-1)*BetTable[S2])*(1-(BetTable[C% 2]))+BetTable[S2])</f>
        <v>0</v>
      </c>
      <c r="AB1294" s="247">
        <f>(((BetTable[O3]-1)*BetTable[S3])*(1-(BetTable[C% 3]))+BetTable[S3])</f>
        <v>0</v>
      </c>
      <c r="AC1294" s="248">
        <f>IFERROR(IF(BetTable[Sport]="","",BetTable[R1]/BetTable[TS]),"")</f>
        <v>0.67999999999999983</v>
      </c>
      <c r="AD1294" s="248" t="str">
        <f>IF(BetTable[O2]="","",#REF!/BetTable[TS])</f>
        <v/>
      </c>
      <c r="AE1294" s="248" t="str">
        <f>IFERROR(IF(BetTable[Sport]="","",#REF!/BetTable[TS]),"")</f>
        <v/>
      </c>
      <c r="AF1294" s="247">
        <f>IF(BetTable[Outcome]="Win",BetTable[WBA1-Commission],IF(BetTable[Outcome]="Win Half Stake",(BetTable[Stake]/2)+BetTable[WBA1-Commission]/2,IF(BetTable[Outcome]="Lose Half Stake",BetTable[Stake]/2,IF(BetTable[Outcome]="Lose",0,IF(BetTable[Outcome]="Void",BetTable[Stake],)))))</f>
        <v>72.239999999999995</v>
      </c>
      <c r="AG1294" s="247">
        <f>IF(BetTable[Outcome2]="Win",BetTable[WBA2-Commission],IF(BetTable[Outcome2]="Win Half Stake",(BetTable[S2]/2)+BetTable[WBA2-Commission]/2,IF(BetTable[Outcome2]="Lose Half Stake",BetTable[S2]/2,IF(BetTable[Outcome2]="Lose",0,IF(BetTable[Outcome2]="Void",BetTable[S2],)))))</f>
        <v>0</v>
      </c>
      <c r="AH1294" s="247">
        <f>IF(BetTable[Outcome3]="Win",BetTable[WBA3-Commission],IF(BetTable[Outcome3]="Win Half Stake",(BetTable[S3]/2)+BetTable[WBA3-Commission]/2,IF(BetTable[Outcome3]="Lose Half Stake",BetTable[S3]/2,IF(BetTable[Outcome3]="Lose",0,IF(BetTable[Outcome3]="Void",BetTable[S3],)))))</f>
        <v>0</v>
      </c>
      <c r="AI1294" s="251">
        <f>IF(BetTable[Outcome]="",AI1293,BetTable[Result]+AI1293)</f>
        <v>2750.432749999999</v>
      </c>
      <c r="AJ1294" s="243"/>
    </row>
    <row r="1295" spans="1:36" x14ac:dyDescent="0.2">
      <c r="A1295" s="242" t="s">
        <v>2968</v>
      </c>
      <c r="B1295" s="243" t="s">
        <v>7</v>
      </c>
      <c r="C1295" s="244" t="s">
        <v>91</v>
      </c>
      <c r="D1295" s="244"/>
      <c r="E1295" s="244"/>
      <c r="F1295" s="245"/>
      <c r="G1295" s="245"/>
      <c r="H1295" s="245"/>
      <c r="I1295" s="243" t="s">
        <v>3038</v>
      </c>
      <c r="J1295" s="246">
        <v>1.98</v>
      </c>
      <c r="K1295" s="246"/>
      <c r="L1295" s="246"/>
      <c r="M1295" s="247">
        <v>39</v>
      </c>
      <c r="N1295" s="247"/>
      <c r="O1295" s="247"/>
      <c r="P1295" s="242" t="s">
        <v>3143</v>
      </c>
      <c r="Q1295" s="242" t="s">
        <v>530</v>
      </c>
      <c r="R1295" s="242" t="s">
        <v>3144</v>
      </c>
      <c r="S1295" s="248">
        <v>2.14628118474409E-2</v>
      </c>
      <c r="T1295" s="249" t="s">
        <v>382</v>
      </c>
      <c r="U1295" s="249"/>
      <c r="V1295" s="249"/>
      <c r="W1295" s="250">
        <f>IF(BetTable[Sport]="","",BetTable[Stake]+BetTable[S2]+BetTable[S3])</f>
        <v>39</v>
      </c>
      <c r="X1295" s="247">
        <f>IF(BetTable[Odds]="","",(BetTable[WBA1-Commission])-BetTable[TS])</f>
        <v>38.22</v>
      </c>
      <c r="Y1295" s="251">
        <f>IF(BetTable[Outcome]="","",BetTable[WBA1]+BetTable[WBA2]+BetTable[WBA3]-BetTable[TS])</f>
        <v>-39</v>
      </c>
      <c r="Z1295" s="247">
        <f>(((BetTable[Odds]-1)*BetTable[Stake])*(1-(BetTable[Comm %]))+BetTable[Stake])</f>
        <v>77.22</v>
      </c>
      <c r="AA1295" s="247">
        <f>(((BetTable[O2]-1)*BetTable[S2])*(1-(BetTable[C% 2]))+BetTable[S2])</f>
        <v>0</v>
      </c>
      <c r="AB1295" s="247">
        <f>(((BetTable[O3]-1)*BetTable[S3])*(1-(BetTable[C% 3]))+BetTable[S3])</f>
        <v>0</v>
      </c>
      <c r="AC1295" s="248">
        <f>IFERROR(IF(BetTable[Sport]="","",BetTable[R1]/BetTable[TS]),"")</f>
        <v>0.98</v>
      </c>
      <c r="AD1295" s="248" t="str">
        <f>IF(BetTable[O2]="","",#REF!/BetTable[TS])</f>
        <v/>
      </c>
      <c r="AE1295" s="248" t="str">
        <f>IFERROR(IF(BetTable[Sport]="","",#REF!/BetTable[TS]),"")</f>
        <v/>
      </c>
      <c r="AF1295" s="247">
        <f>IF(BetTable[Outcome]="Win",BetTable[WBA1-Commission],IF(BetTable[Outcome]="Win Half Stake",(BetTable[Stake]/2)+BetTable[WBA1-Commission]/2,IF(BetTable[Outcome]="Lose Half Stake",BetTable[Stake]/2,IF(BetTable[Outcome]="Lose",0,IF(BetTable[Outcome]="Void",BetTable[Stake],)))))</f>
        <v>0</v>
      </c>
      <c r="AG1295" s="247">
        <f>IF(BetTable[Outcome2]="Win",BetTable[WBA2-Commission],IF(BetTable[Outcome2]="Win Half Stake",(BetTable[S2]/2)+BetTable[WBA2-Commission]/2,IF(BetTable[Outcome2]="Lose Half Stake",BetTable[S2]/2,IF(BetTable[Outcome2]="Lose",0,IF(BetTable[Outcome2]="Void",BetTable[S2],)))))</f>
        <v>0</v>
      </c>
      <c r="AH1295" s="247">
        <f>IF(BetTable[Outcome3]="Win",BetTable[WBA3-Commission],IF(BetTable[Outcome3]="Win Half Stake",(BetTable[S3]/2)+BetTable[WBA3-Commission]/2,IF(BetTable[Outcome3]="Lose Half Stake",BetTable[S3]/2,IF(BetTable[Outcome3]="Lose",0,IF(BetTable[Outcome3]="Void",BetTable[S3],)))))</f>
        <v>0</v>
      </c>
      <c r="AI1295" s="251">
        <f>IF(BetTable[Outcome]="",AI1294,BetTable[Result]+AI1294)</f>
        <v>2711.432749999999</v>
      </c>
      <c r="AJ1295" s="243"/>
    </row>
    <row r="1296" spans="1:36" x14ac:dyDescent="0.2">
      <c r="A1296" s="242" t="s">
        <v>2968</v>
      </c>
      <c r="B1296" s="243" t="s">
        <v>7</v>
      </c>
      <c r="C1296" s="244" t="s">
        <v>1714</v>
      </c>
      <c r="D1296" s="244"/>
      <c r="E1296" s="244"/>
      <c r="F1296" s="245"/>
      <c r="G1296" s="245"/>
      <c r="H1296" s="245"/>
      <c r="I1296" s="243" t="s">
        <v>3145</v>
      </c>
      <c r="J1296" s="246">
        <v>1.91</v>
      </c>
      <c r="K1296" s="246"/>
      <c r="L1296" s="246"/>
      <c r="M1296" s="247">
        <v>65</v>
      </c>
      <c r="N1296" s="247"/>
      <c r="O1296" s="247"/>
      <c r="P1296" s="242" t="s">
        <v>3146</v>
      </c>
      <c r="Q1296" s="242" t="s">
        <v>836</v>
      </c>
      <c r="R1296" s="242" t="s">
        <v>3147</v>
      </c>
      <c r="S1296" s="248">
        <v>3.3430186379014001E-2</v>
      </c>
      <c r="T1296" s="249" t="s">
        <v>382</v>
      </c>
      <c r="U1296" s="249"/>
      <c r="V1296" s="249"/>
      <c r="W1296" s="250">
        <f>IF(BetTable[Sport]="","",BetTable[Stake]+BetTable[S2]+BetTable[S3])</f>
        <v>65</v>
      </c>
      <c r="X1296" s="247">
        <f>IF(BetTable[Odds]="","",(BetTable[WBA1-Commission])-BetTable[TS])</f>
        <v>59.149999999999991</v>
      </c>
      <c r="Y1296" s="251">
        <f>IF(BetTable[Outcome]="","",BetTable[WBA1]+BetTable[WBA2]+BetTable[WBA3]-BetTable[TS])</f>
        <v>-65</v>
      </c>
      <c r="Z1296" s="247">
        <f>(((BetTable[Odds]-1)*BetTable[Stake])*(1-(BetTable[Comm %]))+BetTable[Stake])</f>
        <v>124.14999999999999</v>
      </c>
      <c r="AA1296" s="247">
        <f>(((BetTable[O2]-1)*BetTable[S2])*(1-(BetTable[C% 2]))+BetTable[S2])</f>
        <v>0</v>
      </c>
      <c r="AB1296" s="247">
        <f>(((BetTable[O3]-1)*BetTable[S3])*(1-(BetTable[C% 3]))+BetTable[S3])</f>
        <v>0</v>
      </c>
      <c r="AC1296" s="248">
        <f>IFERROR(IF(BetTable[Sport]="","",BetTable[R1]/BetTable[TS]),"")</f>
        <v>0.90999999999999992</v>
      </c>
      <c r="AD1296" s="248" t="str">
        <f>IF(BetTable[O2]="","",#REF!/BetTable[TS])</f>
        <v/>
      </c>
      <c r="AE1296" s="248" t="str">
        <f>IFERROR(IF(BetTable[Sport]="","",#REF!/BetTable[TS]),"")</f>
        <v/>
      </c>
      <c r="AF1296" s="247">
        <f>IF(BetTable[Outcome]="Win",BetTable[WBA1-Commission],IF(BetTable[Outcome]="Win Half Stake",(BetTable[Stake]/2)+BetTable[WBA1-Commission]/2,IF(BetTable[Outcome]="Lose Half Stake",BetTable[Stake]/2,IF(BetTable[Outcome]="Lose",0,IF(BetTable[Outcome]="Void",BetTable[Stake],)))))</f>
        <v>0</v>
      </c>
      <c r="AG1296" s="247">
        <f>IF(BetTable[Outcome2]="Win",BetTable[WBA2-Commission],IF(BetTable[Outcome2]="Win Half Stake",(BetTable[S2]/2)+BetTable[WBA2-Commission]/2,IF(BetTable[Outcome2]="Lose Half Stake",BetTable[S2]/2,IF(BetTable[Outcome2]="Lose",0,IF(BetTable[Outcome2]="Void",BetTable[S2],)))))</f>
        <v>0</v>
      </c>
      <c r="AH1296" s="247">
        <f>IF(BetTable[Outcome3]="Win",BetTable[WBA3-Commission],IF(BetTable[Outcome3]="Win Half Stake",(BetTable[S3]/2)+BetTable[WBA3-Commission]/2,IF(BetTable[Outcome3]="Lose Half Stake",BetTable[S3]/2,IF(BetTable[Outcome3]="Lose",0,IF(BetTable[Outcome3]="Void",BetTable[S3],)))))</f>
        <v>0</v>
      </c>
      <c r="AI1296" s="251">
        <f>IF(BetTable[Outcome]="",AI1295,BetTable[Result]+AI1295)</f>
        <v>2646.432749999999</v>
      </c>
      <c r="AJ1296" s="243"/>
    </row>
    <row r="1297" spans="1:36" x14ac:dyDescent="0.2">
      <c r="A1297" s="242" t="s">
        <v>2968</v>
      </c>
      <c r="B1297" s="243" t="s">
        <v>200</v>
      </c>
      <c r="C1297" s="244" t="s">
        <v>1714</v>
      </c>
      <c r="D1297" s="244"/>
      <c r="E1297" s="244"/>
      <c r="F1297" s="245"/>
      <c r="G1297" s="245"/>
      <c r="H1297" s="245"/>
      <c r="I1297" s="243" t="s">
        <v>3141</v>
      </c>
      <c r="J1297" s="246">
        <v>1.95</v>
      </c>
      <c r="K1297" s="246"/>
      <c r="L1297" s="246"/>
      <c r="M1297" s="247">
        <v>44</v>
      </c>
      <c r="N1297" s="247"/>
      <c r="O1297" s="247"/>
      <c r="P1297" s="242" t="s">
        <v>351</v>
      </c>
      <c r="Q1297" s="242" t="s">
        <v>540</v>
      </c>
      <c r="R1297" s="242" t="s">
        <v>3148</v>
      </c>
      <c r="S1297" s="248">
        <v>2.3311438337720501E-2</v>
      </c>
      <c r="T1297" s="249" t="s">
        <v>372</v>
      </c>
      <c r="U1297" s="249"/>
      <c r="V1297" s="249"/>
      <c r="W1297" s="250">
        <f>IF(BetTable[Sport]="","",BetTable[Stake]+BetTable[S2]+BetTable[S3])</f>
        <v>44</v>
      </c>
      <c r="X1297" s="247">
        <f>IF(BetTable[Odds]="","",(BetTable[WBA1-Commission])-BetTable[TS])</f>
        <v>41.8</v>
      </c>
      <c r="Y1297" s="251">
        <f>IF(BetTable[Outcome]="","",BetTable[WBA1]+BetTable[WBA2]+BetTable[WBA3]-BetTable[TS])</f>
        <v>41.8</v>
      </c>
      <c r="Z1297" s="247">
        <f>(((BetTable[Odds]-1)*BetTable[Stake])*(1-(BetTable[Comm %]))+BetTable[Stake])</f>
        <v>85.8</v>
      </c>
      <c r="AA1297" s="247">
        <f>(((BetTable[O2]-1)*BetTable[S2])*(1-(BetTable[C% 2]))+BetTable[S2])</f>
        <v>0</v>
      </c>
      <c r="AB1297" s="247">
        <f>(((BetTable[O3]-1)*BetTable[S3])*(1-(BetTable[C% 3]))+BetTable[S3])</f>
        <v>0</v>
      </c>
      <c r="AC1297" s="248">
        <f>IFERROR(IF(BetTable[Sport]="","",BetTable[R1]/BetTable[TS]),"")</f>
        <v>0.95</v>
      </c>
      <c r="AD1297" s="248" t="str">
        <f>IF(BetTable[O2]="","",#REF!/BetTable[TS])</f>
        <v/>
      </c>
      <c r="AE1297" s="248" t="str">
        <f>IFERROR(IF(BetTable[Sport]="","",#REF!/BetTable[TS]),"")</f>
        <v/>
      </c>
      <c r="AF1297" s="247">
        <f>IF(BetTable[Outcome]="Win",BetTable[WBA1-Commission],IF(BetTable[Outcome]="Win Half Stake",(BetTable[Stake]/2)+BetTable[WBA1-Commission]/2,IF(BetTable[Outcome]="Lose Half Stake",BetTable[Stake]/2,IF(BetTable[Outcome]="Lose",0,IF(BetTable[Outcome]="Void",BetTable[Stake],)))))</f>
        <v>85.8</v>
      </c>
      <c r="AG1297" s="247">
        <f>IF(BetTable[Outcome2]="Win",BetTable[WBA2-Commission],IF(BetTable[Outcome2]="Win Half Stake",(BetTable[S2]/2)+BetTable[WBA2-Commission]/2,IF(BetTable[Outcome2]="Lose Half Stake",BetTable[S2]/2,IF(BetTable[Outcome2]="Lose",0,IF(BetTable[Outcome2]="Void",BetTable[S2],)))))</f>
        <v>0</v>
      </c>
      <c r="AH1297" s="247">
        <f>IF(BetTable[Outcome3]="Win",BetTable[WBA3-Commission],IF(BetTable[Outcome3]="Win Half Stake",(BetTable[S3]/2)+BetTable[WBA3-Commission]/2,IF(BetTable[Outcome3]="Lose Half Stake",BetTable[S3]/2,IF(BetTable[Outcome3]="Lose",0,IF(BetTable[Outcome3]="Void",BetTable[S3],)))))</f>
        <v>0</v>
      </c>
      <c r="AI1297" s="251">
        <f>IF(BetTable[Outcome]="",AI1296,BetTable[Result]+AI1296)</f>
        <v>2688.2327499999992</v>
      </c>
      <c r="AJ1297" s="243"/>
    </row>
    <row r="1298" spans="1:36" x14ac:dyDescent="0.2">
      <c r="A1298" s="242" t="s">
        <v>2968</v>
      </c>
      <c r="B1298" s="243" t="s">
        <v>201</v>
      </c>
      <c r="C1298" s="244" t="s">
        <v>91</v>
      </c>
      <c r="D1298" s="244"/>
      <c r="E1298" s="244"/>
      <c r="F1298" s="245"/>
      <c r="G1298" s="245"/>
      <c r="H1298" s="245"/>
      <c r="I1298" s="243" t="s">
        <v>3013</v>
      </c>
      <c r="J1298" s="246">
        <v>1.78</v>
      </c>
      <c r="K1298" s="246"/>
      <c r="L1298" s="246"/>
      <c r="M1298" s="247">
        <v>46</v>
      </c>
      <c r="N1298" s="247"/>
      <c r="O1298" s="247"/>
      <c r="P1298" s="242" t="s">
        <v>3149</v>
      </c>
      <c r="Q1298" s="242" t="s">
        <v>530</v>
      </c>
      <c r="R1298" s="242" t="s">
        <v>3150</v>
      </c>
      <c r="S1298" s="248">
        <v>2.0226760705133601E-2</v>
      </c>
      <c r="T1298" s="249" t="s">
        <v>372</v>
      </c>
      <c r="U1298" s="249"/>
      <c r="V1298" s="249"/>
      <c r="W1298" s="250">
        <f>IF(BetTable[Sport]="","",BetTable[Stake]+BetTable[S2]+BetTable[S3])</f>
        <v>46</v>
      </c>
      <c r="X1298" s="247">
        <f>IF(BetTable[Odds]="","",(BetTable[WBA1-Commission])-BetTable[TS])</f>
        <v>35.879999999999995</v>
      </c>
      <c r="Y1298" s="251">
        <f>IF(BetTable[Outcome]="","",BetTable[WBA1]+BetTable[WBA2]+BetTable[WBA3]-BetTable[TS])</f>
        <v>35.879999999999995</v>
      </c>
      <c r="Z1298" s="247">
        <f>(((BetTable[Odds]-1)*BetTable[Stake])*(1-(BetTable[Comm %]))+BetTable[Stake])</f>
        <v>81.88</v>
      </c>
      <c r="AA1298" s="247">
        <f>(((BetTable[O2]-1)*BetTable[S2])*(1-(BetTable[C% 2]))+BetTable[S2])</f>
        <v>0</v>
      </c>
      <c r="AB1298" s="247">
        <f>(((BetTable[O3]-1)*BetTable[S3])*(1-(BetTable[C% 3]))+BetTable[S3])</f>
        <v>0</v>
      </c>
      <c r="AC1298" s="248">
        <f>IFERROR(IF(BetTable[Sport]="","",BetTable[R1]/BetTable[TS]),"")</f>
        <v>0.77999999999999992</v>
      </c>
      <c r="AD1298" s="248" t="str">
        <f>IF(BetTable[O2]="","",#REF!/BetTable[TS])</f>
        <v/>
      </c>
      <c r="AE1298" s="248" t="str">
        <f>IFERROR(IF(BetTable[Sport]="","",#REF!/BetTable[TS]),"")</f>
        <v/>
      </c>
      <c r="AF1298" s="247">
        <f>IF(BetTable[Outcome]="Win",BetTable[WBA1-Commission],IF(BetTable[Outcome]="Win Half Stake",(BetTable[Stake]/2)+BetTable[WBA1-Commission]/2,IF(BetTable[Outcome]="Lose Half Stake",BetTable[Stake]/2,IF(BetTable[Outcome]="Lose",0,IF(BetTable[Outcome]="Void",BetTable[Stake],)))))</f>
        <v>81.88</v>
      </c>
      <c r="AG1298" s="247">
        <f>IF(BetTable[Outcome2]="Win",BetTable[WBA2-Commission],IF(BetTable[Outcome2]="Win Half Stake",(BetTable[S2]/2)+BetTable[WBA2-Commission]/2,IF(BetTable[Outcome2]="Lose Half Stake",BetTable[S2]/2,IF(BetTable[Outcome2]="Lose",0,IF(BetTable[Outcome2]="Void",BetTable[S2],)))))</f>
        <v>0</v>
      </c>
      <c r="AH1298" s="247">
        <f>IF(BetTable[Outcome3]="Win",BetTable[WBA3-Commission],IF(BetTable[Outcome3]="Win Half Stake",(BetTable[S3]/2)+BetTable[WBA3-Commission]/2,IF(BetTable[Outcome3]="Lose Half Stake",BetTable[S3]/2,IF(BetTable[Outcome3]="Lose",0,IF(BetTable[Outcome3]="Void",BetTable[S3],)))))</f>
        <v>0</v>
      </c>
      <c r="AI1298" s="251">
        <f>IF(BetTable[Outcome]="",AI1297,BetTable[Result]+AI1297)</f>
        <v>2724.1127499999993</v>
      </c>
      <c r="AJ1298" s="243"/>
    </row>
    <row r="1299" spans="1:36" x14ac:dyDescent="0.2">
      <c r="A1299" s="242" t="s">
        <v>3151</v>
      </c>
      <c r="B1299" s="243" t="s">
        <v>7</v>
      </c>
      <c r="C1299" s="244" t="s">
        <v>91</v>
      </c>
      <c r="D1299" s="244"/>
      <c r="E1299" s="244"/>
      <c r="F1299" s="245"/>
      <c r="G1299" s="245"/>
      <c r="H1299" s="245"/>
      <c r="I1299" s="243" t="s">
        <v>3152</v>
      </c>
      <c r="J1299" s="246">
        <v>1.9</v>
      </c>
      <c r="K1299" s="246"/>
      <c r="L1299" s="246"/>
      <c r="M1299" s="247">
        <v>64</v>
      </c>
      <c r="N1299" s="247"/>
      <c r="O1299" s="247"/>
      <c r="P1299" s="242" t="s">
        <v>3153</v>
      </c>
      <c r="Q1299" s="242" t="s">
        <v>968</v>
      </c>
      <c r="R1299" s="242" t="s">
        <v>3154</v>
      </c>
      <c r="S1299" s="248">
        <v>3.7729130471784E-2</v>
      </c>
      <c r="T1299" s="249" t="s">
        <v>382</v>
      </c>
      <c r="U1299" s="249"/>
      <c r="V1299" s="249"/>
      <c r="W1299" s="250">
        <f>IF(BetTable[Sport]="","",BetTable[Stake]+BetTable[S2]+BetTable[S3])</f>
        <v>64</v>
      </c>
      <c r="X1299" s="247">
        <f>IF(BetTable[Odds]="","",(BetTable[WBA1-Commission])-BetTable[TS])</f>
        <v>57.599999999999994</v>
      </c>
      <c r="Y1299" s="251">
        <f>IF(BetTable[Outcome]="","",BetTable[WBA1]+BetTable[WBA2]+BetTable[WBA3]-BetTable[TS])</f>
        <v>-64</v>
      </c>
      <c r="Z1299" s="247">
        <f>(((BetTable[Odds]-1)*BetTable[Stake])*(1-(BetTable[Comm %]))+BetTable[Stake])</f>
        <v>121.6</v>
      </c>
      <c r="AA1299" s="247">
        <f>(((BetTable[O2]-1)*BetTable[S2])*(1-(BetTable[C% 2]))+BetTable[S2])</f>
        <v>0</v>
      </c>
      <c r="AB1299" s="247">
        <f>(((BetTable[O3]-1)*BetTable[S3])*(1-(BetTable[C% 3]))+BetTable[S3])</f>
        <v>0</v>
      </c>
      <c r="AC1299" s="248">
        <f>IFERROR(IF(BetTable[Sport]="","",BetTable[R1]/BetTable[TS]),"")</f>
        <v>0.89999999999999991</v>
      </c>
      <c r="AD1299" s="248" t="str">
        <f>IF(BetTable[O2]="","",#REF!/BetTable[TS])</f>
        <v/>
      </c>
      <c r="AE1299" s="248" t="str">
        <f>IFERROR(IF(BetTable[Sport]="","",#REF!/BetTable[TS]),"")</f>
        <v/>
      </c>
      <c r="AF1299" s="247">
        <f>IF(BetTable[Outcome]="Win",BetTable[WBA1-Commission],IF(BetTable[Outcome]="Win Half Stake",(BetTable[Stake]/2)+BetTable[WBA1-Commission]/2,IF(BetTable[Outcome]="Lose Half Stake",BetTable[Stake]/2,IF(BetTable[Outcome]="Lose",0,IF(BetTable[Outcome]="Void",BetTable[Stake],)))))</f>
        <v>0</v>
      </c>
      <c r="AG1299" s="247">
        <f>IF(BetTable[Outcome2]="Win",BetTable[WBA2-Commission],IF(BetTable[Outcome2]="Win Half Stake",(BetTable[S2]/2)+BetTable[WBA2-Commission]/2,IF(BetTable[Outcome2]="Lose Half Stake",BetTable[S2]/2,IF(BetTable[Outcome2]="Lose",0,IF(BetTable[Outcome2]="Void",BetTable[S2],)))))</f>
        <v>0</v>
      </c>
      <c r="AH1299" s="247">
        <f>IF(BetTable[Outcome3]="Win",BetTable[WBA3-Commission],IF(BetTable[Outcome3]="Win Half Stake",(BetTable[S3]/2)+BetTable[WBA3-Commission]/2,IF(BetTable[Outcome3]="Lose Half Stake",BetTable[S3]/2,IF(BetTable[Outcome3]="Lose",0,IF(BetTable[Outcome3]="Void",BetTable[S3],)))))</f>
        <v>0</v>
      </c>
      <c r="AI1299" s="251">
        <f>IF(BetTable[Outcome]="",AI1298,BetTable[Result]+AI1298)</f>
        <v>2660.1127499999993</v>
      </c>
      <c r="AJ1299" s="243"/>
    </row>
    <row r="1300" spans="1:36" x14ac:dyDescent="0.2">
      <c r="A1300" s="242" t="s">
        <v>3151</v>
      </c>
      <c r="B1300" s="243" t="s">
        <v>7</v>
      </c>
      <c r="C1300" s="244" t="s">
        <v>1714</v>
      </c>
      <c r="D1300" s="244"/>
      <c r="E1300" s="244"/>
      <c r="F1300" s="245"/>
      <c r="G1300" s="245"/>
      <c r="H1300" s="245"/>
      <c r="I1300" s="243" t="s">
        <v>3155</v>
      </c>
      <c r="J1300" s="246">
        <v>1.88</v>
      </c>
      <c r="K1300" s="246"/>
      <c r="L1300" s="246"/>
      <c r="M1300" s="247">
        <v>52</v>
      </c>
      <c r="N1300" s="247"/>
      <c r="O1300" s="247"/>
      <c r="P1300" s="242" t="s">
        <v>3156</v>
      </c>
      <c r="Q1300" s="242" t="s">
        <v>1291</v>
      </c>
      <c r="R1300" s="242" t="s">
        <v>3157</v>
      </c>
      <c r="S1300" s="248">
        <v>2.59116651511077E-2</v>
      </c>
      <c r="T1300" s="249" t="s">
        <v>372</v>
      </c>
      <c r="U1300" s="249"/>
      <c r="V1300" s="249"/>
      <c r="W1300" s="250">
        <f>IF(BetTable[Sport]="","",BetTable[Stake]+BetTable[S2]+BetTable[S3])</f>
        <v>52</v>
      </c>
      <c r="X1300" s="247">
        <f>IF(BetTable[Odds]="","",(BetTable[WBA1-Commission])-BetTable[TS])</f>
        <v>45.759999999999991</v>
      </c>
      <c r="Y1300" s="251">
        <f>IF(BetTable[Outcome]="","",BetTable[WBA1]+BetTable[WBA2]+BetTable[WBA3]-BetTable[TS])</f>
        <v>45.759999999999991</v>
      </c>
      <c r="Z1300" s="247">
        <f>(((BetTable[Odds]-1)*BetTable[Stake])*(1-(BetTable[Comm %]))+BetTable[Stake])</f>
        <v>97.759999999999991</v>
      </c>
      <c r="AA1300" s="247">
        <f>(((BetTable[O2]-1)*BetTable[S2])*(1-(BetTable[C% 2]))+BetTable[S2])</f>
        <v>0</v>
      </c>
      <c r="AB1300" s="247">
        <f>(((BetTable[O3]-1)*BetTable[S3])*(1-(BetTable[C% 3]))+BetTable[S3])</f>
        <v>0</v>
      </c>
      <c r="AC1300" s="248">
        <f>IFERROR(IF(BetTable[Sport]="","",BetTable[R1]/BetTable[TS]),"")</f>
        <v>0.87999999999999978</v>
      </c>
      <c r="AD1300" s="248" t="str">
        <f>IF(BetTable[O2]="","",#REF!/BetTable[TS])</f>
        <v/>
      </c>
      <c r="AE1300" s="248" t="str">
        <f>IFERROR(IF(BetTable[Sport]="","",#REF!/BetTable[TS]),"")</f>
        <v/>
      </c>
      <c r="AF1300" s="247">
        <f>IF(BetTable[Outcome]="Win",BetTable[WBA1-Commission],IF(BetTable[Outcome]="Win Half Stake",(BetTable[Stake]/2)+BetTable[WBA1-Commission]/2,IF(BetTable[Outcome]="Lose Half Stake",BetTable[Stake]/2,IF(BetTable[Outcome]="Lose",0,IF(BetTable[Outcome]="Void",BetTable[Stake],)))))</f>
        <v>97.759999999999991</v>
      </c>
      <c r="AG1300" s="247">
        <f>IF(BetTable[Outcome2]="Win",BetTable[WBA2-Commission],IF(BetTable[Outcome2]="Win Half Stake",(BetTable[S2]/2)+BetTable[WBA2-Commission]/2,IF(BetTable[Outcome2]="Lose Half Stake",BetTable[S2]/2,IF(BetTable[Outcome2]="Lose",0,IF(BetTable[Outcome2]="Void",BetTable[S2],)))))</f>
        <v>0</v>
      </c>
      <c r="AH1300" s="247">
        <f>IF(BetTable[Outcome3]="Win",BetTable[WBA3-Commission],IF(BetTable[Outcome3]="Win Half Stake",(BetTable[S3]/2)+BetTable[WBA3-Commission]/2,IF(BetTable[Outcome3]="Lose Half Stake",BetTable[S3]/2,IF(BetTable[Outcome3]="Lose",0,IF(BetTable[Outcome3]="Void",BetTable[S3],)))))</f>
        <v>0</v>
      </c>
      <c r="AI1300" s="251">
        <f>IF(BetTable[Outcome]="",AI1299,BetTable[Result]+AI1299)</f>
        <v>2705.8727499999995</v>
      </c>
      <c r="AJ1300" s="243"/>
    </row>
    <row r="1301" spans="1:36" x14ac:dyDescent="0.2">
      <c r="A1301" s="242" t="s">
        <v>3151</v>
      </c>
      <c r="B1301" s="243" t="s">
        <v>7</v>
      </c>
      <c r="C1301" s="244" t="s">
        <v>91</v>
      </c>
      <c r="D1301" s="244"/>
      <c r="E1301" s="244"/>
      <c r="F1301" s="245"/>
      <c r="G1301" s="245"/>
      <c r="H1301" s="245"/>
      <c r="I1301" s="243" t="s">
        <v>3158</v>
      </c>
      <c r="J1301" s="246">
        <v>1.95</v>
      </c>
      <c r="K1301" s="246"/>
      <c r="L1301" s="246"/>
      <c r="M1301" s="247">
        <v>33</v>
      </c>
      <c r="N1301" s="247"/>
      <c r="O1301" s="247"/>
      <c r="P1301" s="242" t="s">
        <v>3159</v>
      </c>
      <c r="Q1301" s="242" t="s">
        <v>466</v>
      </c>
      <c r="R1301" s="242" t="s">
        <v>3160</v>
      </c>
      <c r="S1301" s="248">
        <v>1.7676988866198E-2</v>
      </c>
      <c r="T1301" s="249" t="s">
        <v>372</v>
      </c>
      <c r="U1301" s="249"/>
      <c r="V1301" s="249"/>
      <c r="W1301" s="250">
        <f>IF(BetTable[Sport]="","",BetTable[Stake]+BetTable[S2]+BetTable[S3])</f>
        <v>33</v>
      </c>
      <c r="X1301" s="247">
        <f>IF(BetTable[Odds]="","",(BetTable[WBA1-Commission])-BetTable[TS])</f>
        <v>31.349999999999994</v>
      </c>
      <c r="Y1301" s="251">
        <f>IF(BetTable[Outcome]="","",BetTable[WBA1]+BetTable[WBA2]+BetTable[WBA3]-BetTable[TS])</f>
        <v>31.349999999999994</v>
      </c>
      <c r="Z1301" s="247">
        <f>(((BetTable[Odds]-1)*BetTable[Stake])*(1-(BetTable[Comm %]))+BetTable[Stake])</f>
        <v>64.349999999999994</v>
      </c>
      <c r="AA1301" s="247">
        <f>(((BetTable[O2]-1)*BetTable[S2])*(1-(BetTable[C% 2]))+BetTable[S2])</f>
        <v>0</v>
      </c>
      <c r="AB1301" s="247">
        <f>(((BetTable[O3]-1)*BetTable[S3])*(1-(BetTable[C% 3]))+BetTable[S3])</f>
        <v>0</v>
      </c>
      <c r="AC1301" s="248">
        <f>IFERROR(IF(BetTable[Sport]="","",BetTable[R1]/BetTable[TS]),"")</f>
        <v>0.94999999999999984</v>
      </c>
      <c r="AD1301" s="248" t="str">
        <f>IF(BetTable[O2]="","",#REF!/BetTable[TS])</f>
        <v/>
      </c>
      <c r="AE1301" s="248" t="str">
        <f>IFERROR(IF(BetTable[Sport]="","",#REF!/BetTable[TS]),"")</f>
        <v/>
      </c>
      <c r="AF1301" s="247">
        <f>IF(BetTable[Outcome]="Win",BetTable[WBA1-Commission],IF(BetTable[Outcome]="Win Half Stake",(BetTable[Stake]/2)+BetTable[WBA1-Commission]/2,IF(BetTable[Outcome]="Lose Half Stake",BetTable[Stake]/2,IF(BetTable[Outcome]="Lose",0,IF(BetTable[Outcome]="Void",BetTable[Stake],)))))</f>
        <v>64.349999999999994</v>
      </c>
      <c r="AG1301" s="247">
        <f>IF(BetTable[Outcome2]="Win",BetTable[WBA2-Commission],IF(BetTable[Outcome2]="Win Half Stake",(BetTable[S2]/2)+BetTable[WBA2-Commission]/2,IF(BetTable[Outcome2]="Lose Half Stake",BetTable[S2]/2,IF(BetTable[Outcome2]="Lose",0,IF(BetTable[Outcome2]="Void",BetTable[S2],)))))</f>
        <v>0</v>
      </c>
      <c r="AH1301" s="247">
        <f>IF(BetTable[Outcome3]="Win",BetTable[WBA3-Commission],IF(BetTable[Outcome3]="Win Half Stake",(BetTable[S3]/2)+BetTable[WBA3-Commission]/2,IF(BetTable[Outcome3]="Lose Half Stake",BetTable[S3]/2,IF(BetTable[Outcome3]="Lose",0,IF(BetTable[Outcome3]="Void",BetTable[S3],)))))</f>
        <v>0</v>
      </c>
      <c r="AI1301" s="251">
        <f>IF(BetTable[Outcome]="",AI1300,BetTable[Result]+AI1300)</f>
        <v>2737.2227499999995</v>
      </c>
      <c r="AJ1301" s="243"/>
    </row>
    <row r="1302" spans="1:36" x14ac:dyDescent="0.2">
      <c r="A1302" s="242" t="s">
        <v>3151</v>
      </c>
      <c r="B1302" s="243" t="s">
        <v>7</v>
      </c>
      <c r="C1302" s="244" t="s">
        <v>1714</v>
      </c>
      <c r="D1302" s="244"/>
      <c r="E1302" s="244"/>
      <c r="F1302" s="245"/>
      <c r="G1302" s="245"/>
      <c r="H1302" s="245"/>
      <c r="I1302" s="243" t="s">
        <v>3161</v>
      </c>
      <c r="J1302" s="246">
        <v>2</v>
      </c>
      <c r="K1302" s="246"/>
      <c r="L1302" s="246"/>
      <c r="M1302" s="247">
        <v>62</v>
      </c>
      <c r="N1302" s="247"/>
      <c r="O1302" s="247"/>
      <c r="P1302" s="242" t="s">
        <v>3162</v>
      </c>
      <c r="Q1302" s="242" t="s">
        <v>530</v>
      </c>
      <c r="R1302" s="242" t="s">
        <v>3163</v>
      </c>
      <c r="S1302" s="248">
        <v>3.4660875111733901E-2</v>
      </c>
      <c r="T1302" s="249" t="s">
        <v>372</v>
      </c>
      <c r="U1302" s="249"/>
      <c r="V1302" s="249"/>
      <c r="W1302" s="250">
        <f>IF(BetTable[Sport]="","",BetTable[Stake]+BetTable[S2]+BetTable[S3])</f>
        <v>62</v>
      </c>
      <c r="X1302" s="247">
        <f>IF(BetTable[Odds]="","",(BetTable[WBA1-Commission])-BetTable[TS])</f>
        <v>62</v>
      </c>
      <c r="Y1302" s="251">
        <f>IF(BetTable[Outcome]="","",BetTable[WBA1]+BetTable[WBA2]+BetTable[WBA3]-BetTable[TS])</f>
        <v>62</v>
      </c>
      <c r="Z1302" s="247">
        <f>(((BetTable[Odds]-1)*BetTable[Stake])*(1-(BetTable[Comm %]))+BetTable[Stake])</f>
        <v>124</v>
      </c>
      <c r="AA1302" s="247">
        <f>(((BetTable[O2]-1)*BetTable[S2])*(1-(BetTable[C% 2]))+BetTable[S2])</f>
        <v>0</v>
      </c>
      <c r="AB1302" s="247">
        <f>(((BetTable[O3]-1)*BetTable[S3])*(1-(BetTable[C% 3]))+BetTable[S3])</f>
        <v>0</v>
      </c>
      <c r="AC1302" s="248">
        <f>IFERROR(IF(BetTable[Sport]="","",BetTable[R1]/BetTable[TS]),"")</f>
        <v>1</v>
      </c>
      <c r="AD1302" s="248" t="str">
        <f>IF(BetTable[O2]="","",#REF!/BetTable[TS])</f>
        <v/>
      </c>
      <c r="AE1302" s="248" t="str">
        <f>IFERROR(IF(BetTable[Sport]="","",#REF!/BetTable[TS]),"")</f>
        <v/>
      </c>
      <c r="AF1302" s="247">
        <f>IF(BetTable[Outcome]="Win",BetTable[WBA1-Commission],IF(BetTable[Outcome]="Win Half Stake",(BetTable[Stake]/2)+BetTable[WBA1-Commission]/2,IF(BetTable[Outcome]="Lose Half Stake",BetTable[Stake]/2,IF(BetTable[Outcome]="Lose",0,IF(BetTable[Outcome]="Void",BetTable[Stake],)))))</f>
        <v>124</v>
      </c>
      <c r="AG1302" s="247">
        <f>IF(BetTable[Outcome2]="Win",BetTable[WBA2-Commission],IF(BetTable[Outcome2]="Win Half Stake",(BetTable[S2]/2)+BetTable[WBA2-Commission]/2,IF(BetTable[Outcome2]="Lose Half Stake",BetTable[S2]/2,IF(BetTable[Outcome2]="Lose",0,IF(BetTable[Outcome2]="Void",BetTable[S2],)))))</f>
        <v>0</v>
      </c>
      <c r="AH1302" s="247">
        <f>IF(BetTable[Outcome3]="Win",BetTable[WBA3-Commission],IF(BetTable[Outcome3]="Win Half Stake",(BetTable[S3]/2)+BetTable[WBA3-Commission]/2,IF(BetTable[Outcome3]="Lose Half Stake",BetTable[S3]/2,IF(BetTable[Outcome3]="Lose",0,IF(BetTable[Outcome3]="Void",BetTable[S3],)))))</f>
        <v>0</v>
      </c>
      <c r="AI1302" s="251">
        <f>IF(BetTable[Outcome]="",AI1301,BetTable[Result]+AI1301)</f>
        <v>2799.2227499999995</v>
      </c>
      <c r="AJ1302" s="243"/>
    </row>
    <row r="1303" spans="1:36" x14ac:dyDescent="0.2">
      <c r="A1303" s="242" t="s">
        <v>3151</v>
      </c>
      <c r="B1303" s="243" t="s">
        <v>7</v>
      </c>
      <c r="C1303" s="244" t="s">
        <v>91</v>
      </c>
      <c r="D1303" s="244"/>
      <c r="E1303" s="244"/>
      <c r="F1303" s="245"/>
      <c r="G1303" s="245"/>
      <c r="H1303" s="245"/>
      <c r="I1303" s="243" t="s">
        <v>3164</v>
      </c>
      <c r="J1303" s="246">
        <v>1.96</v>
      </c>
      <c r="K1303" s="246"/>
      <c r="L1303" s="246"/>
      <c r="M1303" s="247">
        <v>34</v>
      </c>
      <c r="N1303" s="247"/>
      <c r="O1303" s="247"/>
      <c r="P1303" s="242" t="s">
        <v>2083</v>
      </c>
      <c r="Q1303" s="242" t="s">
        <v>569</v>
      </c>
      <c r="R1303" s="242" t="s">
        <v>3165</v>
      </c>
      <c r="S1303" s="248">
        <v>1.8229618881967401E-2</v>
      </c>
      <c r="T1303" s="249" t="s">
        <v>382</v>
      </c>
      <c r="U1303" s="249"/>
      <c r="V1303" s="249"/>
      <c r="W1303" s="250">
        <f>IF(BetTable[Sport]="","",BetTable[Stake]+BetTable[S2]+BetTable[S3])</f>
        <v>34</v>
      </c>
      <c r="X1303" s="247">
        <f>IF(BetTable[Odds]="","",(BetTable[WBA1-Commission])-BetTable[TS])</f>
        <v>32.64</v>
      </c>
      <c r="Y1303" s="251">
        <f>IF(BetTable[Outcome]="","",BetTable[WBA1]+BetTable[WBA2]+BetTable[WBA3]-BetTable[TS])</f>
        <v>-34</v>
      </c>
      <c r="Z1303" s="247">
        <f>(((BetTable[Odds]-1)*BetTable[Stake])*(1-(BetTable[Comm %]))+BetTable[Stake])</f>
        <v>66.64</v>
      </c>
      <c r="AA1303" s="247">
        <f>(((BetTable[O2]-1)*BetTable[S2])*(1-(BetTable[C% 2]))+BetTable[S2])</f>
        <v>0</v>
      </c>
      <c r="AB1303" s="247">
        <f>(((BetTable[O3]-1)*BetTable[S3])*(1-(BetTable[C% 3]))+BetTable[S3])</f>
        <v>0</v>
      </c>
      <c r="AC1303" s="248">
        <f>IFERROR(IF(BetTable[Sport]="","",BetTable[R1]/BetTable[TS]),"")</f>
        <v>0.96</v>
      </c>
      <c r="AD1303" s="248" t="str">
        <f>IF(BetTable[O2]="","",#REF!/BetTable[TS])</f>
        <v/>
      </c>
      <c r="AE1303" s="248" t="str">
        <f>IFERROR(IF(BetTable[Sport]="","",#REF!/BetTable[TS]),"")</f>
        <v/>
      </c>
      <c r="AF1303" s="247">
        <f>IF(BetTable[Outcome]="Win",BetTable[WBA1-Commission],IF(BetTable[Outcome]="Win Half Stake",(BetTable[Stake]/2)+BetTable[WBA1-Commission]/2,IF(BetTable[Outcome]="Lose Half Stake",BetTable[Stake]/2,IF(BetTable[Outcome]="Lose",0,IF(BetTable[Outcome]="Void",BetTable[Stake],)))))</f>
        <v>0</v>
      </c>
      <c r="AG1303" s="247">
        <f>IF(BetTable[Outcome2]="Win",BetTable[WBA2-Commission],IF(BetTable[Outcome2]="Win Half Stake",(BetTable[S2]/2)+BetTable[WBA2-Commission]/2,IF(BetTable[Outcome2]="Lose Half Stake",BetTable[S2]/2,IF(BetTable[Outcome2]="Lose",0,IF(BetTable[Outcome2]="Void",BetTable[S2],)))))</f>
        <v>0</v>
      </c>
      <c r="AH1303" s="247">
        <f>IF(BetTable[Outcome3]="Win",BetTable[WBA3-Commission],IF(BetTable[Outcome3]="Win Half Stake",(BetTable[S3]/2)+BetTable[WBA3-Commission]/2,IF(BetTable[Outcome3]="Lose Half Stake",BetTable[S3]/2,IF(BetTable[Outcome3]="Lose",0,IF(BetTable[Outcome3]="Void",BetTable[S3],)))))</f>
        <v>0</v>
      </c>
      <c r="AI1303" s="251">
        <f>IF(BetTable[Outcome]="",AI1302,BetTable[Result]+AI1302)</f>
        <v>2765.2227499999995</v>
      </c>
      <c r="AJ1303" s="243"/>
    </row>
    <row r="1304" spans="1:36" x14ac:dyDescent="0.2">
      <c r="A1304" s="242" t="s">
        <v>3151</v>
      </c>
      <c r="B1304" s="243" t="s">
        <v>7</v>
      </c>
      <c r="C1304" s="244" t="s">
        <v>1714</v>
      </c>
      <c r="D1304" s="244"/>
      <c r="E1304" s="244"/>
      <c r="F1304" s="245"/>
      <c r="G1304" s="245"/>
      <c r="H1304" s="245"/>
      <c r="I1304" s="243" t="s">
        <v>3166</v>
      </c>
      <c r="J1304" s="246">
        <v>1.96</v>
      </c>
      <c r="K1304" s="246"/>
      <c r="L1304" s="246"/>
      <c r="M1304" s="247">
        <v>30</v>
      </c>
      <c r="N1304" s="247"/>
      <c r="O1304" s="247"/>
      <c r="P1304" s="242" t="s">
        <v>3167</v>
      </c>
      <c r="Q1304" s="242" t="s">
        <v>569</v>
      </c>
      <c r="R1304" s="242" t="s">
        <v>3168</v>
      </c>
      <c r="S1304" s="248">
        <v>1.6296003909627401E-2</v>
      </c>
      <c r="T1304" s="249" t="s">
        <v>382</v>
      </c>
      <c r="U1304" s="249"/>
      <c r="V1304" s="249"/>
      <c r="W1304" s="250">
        <f>IF(BetTable[Sport]="","",BetTable[Stake]+BetTable[S2]+BetTable[S3])</f>
        <v>30</v>
      </c>
      <c r="X1304" s="247">
        <f>IF(BetTable[Odds]="","",(BetTable[WBA1-Commission])-BetTable[TS])</f>
        <v>28.799999999999997</v>
      </c>
      <c r="Y1304" s="251">
        <f>IF(BetTable[Outcome]="","",BetTable[WBA1]+BetTable[WBA2]+BetTable[WBA3]-BetTable[TS])</f>
        <v>-30</v>
      </c>
      <c r="Z1304" s="247">
        <f>(((BetTable[Odds]-1)*BetTable[Stake])*(1-(BetTable[Comm %]))+BetTable[Stake])</f>
        <v>58.8</v>
      </c>
      <c r="AA1304" s="247">
        <f>(((BetTable[O2]-1)*BetTable[S2])*(1-(BetTable[C% 2]))+BetTable[S2])</f>
        <v>0</v>
      </c>
      <c r="AB1304" s="247">
        <f>(((BetTable[O3]-1)*BetTable[S3])*(1-(BetTable[C% 3]))+BetTable[S3])</f>
        <v>0</v>
      </c>
      <c r="AC1304" s="248">
        <f>IFERROR(IF(BetTable[Sport]="","",BetTable[R1]/BetTable[TS]),"")</f>
        <v>0.95999999999999985</v>
      </c>
      <c r="AD1304" s="248" t="str">
        <f>IF(BetTable[O2]="","",#REF!/BetTable[TS])</f>
        <v/>
      </c>
      <c r="AE1304" s="248" t="str">
        <f>IFERROR(IF(BetTable[Sport]="","",#REF!/BetTable[TS]),"")</f>
        <v/>
      </c>
      <c r="AF1304" s="247">
        <f>IF(BetTable[Outcome]="Win",BetTable[WBA1-Commission],IF(BetTable[Outcome]="Win Half Stake",(BetTable[Stake]/2)+BetTable[WBA1-Commission]/2,IF(BetTable[Outcome]="Lose Half Stake",BetTable[Stake]/2,IF(BetTable[Outcome]="Lose",0,IF(BetTable[Outcome]="Void",BetTable[Stake],)))))</f>
        <v>0</v>
      </c>
      <c r="AG1304" s="247">
        <f>IF(BetTable[Outcome2]="Win",BetTable[WBA2-Commission],IF(BetTable[Outcome2]="Win Half Stake",(BetTable[S2]/2)+BetTable[WBA2-Commission]/2,IF(BetTable[Outcome2]="Lose Half Stake",BetTable[S2]/2,IF(BetTable[Outcome2]="Lose",0,IF(BetTable[Outcome2]="Void",BetTable[S2],)))))</f>
        <v>0</v>
      </c>
      <c r="AH1304" s="247">
        <f>IF(BetTable[Outcome3]="Win",BetTable[WBA3-Commission],IF(BetTable[Outcome3]="Win Half Stake",(BetTable[S3]/2)+BetTable[WBA3-Commission]/2,IF(BetTable[Outcome3]="Lose Half Stake",BetTable[S3]/2,IF(BetTable[Outcome3]="Lose",0,IF(BetTable[Outcome3]="Void",BetTable[S3],)))))</f>
        <v>0</v>
      </c>
      <c r="AI1304" s="251">
        <f>IF(BetTable[Outcome]="",AI1303,BetTable[Result]+AI1303)</f>
        <v>2735.2227499999995</v>
      </c>
      <c r="AJ1304" s="243"/>
    </row>
    <row r="1305" spans="1:36" x14ac:dyDescent="0.2">
      <c r="A1305" s="242" t="s">
        <v>3151</v>
      </c>
      <c r="B1305" s="243" t="s">
        <v>200</v>
      </c>
      <c r="C1305" s="244" t="s">
        <v>1714</v>
      </c>
      <c r="D1305" s="244"/>
      <c r="E1305" s="244"/>
      <c r="F1305" s="245"/>
      <c r="G1305" s="245"/>
      <c r="H1305" s="245"/>
      <c r="I1305" s="243" t="s">
        <v>3169</v>
      </c>
      <c r="J1305" s="246">
        <v>2.1240000000000001</v>
      </c>
      <c r="K1305" s="246"/>
      <c r="L1305" s="246"/>
      <c r="M1305" s="247">
        <v>46</v>
      </c>
      <c r="N1305" s="247"/>
      <c r="O1305" s="247"/>
      <c r="P1305" s="242" t="s">
        <v>360</v>
      </c>
      <c r="Q1305" s="242" t="s">
        <v>530</v>
      </c>
      <c r="R1305" s="242" t="s">
        <v>3170</v>
      </c>
      <c r="S1305" s="248">
        <v>2.9191177822686501E-2</v>
      </c>
      <c r="T1305" s="249" t="s">
        <v>382</v>
      </c>
      <c r="U1305" s="249"/>
      <c r="V1305" s="249"/>
      <c r="W1305" s="250">
        <f>IF(BetTable[Sport]="","",BetTable[Stake]+BetTable[S2]+BetTable[S3])</f>
        <v>46</v>
      </c>
      <c r="X1305" s="247">
        <f>IF(BetTable[Odds]="","",(BetTable[WBA1-Commission])-BetTable[TS])</f>
        <v>51.704000000000008</v>
      </c>
      <c r="Y1305" s="251">
        <f>IF(BetTable[Outcome]="","",BetTable[WBA1]+BetTable[WBA2]+BetTable[WBA3]-BetTable[TS])</f>
        <v>-46</v>
      </c>
      <c r="Z1305" s="247">
        <f>(((BetTable[Odds]-1)*BetTable[Stake])*(1-(BetTable[Comm %]))+BetTable[Stake])</f>
        <v>97.704000000000008</v>
      </c>
      <c r="AA1305" s="247">
        <f>(((BetTable[O2]-1)*BetTable[S2])*(1-(BetTable[C% 2]))+BetTable[S2])</f>
        <v>0</v>
      </c>
      <c r="AB1305" s="247">
        <f>(((BetTable[O3]-1)*BetTable[S3])*(1-(BetTable[C% 3]))+BetTable[S3])</f>
        <v>0</v>
      </c>
      <c r="AC1305" s="248">
        <f>IFERROR(IF(BetTable[Sport]="","",BetTable[R1]/BetTable[TS]),"")</f>
        <v>1.1240000000000001</v>
      </c>
      <c r="AD1305" s="248" t="str">
        <f>IF(BetTable[O2]="","",#REF!/BetTable[TS])</f>
        <v/>
      </c>
      <c r="AE1305" s="248" t="str">
        <f>IFERROR(IF(BetTable[Sport]="","",#REF!/BetTable[TS]),"")</f>
        <v/>
      </c>
      <c r="AF1305" s="247">
        <f>IF(BetTable[Outcome]="Win",BetTable[WBA1-Commission],IF(BetTable[Outcome]="Win Half Stake",(BetTable[Stake]/2)+BetTable[WBA1-Commission]/2,IF(BetTable[Outcome]="Lose Half Stake",BetTable[Stake]/2,IF(BetTable[Outcome]="Lose",0,IF(BetTable[Outcome]="Void",BetTable[Stake],)))))</f>
        <v>0</v>
      </c>
      <c r="AG1305" s="247">
        <f>IF(BetTable[Outcome2]="Win",BetTable[WBA2-Commission],IF(BetTable[Outcome2]="Win Half Stake",(BetTable[S2]/2)+BetTable[WBA2-Commission]/2,IF(BetTable[Outcome2]="Lose Half Stake",BetTable[S2]/2,IF(BetTable[Outcome2]="Lose",0,IF(BetTable[Outcome2]="Void",BetTable[S2],)))))</f>
        <v>0</v>
      </c>
      <c r="AH1305" s="247">
        <f>IF(BetTable[Outcome3]="Win",BetTable[WBA3-Commission],IF(BetTable[Outcome3]="Win Half Stake",(BetTable[S3]/2)+BetTable[WBA3-Commission]/2,IF(BetTable[Outcome3]="Lose Half Stake",BetTable[S3]/2,IF(BetTable[Outcome3]="Lose",0,IF(BetTable[Outcome3]="Void",BetTable[S3],)))))</f>
        <v>0</v>
      </c>
      <c r="AI1305" s="251">
        <f>IF(BetTable[Outcome]="",AI1304,BetTable[Result]+AI1304)</f>
        <v>2689.2227499999995</v>
      </c>
      <c r="AJ1305" s="243"/>
    </row>
    <row r="1306" spans="1:36" x14ac:dyDescent="0.2">
      <c r="A1306" s="242" t="s">
        <v>3151</v>
      </c>
      <c r="B1306" s="243" t="s">
        <v>8</v>
      </c>
      <c r="C1306" s="244" t="s">
        <v>91</v>
      </c>
      <c r="D1306" s="244"/>
      <c r="E1306" s="244"/>
      <c r="F1306" s="245"/>
      <c r="G1306" s="245"/>
      <c r="H1306" s="245"/>
      <c r="I1306" s="243" t="s">
        <v>3171</v>
      </c>
      <c r="J1306" s="246">
        <v>1.97</v>
      </c>
      <c r="K1306" s="246"/>
      <c r="L1306" s="246"/>
      <c r="M1306" s="247">
        <v>32</v>
      </c>
      <c r="N1306" s="247"/>
      <c r="O1306" s="247"/>
      <c r="P1306" s="242" t="s">
        <v>428</v>
      </c>
      <c r="Q1306" s="242" t="s">
        <v>656</v>
      </c>
      <c r="R1306" s="242" t="s">
        <v>3172</v>
      </c>
      <c r="S1306" s="248">
        <v>4.4362593174134497E-2</v>
      </c>
      <c r="T1306" s="249" t="s">
        <v>382</v>
      </c>
      <c r="U1306" s="249"/>
      <c r="V1306" s="249"/>
      <c r="W1306" s="250">
        <f>IF(BetTable[Sport]="","",BetTable[Stake]+BetTable[S2]+BetTable[S3])</f>
        <v>32</v>
      </c>
      <c r="X1306" s="247">
        <f>IF(BetTable[Odds]="","",(BetTable[WBA1-Commission])-BetTable[TS])</f>
        <v>31.04</v>
      </c>
      <c r="Y1306" s="251">
        <f>IF(BetTable[Outcome]="","",BetTable[WBA1]+BetTable[WBA2]+BetTable[WBA3]-BetTable[TS])</f>
        <v>-32</v>
      </c>
      <c r="Z1306" s="247">
        <f>(((BetTable[Odds]-1)*BetTable[Stake])*(1-(BetTable[Comm %]))+BetTable[Stake])</f>
        <v>63.04</v>
      </c>
      <c r="AA1306" s="247">
        <f>(((BetTable[O2]-1)*BetTable[S2])*(1-(BetTable[C% 2]))+BetTable[S2])</f>
        <v>0</v>
      </c>
      <c r="AB1306" s="247">
        <f>(((BetTable[O3]-1)*BetTable[S3])*(1-(BetTable[C% 3]))+BetTable[S3])</f>
        <v>0</v>
      </c>
      <c r="AC1306" s="248">
        <f>IFERROR(IF(BetTable[Sport]="","",BetTable[R1]/BetTable[TS]),"")</f>
        <v>0.97</v>
      </c>
      <c r="AD1306" s="248" t="str">
        <f>IF(BetTable[O2]="","",#REF!/BetTable[TS])</f>
        <v/>
      </c>
      <c r="AE1306" s="248" t="str">
        <f>IFERROR(IF(BetTable[Sport]="","",#REF!/BetTable[TS]),"")</f>
        <v/>
      </c>
      <c r="AF1306" s="247">
        <f>IF(BetTable[Outcome]="Win",BetTable[WBA1-Commission],IF(BetTable[Outcome]="Win Half Stake",(BetTable[Stake]/2)+BetTable[WBA1-Commission]/2,IF(BetTable[Outcome]="Lose Half Stake",BetTable[Stake]/2,IF(BetTable[Outcome]="Lose",0,IF(BetTable[Outcome]="Void",BetTable[Stake],)))))</f>
        <v>0</v>
      </c>
      <c r="AG1306" s="247">
        <f>IF(BetTable[Outcome2]="Win",BetTable[WBA2-Commission],IF(BetTable[Outcome2]="Win Half Stake",(BetTable[S2]/2)+BetTable[WBA2-Commission]/2,IF(BetTable[Outcome2]="Lose Half Stake",BetTable[S2]/2,IF(BetTable[Outcome2]="Lose",0,IF(BetTable[Outcome2]="Void",BetTable[S2],)))))</f>
        <v>0</v>
      </c>
      <c r="AH1306" s="247">
        <f>IF(BetTable[Outcome3]="Win",BetTable[WBA3-Commission],IF(BetTable[Outcome3]="Win Half Stake",(BetTable[S3]/2)+BetTable[WBA3-Commission]/2,IF(BetTable[Outcome3]="Lose Half Stake",BetTable[S3]/2,IF(BetTable[Outcome3]="Lose",0,IF(BetTable[Outcome3]="Void",BetTable[S3],)))))</f>
        <v>0</v>
      </c>
      <c r="AI1306" s="251">
        <f>IF(BetTable[Outcome]="",AI1305,BetTable[Result]+AI1305)</f>
        <v>2657.2227499999995</v>
      </c>
      <c r="AJ1306" s="243"/>
    </row>
    <row r="1307" spans="1:36" x14ac:dyDescent="0.2">
      <c r="A1307" s="242" t="s">
        <v>3151</v>
      </c>
      <c r="B1307" s="243" t="s">
        <v>201</v>
      </c>
      <c r="C1307" s="244" t="s">
        <v>91</v>
      </c>
      <c r="D1307" s="244"/>
      <c r="E1307" s="244"/>
      <c r="F1307" s="245"/>
      <c r="G1307" s="245"/>
      <c r="H1307" s="245"/>
      <c r="I1307" s="243" t="s">
        <v>3080</v>
      </c>
      <c r="J1307" s="246">
        <v>2.21</v>
      </c>
      <c r="K1307" s="246"/>
      <c r="L1307" s="246"/>
      <c r="M1307" s="247">
        <v>27</v>
      </c>
      <c r="N1307" s="247"/>
      <c r="O1307" s="247"/>
      <c r="P1307" s="242" t="s">
        <v>3173</v>
      </c>
      <c r="Q1307" s="242" t="s">
        <v>482</v>
      </c>
      <c r="R1307" s="242" t="s">
        <v>3174</v>
      </c>
      <c r="S1307" s="248">
        <v>1.8033596285106802E-2</v>
      </c>
      <c r="T1307" s="249" t="s">
        <v>382</v>
      </c>
      <c r="U1307" s="249"/>
      <c r="V1307" s="249"/>
      <c r="W1307" s="250">
        <f>IF(BetTable[Sport]="","",BetTable[Stake]+BetTable[S2]+BetTable[S3])</f>
        <v>27</v>
      </c>
      <c r="X1307" s="247">
        <f>IF(BetTable[Odds]="","",(BetTable[WBA1-Commission])-BetTable[TS])</f>
        <v>32.67</v>
      </c>
      <c r="Y1307" s="251">
        <f>IF(BetTable[Outcome]="","",BetTable[WBA1]+BetTable[WBA2]+BetTable[WBA3]-BetTable[TS])</f>
        <v>-27</v>
      </c>
      <c r="Z1307" s="247">
        <f>(((BetTable[Odds]-1)*BetTable[Stake])*(1-(BetTable[Comm %]))+BetTable[Stake])</f>
        <v>59.67</v>
      </c>
      <c r="AA1307" s="247">
        <f>(((BetTable[O2]-1)*BetTable[S2])*(1-(BetTable[C% 2]))+BetTable[S2])</f>
        <v>0</v>
      </c>
      <c r="AB1307" s="247">
        <f>(((BetTable[O3]-1)*BetTable[S3])*(1-(BetTable[C% 3]))+BetTable[S3])</f>
        <v>0</v>
      </c>
      <c r="AC1307" s="248">
        <f>IFERROR(IF(BetTable[Sport]="","",BetTable[R1]/BetTable[TS]),"")</f>
        <v>1.21</v>
      </c>
      <c r="AD1307" s="248" t="str">
        <f>IF(BetTable[O2]="","",#REF!/BetTable[TS])</f>
        <v/>
      </c>
      <c r="AE1307" s="248" t="str">
        <f>IFERROR(IF(BetTable[Sport]="","",#REF!/BetTable[TS]),"")</f>
        <v/>
      </c>
      <c r="AF1307" s="247">
        <f>IF(BetTable[Outcome]="Win",BetTable[WBA1-Commission],IF(BetTable[Outcome]="Win Half Stake",(BetTable[Stake]/2)+BetTable[WBA1-Commission]/2,IF(BetTable[Outcome]="Lose Half Stake",BetTable[Stake]/2,IF(BetTable[Outcome]="Lose",0,IF(BetTable[Outcome]="Void",BetTable[Stake],)))))</f>
        <v>0</v>
      </c>
      <c r="AG1307" s="247">
        <f>IF(BetTable[Outcome2]="Win",BetTable[WBA2-Commission],IF(BetTable[Outcome2]="Win Half Stake",(BetTable[S2]/2)+BetTable[WBA2-Commission]/2,IF(BetTable[Outcome2]="Lose Half Stake",BetTable[S2]/2,IF(BetTable[Outcome2]="Lose",0,IF(BetTable[Outcome2]="Void",BetTable[S2],)))))</f>
        <v>0</v>
      </c>
      <c r="AH1307" s="247">
        <f>IF(BetTable[Outcome3]="Win",BetTable[WBA3-Commission],IF(BetTable[Outcome3]="Win Half Stake",(BetTable[S3]/2)+BetTable[WBA3-Commission]/2,IF(BetTable[Outcome3]="Lose Half Stake",BetTable[S3]/2,IF(BetTable[Outcome3]="Lose",0,IF(BetTable[Outcome3]="Void",BetTable[S3],)))))</f>
        <v>0</v>
      </c>
      <c r="AI1307" s="251">
        <f>IF(BetTable[Outcome]="",AI1306,BetTable[Result]+AI1306)</f>
        <v>2630.2227499999995</v>
      </c>
      <c r="AJ1307" s="243"/>
    </row>
    <row r="1308" spans="1:36" x14ac:dyDescent="0.2">
      <c r="A1308" s="242" t="s">
        <v>3151</v>
      </c>
      <c r="B1308" s="243" t="s">
        <v>8</v>
      </c>
      <c r="C1308" s="244" t="s">
        <v>91</v>
      </c>
      <c r="D1308" s="244"/>
      <c r="E1308" s="244"/>
      <c r="F1308" s="245"/>
      <c r="G1308" s="245"/>
      <c r="H1308" s="245"/>
      <c r="I1308" s="243" t="s">
        <v>3175</v>
      </c>
      <c r="J1308" s="246">
        <v>2.16</v>
      </c>
      <c r="K1308" s="246"/>
      <c r="L1308" s="246"/>
      <c r="M1308" s="247">
        <v>28</v>
      </c>
      <c r="N1308" s="247"/>
      <c r="O1308" s="247"/>
      <c r="P1308" s="242" t="s">
        <v>435</v>
      </c>
      <c r="Q1308" s="242" t="s">
        <v>3176</v>
      </c>
      <c r="R1308" s="242" t="s">
        <v>3177</v>
      </c>
      <c r="S1308" s="248">
        <v>1.9595767076826798E-2</v>
      </c>
      <c r="T1308" s="249" t="s">
        <v>382</v>
      </c>
      <c r="U1308" s="249"/>
      <c r="V1308" s="249"/>
      <c r="W1308" s="250">
        <f>IF(BetTable[Sport]="","",BetTable[Stake]+BetTable[S2]+BetTable[S3])</f>
        <v>28</v>
      </c>
      <c r="X1308" s="247">
        <f>IF(BetTable[Odds]="","",(BetTable[WBA1-Commission])-BetTable[TS])</f>
        <v>32.480000000000004</v>
      </c>
      <c r="Y1308" s="251">
        <f>IF(BetTable[Outcome]="","",BetTable[WBA1]+BetTable[WBA2]+BetTable[WBA3]-BetTable[TS])</f>
        <v>-28</v>
      </c>
      <c r="Z1308" s="247">
        <f>(((BetTable[Odds]-1)*BetTable[Stake])*(1-(BetTable[Comm %]))+BetTable[Stake])</f>
        <v>60.480000000000004</v>
      </c>
      <c r="AA1308" s="247">
        <f>(((BetTable[O2]-1)*BetTable[S2])*(1-(BetTable[C% 2]))+BetTable[S2])</f>
        <v>0</v>
      </c>
      <c r="AB1308" s="247">
        <f>(((BetTable[O3]-1)*BetTable[S3])*(1-(BetTable[C% 3]))+BetTable[S3])</f>
        <v>0</v>
      </c>
      <c r="AC1308" s="248">
        <f>IFERROR(IF(BetTable[Sport]="","",BetTable[R1]/BetTable[TS]),"")</f>
        <v>1.1600000000000001</v>
      </c>
      <c r="AD1308" s="248" t="str">
        <f>IF(BetTable[O2]="","",#REF!/BetTable[TS])</f>
        <v/>
      </c>
      <c r="AE1308" s="248" t="str">
        <f>IFERROR(IF(BetTable[Sport]="","",#REF!/BetTable[TS]),"")</f>
        <v/>
      </c>
      <c r="AF1308" s="247">
        <f>IF(BetTable[Outcome]="Win",BetTable[WBA1-Commission],IF(BetTable[Outcome]="Win Half Stake",(BetTable[Stake]/2)+BetTable[WBA1-Commission]/2,IF(BetTable[Outcome]="Lose Half Stake",BetTable[Stake]/2,IF(BetTable[Outcome]="Lose",0,IF(BetTable[Outcome]="Void",BetTable[Stake],)))))</f>
        <v>0</v>
      </c>
      <c r="AG1308" s="247">
        <f>IF(BetTable[Outcome2]="Win",BetTable[WBA2-Commission],IF(BetTable[Outcome2]="Win Half Stake",(BetTable[S2]/2)+BetTable[WBA2-Commission]/2,IF(BetTable[Outcome2]="Lose Half Stake",BetTable[S2]/2,IF(BetTable[Outcome2]="Lose",0,IF(BetTable[Outcome2]="Void",BetTable[S2],)))))</f>
        <v>0</v>
      </c>
      <c r="AH1308" s="247">
        <f>IF(BetTable[Outcome3]="Win",BetTable[WBA3-Commission],IF(BetTable[Outcome3]="Win Half Stake",(BetTable[S3]/2)+BetTable[WBA3-Commission]/2,IF(BetTable[Outcome3]="Lose Half Stake",BetTable[S3]/2,IF(BetTable[Outcome3]="Lose",0,IF(BetTable[Outcome3]="Void",BetTable[S3],)))))</f>
        <v>0</v>
      </c>
      <c r="AI1308" s="251">
        <f>IF(BetTable[Outcome]="",AI1307,BetTable[Result]+AI1307)</f>
        <v>2602.2227499999995</v>
      </c>
      <c r="AJ1308" s="243"/>
    </row>
    <row r="1309" spans="1:36" x14ac:dyDescent="0.2">
      <c r="A1309" s="242" t="s">
        <v>3151</v>
      </c>
      <c r="B1309" s="243" t="s">
        <v>7</v>
      </c>
      <c r="C1309" s="244" t="s">
        <v>1714</v>
      </c>
      <c r="D1309" s="244"/>
      <c r="E1309" s="244"/>
      <c r="F1309" s="245"/>
      <c r="G1309" s="245"/>
      <c r="H1309" s="245"/>
      <c r="I1309" s="243" t="s">
        <v>3114</v>
      </c>
      <c r="J1309" s="246">
        <v>2.06</v>
      </c>
      <c r="K1309" s="246"/>
      <c r="L1309" s="246"/>
      <c r="M1309" s="247">
        <v>34</v>
      </c>
      <c r="N1309" s="247"/>
      <c r="O1309" s="247"/>
      <c r="P1309" s="242" t="s">
        <v>3178</v>
      </c>
      <c r="Q1309" s="242" t="s">
        <v>530</v>
      </c>
      <c r="R1309" s="242" t="s">
        <v>3179</v>
      </c>
      <c r="S1309" s="248">
        <v>2.0474904435752998E-2</v>
      </c>
      <c r="T1309" s="249" t="s">
        <v>382</v>
      </c>
      <c r="U1309" s="249"/>
      <c r="V1309" s="249"/>
      <c r="W1309" s="250">
        <f>IF(BetTable[Sport]="","",BetTable[Stake]+BetTable[S2]+BetTable[S3])</f>
        <v>34</v>
      </c>
      <c r="X1309" s="247">
        <f>IF(BetTable[Odds]="","",(BetTable[WBA1-Commission])-BetTable[TS])</f>
        <v>36.039999999999992</v>
      </c>
      <c r="Y1309" s="251">
        <f>IF(BetTable[Outcome]="","",BetTable[WBA1]+BetTable[WBA2]+BetTable[WBA3]-BetTable[TS])</f>
        <v>-34</v>
      </c>
      <c r="Z1309" s="247">
        <f>(((BetTable[Odds]-1)*BetTable[Stake])*(1-(BetTable[Comm %]))+BetTable[Stake])</f>
        <v>70.039999999999992</v>
      </c>
      <c r="AA1309" s="247">
        <f>(((BetTable[O2]-1)*BetTable[S2])*(1-(BetTable[C% 2]))+BetTable[S2])</f>
        <v>0</v>
      </c>
      <c r="AB1309" s="247">
        <f>(((BetTable[O3]-1)*BetTable[S3])*(1-(BetTable[C% 3]))+BetTable[S3])</f>
        <v>0</v>
      </c>
      <c r="AC1309" s="248">
        <f>IFERROR(IF(BetTable[Sport]="","",BetTable[R1]/BetTable[TS]),"")</f>
        <v>1.0599999999999998</v>
      </c>
      <c r="AD1309" s="248" t="str">
        <f>IF(BetTable[O2]="","",#REF!/BetTable[TS])</f>
        <v/>
      </c>
      <c r="AE1309" s="248" t="str">
        <f>IFERROR(IF(BetTable[Sport]="","",#REF!/BetTable[TS]),"")</f>
        <v/>
      </c>
      <c r="AF1309" s="247">
        <f>IF(BetTable[Outcome]="Win",BetTable[WBA1-Commission],IF(BetTable[Outcome]="Win Half Stake",(BetTable[Stake]/2)+BetTable[WBA1-Commission]/2,IF(BetTable[Outcome]="Lose Half Stake",BetTable[Stake]/2,IF(BetTable[Outcome]="Lose",0,IF(BetTable[Outcome]="Void",BetTable[Stake],)))))</f>
        <v>0</v>
      </c>
      <c r="AG1309" s="247">
        <f>IF(BetTable[Outcome2]="Win",BetTable[WBA2-Commission],IF(BetTable[Outcome2]="Win Half Stake",(BetTable[S2]/2)+BetTable[WBA2-Commission]/2,IF(BetTable[Outcome2]="Lose Half Stake",BetTable[S2]/2,IF(BetTable[Outcome2]="Lose",0,IF(BetTable[Outcome2]="Void",BetTable[S2],)))))</f>
        <v>0</v>
      </c>
      <c r="AH1309" s="247">
        <f>IF(BetTable[Outcome3]="Win",BetTable[WBA3-Commission],IF(BetTable[Outcome3]="Win Half Stake",(BetTable[S3]/2)+BetTable[WBA3-Commission]/2,IF(BetTable[Outcome3]="Lose Half Stake",BetTable[S3]/2,IF(BetTable[Outcome3]="Lose",0,IF(BetTable[Outcome3]="Void",BetTable[S3],)))))</f>
        <v>0</v>
      </c>
      <c r="AI1309" s="251">
        <f>IF(BetTable[Outcome]="",AI1308,BetTable[Result]+AI1308)</f>
        <v>2568.2227499999995</v>
      </c>
      <c r="AJ1309" s="243"/>
    </row>
    <row r="1310" spans="1:36" x14ac:dyDescent="0.2">
      <c r="A1310" s="242" t="s">
        <v>3151</v>
      </c>
      <c r="B1310" s="243" t="s">
        <v>8</v>
      </c>
      <c r="C1310" s="244" t="s">
        <v>91</v>
      </c>
      <c r="D1310" s="244"/>
      <c r="E1310" s="244"/>
      <c r="F1310" s="245"/>
      <c r="G1310" s="245"/>
      <c r="H1310" s="245"/>
      <c r="I1310" s="243" t="s">
        <v>3180</v>
      </c>
      <c r="J1310" s="246">
        <v>1.6</v>
      </c>
      <c r="K1310" s="246"/>
      <c r="L1310" s="246"/>
      <c r="M1310" s="247">
        <v>56</v>
      </c>
      <c r="N1310" s="247"/>
      <c r="O1310" s="247"/>
      <c r="P1310" s="242" t="s">
        <v>428</v>
      </c>
      <c r="Q1310" s="242" t="s">
        <v>495</v>
      </c>
      <c r="R1310" s="242" t="s">
        <v>3181</v>
      </c>
      <c r="S1310" s="248">
        <v>1.8736219201083301E-2</v>
      </c>
      <c r="T1310" s="249" t="s">
        <v>372</v>
      </c>
      <c r="U1310" s="249"/>
      <c r="V1310" s="249"/>
      <c r="W1310" s="250">
        <f>IF(BetTable[Sport]="","",BetTable[Stake]+BetTable[S2]+BetTable[S3])</f>
        <v>56</v>
      </c>
      <c r="X1310" s="247">
        <f>IF(BetTable[Odds]="","",(BetTable[WBA1-Commission])-BetTable[TS])</f>
        <v>33.600000000000009</v>
      </c>
      <c r="Y1310" s="251">
        <f>IF(BetTable[Outcome]="","",BetTable[WBA1]+BetTable[WBA2]+BetTable[WBA3]-BetTable[TS])</f>
        <v>33.600000000000009</v>
      </c>
      <c r="Z1310" s="247">
        <f>(((BetTable[Odds]-1)*BetTable[Stake])*(1-(BetTable[Comm %]))+BetTable[Stake])</f>
        <v>89.600000000000009</v>
      </c>
      <c r="AA1310" s="247">
        <f>(((BetTable[O2]-1)*BetTable[S2])*(1-(BetTable[C% 2]))+BetTable[S2])</f>
        <v>0</v>
      </c>
      <c r="AB1310" s="247">
        <f>(((BetTable[O3]-1)*BetTable[S3])*(1-(BetTable[C% 3]))+BetTable[S3])</f>
        <v>0</v>
      </c>
      <c r="AC1310" s="248">
        <f>IFERROR(IF(BetTable[Sport]="","",BetTable[R1]/BetTable[TS]),"")</f>
        <v>0.6000000000000002</v>
      </c>
      <c r="AD1310" s="248" t="str">
        <f>IF(BetTable[O2]="","",#REF!/BetTable[TS])</f>
        <v/>
      </c>
      <c r="AE1310" s="248" t="str">
        <f>IFERROR(IF(BetTable[Sport]="","",#REF!/BetTable[TS]),"")</f>
        <v/>
      </c>
      <c r="AF1310" s="247">
        <f>IF(BetTable[Outcome]="Win",BetTable[WBA1-Commission],IF(BetTable[Outcome]="Win Half Stake",(BetTable[Stake]/2)+BetTable[WBA1-Commission]/2,IF(BetTable[Outcome]="Lose Half Stake",BetTable[Stake]/2,IF(BetTable[Outcome]="Lose",0,IF(BetTable[Outcome]="Void",BetTable[Stake],)))))</f>
        <v>89.600000000000009</v>
      </c>
      <c r="AG1310" s="247">
        <f>IF(BetTable[Outcome2]="Win",BetTable[WBA2-Commission],IF(BetTable[Outcome2]="Win Half Stake",(BetTable[S2]/2)+BetTable[WBA2-Commission]/2,IF(BetTable[Outcome2]="Lose Half Stake",BetTable[S2]/2,IF(BetTable[Outcome2]="Lose",0,IF(BetTable[Outcome2]="Void",BetTable[S2],)))))</f>
        <v>0</v>
      </c>
      <c r="AH1310" s="247">
        <f>IF(BetTable[Outcome3]="Win",BetTable[WBA3-Commission],IF(BetTable[Outcome3]="Win Half Stake",(BetTable[S3]/2)+BetTable[WBA3-Commission]/2,IF(BetTable[Outcome3]="Lose Half Stake",BetTable[S3]/2,IF(BetTable[Outcome3]="Lose",0,IF(BetTable[Outcome3]="Void",BetTable[S3],)))))</f>
        <v>0</v>
      </c>
      <c r="AI1310" s="251">
        <f>IF(BetTable[Outcome]="",AI1309,BetTable[Result]+AI1309)</f>
        <v>2601.8227499999994</v>
      </c>
      <c r="AJ1310" s="243"/>
    </row>
    <row r="1311" spans="1:36" x14ac:dyDescent="0.2">
      <c r="A1311" s="242" t="s">
        <v>3151</v>
      </c>
      <c r="B1311" s="243" t="s">
        <v>7</v>
      </c>
      <c r="C1311" s="244" t="s">
        <v>91</v>
      </c>
      <c r="D1311" s="244"/>
      <c r="E1311" s="244"/>
      <c r="F1311" s="245"/>
      <c r="G1311" s="245"/>
      <c r="H1311" s="245"/>
      <c r="I1311" s="243" t="s">
        <v>3182</v>
      </c>
      <c r="J1311" s="246">
        <v>1.94</v>
      </c>
      <c r="K1311" s="246"/>
      <c r="L1311" s="246"/>
      <c r="M1311" s="247">
        <v>39</v>
      </c>
      <c r="N1311" s="247"/>
      <c r="O1311" s="247"/>
      <c r="P1311" s="242" t="s">
        <v>2803</v>
      </c>
      <c r="Q1311" s="242" t="s">
        <v>488</v>
      </c>
      <c r="R1311" s="242" t="s">
        <v>3183</v>
      </c>
      <c r="S1311" s="248">
        <v>2.0476622695269099E-2</v>
      </c>
      <c r="T1311" s="249" t="s">
        <v>372</v>
      </c>
      <c r="U1311" s="249"/>
      <c r="V1311" s="249"/>
      <c r="W1311" s="250">
        <f>IF(BetTable[Sport]="","",BetTable[Stake]+BetTable[S2]+BetTable[S3])</f>
        <v>39</v>
      </c>
      <c r="X1311" s="247">
        <f>IF(BetTable[Odds]="","",(BetTable[WBA1-Commission])-BetTable[TS])</f>
        <v>36.659999999999997</v>
      </c>
      <c r="Y1311" s="251">
        <f>IF(BetTable[Outcome]="","",BetTable[WBA1]+BetTable[WBA2]+BetTable[WBA3]-BetTable[TS])</f>
        <v>36.659999999999997</v>
      </c>
      <c r="Z1311" s="247">
        <f>(((BetTable[Odds]-1)*BetTable[Stake])*(1-(BetTable[Comm %]))+BetTable[Stake])</f>
        <v>75.66</v>
      </c>
      <c r="AA1311" s="247">
        <f>(((BetTable[O2]-1)*BetTable[S2])*(1-(BetTable[C% 2]))+BetTable[S2])</f>
        <v>0</v>
      </c>
      <c r="AB1311" s="247">
        <f>(((BetTable[O3]-1)*BetTable[S3])*(1-(BetTable[C% 3]))+BetTable[S3])</f>
        <v>0</v>
      </c>
      <c r="AC1311" s="248">
        <f>IFERROR(IF(BetTable[Sport]="","",BetTable[R1]/BetTable[TS]),"")</f>
        <v>0.94</v>
      </c>
      <c r="AD1311" s="248" t="str">
        <f>IF(BetTable[O2]="","",#REF!/BetTable[TS])</f>
        <v/>
      </c>
      <c r="AE1311" s="248" t="str">
        <f>IFERROR(IF(BetTable[Sport]="","",#REF!/BetTable[TS]),"")</f>
        <v/>
      </c>
      <c r="AF1311" s="247">
        <f>IF(BetTable[Outcome]="Win",BetTable[WBA1-Commission],IF(BetTable[Outcome]="Win Half Stake",(BetTable[Stake]/2)+BetTable[WBA1-Commission]/2,IF(BetTable[Outcome]="Lose Half Stake",BetTable[Stake]/2,IF(BetTable[Outcome]="Lose",0,IF(BetTable[Outcome]="Void",BetTable[Stake],)))))</f>
        <v>75.66</v>
      </c>
      <c r="AG1311" s="247">
        <f>IF(BetTable[Outcome2]="Win",BetTable[WBA2-Commission],IF(BetTable[Outcome2]="Win Half Stake",(BetTable[S2]/2)+BetTable[WBA2-Commission]/2,IF(BetTable[Outcome2]="Lose Half Stake",BetTable[S2]/2,IF(BetTable[Outcome2]="Lose",0,IF(BetTable[Outcome2]="Void",BetTable[S2],)))))</f>
        <v>0</v>
      </c>
      <c r="AH1311" s="247">
        <f>IF(BetTable[Outcome3]="Win",BetTable[WBA3-Commission],IF(BetTable[Outcome3]="Win Half Stake",(BetTable[S3]/2)+BetTable[WBA3-Commission]/2,IF(BetTable[Outcome3]="Lose Half Stake",BetTable[S3]/2,IF(BetTable[Outcome3]="Lose",0,IF(BetTable[Outcome3]="Void",BetTable[S3],)))))</f>
        <v>0</v>
      </c>
      <c r="AI1311" s="251">
        <f>IF(BetTable[Outcome]="",AI1310,BetTable[Result]+AI1310)</f>
        <v>2638.4827499999992</v>
      </c>
      <c r="AJ1311" s="243"/>
    </row>
    <row r="1312" spans="1:36" x14ac:dyDescent="0.2">
      <c r="A1312" s="242" t="s">
        <v>3151</v>
      </c>
      <c r="B1312" s="243" t="s">
        <v>175</v>
      </c>
      <c r="C1312" s="244" t="s">
        <v>91</v>
      </c>
      <c r="D1312" s="244"/>
      <c r="E1312" s="244"/>
      <c r="F1312" s="245"/>
      <c r="G1312" s="245"/>
      <c r="H1312" s="245"/>
      <c r="I1312" s="243" t="s">
        <v>2980</v>
      </c>
      <c r="J1312" s="246">
        <v>1.89</v>
      </c>
      <c r="K1312" s="246"/>
      <c r="L1312" s="246"/>
      <c r="M1312" s="247">
        <v>63</v>
      </c>
      <c r="N1312" s="247"/>
      <c r="O1312" s="247"/>
      <c r="P1312" s="242" t="s">
        <v>435</v>
      </c>
      <c r="Q1312" s="242" t="s">
        <v>659</v>
      </c>
      <c r="R1312" s="242" t="s">
        <v>3184</v>
      </c>
      <c r="S1312" s="248">
        <v>3.12633684351344E-2</v>
      </c>
      <c r="T1312" s="249" t="s">
        <v>383</v>
      </c>
      <c r="U1312" s="249"/>
      <c r="V1312" s="249"/>
      <c r="W1312" s="250">
        <f>IF(BetTable[Sport]="","",BetTable[Stake]+BetTable[S2]+BetTable[S3])</f>
        <v>63</v>
      </c>
      <c r="X1312" s="247">
        <f>IF(BetTable[Odds]="","",(BetTable[WBA1-Commission])-BetTable[TS])</f>
        <v>56.069999999999993</v>
      </c>
      <c r="Y1312" s="251">
        <f>IF(BetTable[Outcome]="","",BetTable[WBA1]+BetTable[WBA2]+BetTable[WBA3]-BetTable[TS])</f>
        <v>0</v>
      </c>
      <c r="Z1312" s="247">
        <f>(((BetTable[Odds]-1)*BetTable[Stake])*(1-(BetTable[Comm %]))+BetTable[Stake])</f>
        <v>119.07</v>
      </c>
      <c r="AA1312" s="247">
        <f>(((BetTable[O2]-1)*BetTable[S2])*(1-(BetTable[C% 2]))+BetTable[S2])</f>
        <v>0</v>
      </c>
      <c r="AB1312" s="247">
        <f>(((BetTable[O3]-1)*BetTable[S3])*(1-(BetTable[C% 3]))+BetTable[S3])</f>
        <v>0</v>
      </c>
      <c r="AC1312" s="248">
        <f>IFERROR(IF(BetTable[Sport]="","",BetTable[R1]/BetTable[TS]),"")</f>
        <v>0.8899999999999999</v>
      </c>
      <c r="AD1312" s="248" t="str">
        <f>IF(BetTable[O2]="","",#REF!/BetTable[TS])</f>
        <v/>
      </c>
      <c r="AE1312" s="248" t="str">
        <f>IFERROR(IF(BetTable[Sport]="","",#REF!/BetTable[TS]),"")</f>
        <v/>
      </c>
      <c r="AF1312" s="247">
        <f>IF(BetTable[Outcome]="Win",BetTable[WBA1-Commission],IF(BetTable[Outcome]="Win Half Stake",(BetTable[Stake]/2)+BetTable[WBA1-Commission]/2,IF(BetTable[Outcome]="Lose Half Stake",BetTable[Stake]/2,IF(BetTable[Outcome]="Lose",0,IF(BetTable[Outcome]="Void",BetTable[Stake],)))))</f>
        <v>63</v>
      </c>
      <c r="AG1312" s="247">
        <f>IF(BetTable[Outcome2]="Win",BetTable[WBA2-Commission],IF(BetTable[Outcome2]="Win Half Stake",(BetTable[S2]/2)+BetTable[WBA2-Commission]/2,IF(BetTable[Outcome2]="Lose Half Stake",BetTable[S2]/2,IF(BetTable[Outcome2]="Lose",0,IF(BetTable[Outcome2]="Void",BetTable[S2],)))))</f>
        <v>0</v>
      </c>
      <c r="AH1312" s="247">
        <f>IF(BetTable[Outcome3]="Win",BetTable[WBA3-Commission],IF(BetTable[Outcome3]="Win Half Stake",(BetTable[S3]/2)+BetTable[WBA3-Commission]/2,IF(BetTable[Outcome3]="Lose Half Stake",BetTable[S3]/2,IF(BetTable[Outcome3]="Lose",0,IF(BetTable[Outcome3]="Void",BetTable[S3],)))))</f>
        <v>0</v>
      </c>
      <c r="AI1312" s="251">
        <f>IF(BetTable[Outcome]="",AI1311,BetTable[Result]+AI1311)</f>
        <v>2638.4827499999992</v>
      </c>
      <c r="AJ1312" s="243"/>
    </row>
    <row r="1313" spans="1:36" x14ac:dyDescent="0.2">
      <c r="A1313" s="242" t="s">
        <v>3151</v>
      </c>
      <c r="B1313" s="243" t="s">
        <v>200</v>
      </c>
      <c r="C1313" s="244" t="s">
        <v>185</v>
      </c>
      <c r="D1313" s="244"/>
      <c r="E1313" s="244"/>
      <c r="F1313" s="245"/>
      <c r="G1313" s="245"/>
      <c r="H1313" s="245"/>
      <c r="I1313" s="243" t="s">
        <v>3185</v>
      </c>
      <c r="J1313" s="246">
        <v>5</v>
      </c>
      <c r="K1313" s="246"/>
      <c r="L1313" s="246"/>
      <c r="M1313" s="247">
        <v>8</v>
      </c>
      <c r="N1313" s="247"/>
      <c r="O1313" s="247"/>
      <c r="P1313" s="242" t="s">
        <v>428</v>
      </c>
      <c r="Q1313" s="242" t="s">
        <v>3186</v>
      </c>
      <c r="R1313" s="242" t="s">
        <v>3187</v>
      </c>
      <c r="S1313" s="248">
        <v>1.7705885288542399E-2</v>
      </c>
      <c r="T1313" s="249" t="s">
        <v>382</v>
      </c>
      <c r="U1313" s="249"/>
      <c r="V1313" s="249"/>
      <c r="W1313" s="250">
        <f>IF(BetTable[Sport]="","",BetTable[Stake]+BetTable[S2]+BetTable[S3])</f>
        <v>8</v>
      </c>
      <c r="X1313" s="247">
        <f>IF(BetTable[Odds]="","",(BetTable[WBA1-Commission])-BetTable[TS])</f>
        <v>32</v>
      </c>
      <c r="Y1313" s="251">
        <f>IF(BetTable[Outcome]="","",BetTable[WBA1]+BetTable[WBA2]+BetTable[WBA3]-BetTable[TS])</f>
        <v>-8</v>
      </c>
      <c r="Z1313" s="247">
        <f>(((BetTable[Odds]-1)*BetTable[Stake])*(1-(BetTable[Comm %]))+BetTable[Stake])</f>
        <v>40</v>
      </c>
      <c r="AA1313" s="247">
        <f>(((BetTable[O2]-1)*BetTable[S2])*(1-(BetTable[C% 2]))+BetTable[S2])</f>
        <v>0</v>
      </c>
      <c r="AB1313" s="247">
        <f>(((BetTable[O3]-1)*BetTable[S3])*(1-(BetTable[C% 3]))+BetTable[S3])</f>
        <v>0</v>
      </c>
      <c r="AC1313" s="248">
        <f>IFERROR(IF(BetTable[Sport]="","",BetTable[R1]/BetTable[TS]),"")</f>
        <v>4</v>
      </c>
      <c r="AD1313" s="248" t="str">
        <f>IF(BetTable[O2]="","",#REF!/BetTable[TS])</f>
        <v/>
      </c>
      <c r="AE1313" s="248" t="str">
        <f>IFERROR(IF(BetTable[Sport]="","",#REF!/BetTable[TS]),"")</f>
        <v/>
      </c>
      <c r="AF1313" s="247">
        <f>IF(BetTable[Outcome]="Win",BetTable[WBA1-Commission],IF(BetTable[Outcome]="Win Half Stake",(BetTable[Stake]/2)+BetTable[WBA1-Commission]/2,IF(BetTable[Outcome]="Lose Half Stake",BetTable[Stake]/2,IF(BetTable[Outcome]="Lose",0,IF(BetTable[Outcome]="Void",BetTable[Stake],)))))</f>
        <v>0</v>
      </c>
      <c r="AG1313" s="247">
        <f>IF(BetTable[Outcome2]="Win",BetTable[WBA2-Commission],IF(BetTable[Outcome2]="Win Half Stake",(BetTable[S2]/2)+BetTable[WBA2-Commission]/2,IF(BetTable[Outcome2]="Lose Half Stake",BetTable[S2]/2,IF(BetTable[Outcome2]="Lose",0,IF(BetTable[Outcome2]="Void",BetTable[S2],)))))</f>
        <v>0</v>
      </c>
      <c r="AH1313" s="247">
        <f>IF(BetTable[Outcome3]="Win",BetTable[WBA3-Commission],IF(BetTable[Outcome3]="Win Half Stake",(BetTable[S3]/2)+BetTable[WBA3-Commission]/2,IF(BetTable[Outcome3]="Lose Half Stake",BetTable[S3]/2,IF(BetTable[Outcome3]="Lose",0,IF(BetTable[Outcome3]="Void",BetTable[S3],)))))</f>
        <v>0</v>
      </c>
      <c r="AI1313" s="251">
        <f>IF(BetTable[Outcome]="",AI1312,BetTable[Result]+AI1312)</f>
        <v>2630.4827499999992</v>
      </c>
      <c r="AJ1313" s="243"/>
    </row>
    <row r="1314" spans="1:36" x14ac:dyDescent="0.2">
      <c r="A1314" s="242" t="s">
        <v>3151</v>
      </c>
      <c r="B1314" s="243" t="s">
        <v>200</v>
      </c>
      <c r="C1314" s="244" t="s">
        <v>1714</v>
      </c>
      <c r="D1314" s="244"/>
      <c r="E1314" s="244"/>
      <c r="F1314" s="245"/>
      <c r="G1314" s="245"/>
      <c r="H1314" s="245"/>
      <c r="I1314" s="243" t="s">
        <v>3188</v>
      </c>
      <c r="J1314" s="246">
        <v>2.13</v>
      </c>
      <c r="K1314" s="246"/>
      <c r="L1314" s="246"/>
      <c r="M1314" s="247">
        <v>46</v>
      </c>
      <c r="N1314" s="247"/>
      <c r="O1314" s="247"/>
      <c r="P1314" s="242" t="s">
        <v>688</v>
      </c>
      <c r="Q1314" s="242" t="s">
        <v>466</v>
      </c>
      <c r="R1314" s="242" t="s">
        <v>3189</v>
      </c>
      <c r="S1314" s="248">
        <v>2.89033467865587E-2</v>
      </c>
      <c r="T1314" s="249" t="s">
        <v>382</v>
      </c>
      <c r="U1314" s="249"/>
      <c r="V1314" s="249"/>
      <c r="W1314" s="250">
        <f>IF(BetTable[Sport]="","",BetTable[Stake]+BetTable[S2]+BetTable[S3])</f>
        <v>46</v>
      </c>
      <c r="X1314" s="247">
        <f>IF(BetTable[Odds]="","",(BetTable[WBA1-Commission])-BetTable[TS])</f>
        <v>51.97999999999999</v>
      </c>
      <c r="Y1314" s="251">
        <f>IF(BetTable[Outcome]="","",BetTable[WBA1]+BetTable[WBA2]+BetTable[WBA3]-BetTable[TS])</f>
        <v>-46</v>
      </c>
      <c r="Z1314" s="247">
        <f>(((BetTable[Odds]-1)*BetTable[Stake])*(1-(BetTable[Comm %]))+BetTable[Stake])</f>
        <v>97.97999999999999</v>
      </c>
      <c r="AA1314" s="247">
        <f>(((BetTable[O2]-1)*BetTable[S2])*(1-(BetTable[C% 2]))+BetTable[S2])</f>
        <v>0</v>
      </c>
      <c r="AB1314" s="247">
        <f>(((BetTable[O3]-1)*BetTable[S3])*(1-(BetTable[C% 3]))+BetTable[S3])</f>
        <v>0</v>
      </c>
      <c r="AC1314" s="248">
        <f>IFERROR(IF(BetTable[Sport]="","",BetTable[R1]/BetTable[TS]),"")</f>
        <v>1.1299999999999997</v>
      </c>
      <c r="AD1314" s="248" t="str">
        <f>IF(BetTable[O2]="","",#REF!/BetTable[TS])</f>
        <v/>
      </c>
      <c r="AE1314" s="248" t="str">
        <f>IFERROR(IF(BetTable[Sport]="","",#REF!/BetTable[TS]),"")</f>
        <v/>
      </c>
      <c r="AF1314" s="247">
        <f>IF(BetTable[Outcome]="Win",BetTable[WBA1-Commission],IF(BetTable[Outcome]="Win Half Stake",(BetTable[Stake]/2)+BetTable[WBA1-Commission]/2,IF(BetTable[Outcome]="Lose Half Stake",BetTable[Stake]/2,IF(BetTable[Outcome]="Lose",0,IF(BetTable[Outcome]="Void",BetTable[Stake],)))))</f>
        <v>0</v>
      </c>
      <c r="AG1314" s="247">
        <f>IF(BetTable[Outcome2]="Win",BetTable[WBA2-Commission],IF(BetTable[Outcome2]="Win Half Stake",(BetTable[S2]/2)+BetTable[WBA2-Commission]/2,IF(BetTable[Outcome2]="Lose Half Stake",BetTable[S2]/2,IF(BetTable[Outcome2]="Lose",0,IF(BetTable[Outcome2]="Void",BetTable[S2],)))))</f>
        <v>0</v>
      </c>
      <c r="AH1314" s="247">
        <f>IF(BetTable[Outcome3]="Win",BetTable[WBA3-Commission],IF(BetTable[Outcome3]="Win Half Stake",(BetTable[S3]/2)+BetTable[WBA3-Commission]/2,IF(BetTable[Outcome3]="Lose Half Stake",BetTable[S3]/2,IF(BetTable[Outcome3]="Lose",0,IF(BetTable[Outcome3]="Void",BetTable[S3],)))))</f>
        <v>0</v>
      </c>
      <c r="AI1314" s="251">
        <f>IF(BetTable[Outcome]="",AI1313,BetTable[Result]+AI1313)</f>
        <v>2584.4827499999992</v>
      </c>
      <c r="AJ1314" s="243"/>
    </row>
    <row r="1315" spans="1:36" x14ac:dyDescent="0.2">
      <c r="A1315" s="242" t="s">
        <v>3151</v>
      </c>
      <c r="B1315" s="243" t="s">
        <v>200</v>
      </c>
      <c r="C1315" s="244" t="s">
        <v>1714</v>
      </c>
      <c r="D1315" s="244"/>
      <c r="E1315" s="244"/>
      <c r="F1315" s="245"/>
      <c r="G1315" s="245"/>
      <c r="H1315" s="245"/>
      <c r="I1315" s="243" t="s">
        <v>3190</v>
      </c>
      <c r="J1315" s="246">
        <v>1.56</v>
      </c>
      <c r="K1315" s="246"/>
      <c r="L1315" s="246"/>
      <c r="M1315" s="247">
        <v>49</v>
      </c>
      <c r="N1315" s="247"/>
      <c r="O1315" s="247"/>
      <c r="P1315" s="242" t="s">
        <v>852</v>
      </c>
      <c r="Q1315" s="242" t="s">
        <v>474</v>
      </c>
      <c r="R1315" s="242" t="s">
        <v>3191</v>
      </c>
      <c r="S1315" s="248">
        <v>1.5437591381859E-2</v>
      </c>
      <c r="T1315" s="249" t="s">
        <v>372</v>
      </c>
      <c r="U1315" s="249"/>
      <c r="V1315" s="249"/>
      <c r="W1315" s="250">
        <f>IF(BetTable[Sport]="","",BetTable[Stake]+BetTable[S2]+BetTable[S3])</f>
        <v>49</v>
      </c>
      <c r="X1315" s="247">
        <f>IF(BetTable[Odds]="","",(BetTable[WBA1-Commission])-BetTable[TS])</f>
        <v>27.439999999999998</v>
      </c>
      <c r="Y1315" s="251">
        <f>IF(BetTable[Outcome]="","",BetTable[WBA1]+BetTable[WBA2]+BetTable[WBA3]-BetTable[TS])</f>
        <v>27.439999999999998</v>
      </c>
      <c r="Z1315" s="247">
        <f>(((BetTable[Odds]-1)*BetTable[Stake])*(1-(BetTable[Comm %]))+BetTable[Stake])</f>
        <v>76.44</v>
      </c>
      <c r="AA1315" s="247">
        <f>(((BetTable[O2]-1)*BetTable[S2])*(1-(BetTable[C% 2]))+BetTable[S2])</f>
        <v>0</v>
      </c>
      <c r="AB1315" s="247">
        <f>(((BetTable[O3]-1)*BetTable[S3])*(1-(BetTable[C% 3]))+BetTable[S3])</f>
        <v>0</v>
      </c>
      <c r="AC1315" s="248">
        <f>IFERROR(IF(BetTable[Sport]="","",BetTable[R1]/BetTable[TS]),"")</f>
        <v>0.55999999999999994</v>
      </c>
      <c r="AD1315" s="248" t="str">
        <f>IF(BetTable[O2]="","",#REF!/BetTable[TS])</f>
        <v/>
      </c>
      <c r="AE1315" s="248" t="str">
        <f>IFERROR(IF(BetTable[Sport]="","",#REF!/BetTable[TS]),"")</f>
        <v/>
      </c>
      <c r="AF1315" s="247">
        <f>IF(BetTable[Outcome]="Win",BetTable[WBA1-Commission],IF(BetTable[Outcome]="Win Half Stake",(BetTable[Stake]/2)+BetTable[WBA1-Commission]/2,IF(BetTable[Outcome]="Lose Half Stake",BetTable[Stake]/2,IF(BetTable[Outcome]="Lose",0,IF(BetTable[Outcome]="Void",BetTable[Stake],)))))</f>
        <v>76.44</v>
      </c>
      <c r="AG1315" s="247">
        <f>IF(BetTable[Outcome2]="Win",BetTable[WBA2-Commission],IF(BetTable[Outcome2]="Win Half Stake",(BetTable[S2]/2)+BetTable[WBA2-Commission]/2,IF(BetTable[Outcome2]="Lose Half Stake",BetTable[S2]/2,IF(BetTable[Outcome2]="Lose",0,IF(BetTable[Outcome2]="Void",BetTable[S2],)))))</f>
        <v>0</v>
      </c>
      <c r="AH1315" s="247">
        <f>IF(BetTable[Outcome3]="Win",BetTable[WBA3-Commission],IF(BetTable[Outcome3]="Win Half Stake",(BetTable[S3]/2)+BetTable[WBA3-Commission]/2,IF(BetTable[Outcome3]="Lose Half Stake",BetTable[S3]/2,IF(BetTable[Outcome3]="Lose",0,IF(BetTable[Outcome3]="Void",BetTable[S3],)))))</f>
        <v>0</v>
      </c>
      <c r="AI1315" s="251">
        <f>IF(BetTable[Outcome]="",AI1314,BetTable[Result]+AI1314)</f>
        <v>2611.9227499999993</v>
      </c>
      <c r="AJ1315" s="243"/>
    </row>
    <row r="1316" spans="1:36" x14ac:dyDescent="0.2">
      <c r="A1316" s="242" t="s">
        <v>3151</v>
      </c>
      <c r="B1316" s="243" t="s">
        <v>9</v>
      </c>
      <c r="C1316" s="244" t="s">
        <v>91</v>
      </c>
      <c r="D1316" s="244"/>
      <c r="E1316" s="244"/>
      <c r="F1316" s="245"/>
      <c r="G1316" s="245"/>
      <c r="H1316" s="245"/>
      <c r="I1316" s="243" t="s">
        <v>3192</v>
      </c>
      <c r="J1316" s="246">
        <v>1.85</v>
      </c>
      <c r="K1316" s="246"/>
      <c r="L1316" s="246"/>
      <c r="M1316" s="247">
        <v>38</v>
      </c>
      <c r="N1316" s="247"/>
      <c r="O1316" s="247"/>
      <c r="P1316" s="242" t="s">
        <v>498</v>
      </c>
      <c r="Q1316" s="242" t="s">
        <v>485</v>
      </c>
      <c r="R1316" s="242" t="s">
        <v>3193</v>
      </c>
      <c r="S1316" s="248">
        <v>1.79945792514998E-2</v>
      </c>
      <c r="T1316" s="249" t="s">
        <v>372</v>
      </c>
      <c r="U1316" s="249"/>
      <c r="V1316" s="249"/>
      <c r="W1316" s="250">
        <f>IF(BetTable[Sport]="","",BetTable[Stake]+BetTable[S2]+BetTable[S3])</f>
        <v>38</v>
      </c>
      <c r="X1316" s="247">
        <f>IF(BetTable[Odds]="","",(BetTable[WBA1-Commission])-BetTable[TS])</f>
        <v>32.300000000000011</v>
      </c>
      <c r="Y1316" s="251">
        <f>IF(BetTable[Outcome]="","",BetTable[WBA1]+BetTable[WBA2]+BetTable[WBA3]-BetTable[TS])</f>
        <v>32.300000000000011</v>
      </c>
      <c r="Z1316" s="247">
        <f>(((BetTable[Odds]-1)*BetTable[Stake])*(1-(BetTable[Comm %]))+BetTable[Stake])</f>
        <v>70.300000000000011</v>
      </c>
      <c r="AA1316" s="247">
        <f>(((BetTable[O2]-1)*BetTable[S2])*(1-(BetTable[C% 2]))+BetTable[S2])</f>
        <v>0</v>
      </c>
      <c r="AB1316" s="247">
        <f>(((BetTable[O3]-1)*BetTable[S3])*(1-(BetTable[C% 3]))+BetTable[S3])</f>
        <v>0</v>
      </c>
      <c r="AC1316" s="248">
        <f>IFERROR(IF(BetTable[Sport]="","",BetTable[R1]/BetTable[TS]),"")</f>
        <v>0.85000000000000031</v>
      </c>
      <c r="AD1316" s="248" t="str">
        <f>IF(BetTable[O2]="","",#REF!/BetTable[TS])</f>
        <v/>
      </c>
      <c r="AE1316" s="248" t="str">
        <f>IFERROR(IF(BetTable[Sport]="","",#REF!/BetTable[TS]),"")</f>
        <v/>
      </c>
      <c r="AF1316" s="247">
        <f>IF(BetTable[Outcome]="Win",BetTable[WBA1-Commission],IF(BetTable[Outcome]="Win Half Stake",(BetTable[Stake]/2)+BetTable[WBA1-Commission]/2,IF(BetTable[Outcome]="Lose Half Stake",BetTable[Stake]/2,IF(BetTable[Outcome]="Lose",0,IF(BetTable[Outcome]="Void",BetTable[Stake],)))))</f>
        <v>70.300000000000011</v>
      </c>
      <c r="AG1316" s="247">
        <f>IF(BetTable[Outcome2]="Win",BetTable[WBA2-Commission],IF(BetTable[Outcome2]="Win Half Stake",(BetTable[S2]/2)+BetTable[WBA2-Commission]/2,IF(BetTable[Outcome2]="Lose Half Stake",BetTable[S2]/2,IF(BetTable[Outcome2]="Lose",0,IF(BetTable[Outcome2]="Void",BetTable[S2],)))))</f>
        <v>0</v>
      </c>
      <c r="AH1316" s="247">
        <f>IF(BetTable[Outcome3]="Win",BetTable[WBA3-Commission],IF(BetTable[Outcome3]="Win Half Stake",(BetTable[S3]/2)+BetTable[WBA3-Commission]/2,IF(BetTable[Outcome3]="Lose Half Stake",BetTable[S3]/2,IF(BetTable[Outcome3]="Lose",0,IF(BetTable[Outcome3]="Void",BetTable[S3],)))))</f>
        <v>0</v>
      </c>
      <c r="AI1316" s="251">
        <f>IF(BetTable[Outcome]="",AI1315,BetTable[Result]+AI1315)</f>
        <v>2644.2227499999995</v>
      </c>
      <c r="AJ1316" s="243"/>
    </row>
    <row r="1317" spans="1:36" x14ac:dyDescent="0.2">
      <c r="A1317" s="242" t="s">
        <v>3151</v>
      </c>
      <c r="B1317" s="243" t="s">
        <v>7</v>
      </c>
      <c r="C1317" s="244" t="s">
        <v>216</v>
      </c>
      <c r="D1317" s="244"/>
      <c r="E1317" s="244"/>
      <c r="F1317" s="245"/>
      <c r="G1317" s="245"/>
      <c r="H1317" s="245"/>
      <c r="I1317" s="243" t="s">
        <v>3194</v>
      </c>
      <c r="J1317" s="246">
        <v>1.909</v>
      </c>
      <c r="K1317" s="246"/>
      <c r="L1317" s="246"/>
      <c r="M1317" s="247">
        <v>55</v>
      </c>
      <c r="N1317" s="247"/>
      <c r="O1317" s="247"/>
      <c r="P1317" s="242" t="s">
        <v>2978</v>
      </c>
      <c r="Q1317" s="242" t="s">
        <v>968</v>
      </c>
      <c r="R1317" s="242" t="s">
        <v>3195</v>
      </c>
      <c r="S1317" s="248">
        <v>3.2889123454208198E-2</v>
      </c>
      <c r="T1317" s="249" t="s">
        <v>372</v>
      </c>
      <c r="U1317" s="249"/>
      <c r="V1317" s="249"/>
      <c r="W1317" s="250">
        <f>IF(BetTable[Sport]="","",BetTable[Stake]+BetTable[S2]+BetTable[S3])</f>
        <v>55</v>
      </c>
      <c r="X1317" s="247">
        <f>IF(BetTable[Odds]="","",(BetTable[WBA1-Commission])-BetTable[TS])</f>
        <v>49.995000000000005</v>
      </c>
      <c r="Y1317" s="251">
        <f>IF(BetTable[Outcome]="","",BetTable[WBA1]+BetTable[WBA2]+BetTable[WBA3]-BetTable[TS])</f>
        <v>49.995000000000005</v>
      </c>
      <c r="Z1317" s="247">
        <f>(((BetTable[Odds]-1)*BetTable[Stake])*(1-(BetTable[Comm %]))+BetTable[Stake])</f>
        <v>104.995</v>
      </c>
      <c r="AA1317" s="247">
        <f>(((BetTable[O2]-1)*BetTable[S2])*(1-(BetTable[C% 2]))+BetTable[S2])</f>
        <v>0</v>
      </c>
      <c r="AB1317" s="247">
        <f>(((BetTable[O3]-1)*BetTable[S3])*(1-(BetTable[C% 3]))+BetTable[S3])</f>
        <v>0</v>
      </c>
      <c r="AC1317" s="248">
        <f>IFERROR(IF(BetTable[Sport]="","",BetTable[R1]/BetTable[TS]),"")</f>
        <v>0.90900000000000003</v>
      </c>
      <c r="AD1317" s="248" t="str">
        <f>IF(BetTable[O2]="","",#REF!/BetTable[TS])</f>
        <v/>
      </c>
      <c r="AE1317" s="248" t="str">
        <f>IFERROR(IF(BetTable[Sport]="","",#REF!/BetTable[TS]),"")</f>
        <v/>
      </c>
      <c r="AF1317" s="247">
        <f>IF(BetTable[Outcome]="Win",BetTable[WBA1-Commission],IF(BetTable[Outcome]="Win Half Stake",(BetTable[Stake]/2)+BetTable[WBA1-Commission]/2,IF(BetTable[Outcome]="Lose Half Stake",BetTable[Stake]/2,IF(BetTable[Outcome]="Lose",0,IF(BetTable[Outcome]="Void",BetTable[Stake],)))))</f>
        <v>104.995</v>
      </c>
      <c r="AG1317" s="247">
        <f>IF(BetTable[Outcome2]="Win",BetTable[WBA2-Commission],IF(BetTable[Outcome2]="Win Half Stake",(BetTable[S2]/2)+BetTable[WBA2-Commission]/2,IF(BetTable[Outcome2]="Lose Half Stake",BetTable[S2]/2,IF(BetTable[Outcome2]="Lose",0,IF(BetTable[Outcome2]="Void",BetTable[S2],)))))</f>
        <v>0</v>
      </c>
      <c r="AH1317" s="247">
        <f>IF(BetTable[Outcome3]="Win",BetTable[WBA3-Commission],IF(BetTable[Outcome3]="Win Half Stake",(BetTable[S3]/2)+BetTable[WBA3-Commission]/2,IF(BetTable[Outcome3]="Lose Half Stake",BetTable[S3]/2,IF(BetTable[Outcome3]="Lose",0,IF(BetTable[Outcome3]="Void",BetTable[S3],)))))</f>
        <v>0</v>
      </c>
      <c r="AI1317" s="251">
        <f>IF(BetTable[Outcome]="",AI1316,BetTable[Result]+AI1316)</f>
        <v>2694.2177499999993</v>
      </c>
      <c r="AJ1317" s="243"/>
    </row>
    <row r="1318" spans="1:36" x14ac:dyDescent="0.2">
      <c r="A1318" s="242" t="s">
        <v>3151</v>
      </c>
      <c r="B1318" s="243" t="s">
        <v>200</v>
      </c>
      <c r="C1318" s="244" t="s">
        <v>1714</v>
      </c>
      <c r="D1318" s="244"/>
      <c r="E1318" s="244"/>
      <c r="F1318" s="245"/>
      <c r="G1318" s="245"/>
      <c r="H1318" s="245"/>
      <c r="I1318" s="243" t="s">
        <v>3196</v>
      </c>
      <c r="J1318" s="246">
        <v>1.9</v>
      </c>
      <c r="K1318" s="246"/>
      <c r="L1318" s="246"/>
      <c r="M1318" s="247">
        <v>36</v>
      </c>
      <c r="N1318" s="247"/>
      <c r="O1318" s="247"/>
      <c r="P1318" s="242" t="s">
        <v>354</v>
      </c>
      <c r="Q1318" s="242" t="s">
        <v>474</v>
      </c>
      <c r="R1318" s="242" t="s">
        <v>3197</v>
      </c>
      <c r="S1318" s="248">
        <v>1.6612729234088401E-2</v>
      </c>
      <c r="T1318" s="249" t="s">
        <v>372</v>
      </c>
      <c r="U1318" s="249"/>
      <c r="V1318" s="249"/>
      <c r="W1318" s="250">
        <f>IF(BetTable[Sport]="","",BetTable[Stake]+BetTable[S2]+BetTable[S3])</f>
        <v>36</v>
      </c>
      <c r="X1318" s="247">
        <f>IF(BetTable[Odds]="","",(BetTable[WBA1-Commission])-BetTable[TS])</f>
        <v>32.400000000000006</v>
      </c>
      <c r="Y1318" s="251">
        <f>IF(BetTable[Outcome]="","",BetTable[WBA1]+BetTable[WBA2]+BetTable[WBA3]-BetTable[TS])</f>
        <v>32.400000000000006</v>
      </c>
      <c r="Z1318" s="247">
        <f>(((BetTable[Odds]-1)*BetTable[Stake])*(1-(BetTable[Comm %]))+BetTable[Stake])</f>
        <v>68.400000000000006</v>
      </c>
      <c r="AA1318" s="247">
        <f>(((BetTable[O2]-1)*BetTable[S2])*(1-(BetTable[C% 2]))+BetTable[S2])</f>
        <v>0</v>
      </c>
      <c r="AB1318" s="247">
        <f>(((BetTable[O3]-1)*BetTable[S3])*(1-(BetTable[C% 3]))+BetTable[S3])</f>
        <v>0</v>
      </c>
      <c r="AC1318" s="248">
        <f>IFERROR(IF(BetTable[Sport]="","",BetTable[R1]/BetTable[TS]),"")</f>
        <v>0.90000000000000013</v>
      </c>
      <c r="AD1318" s="248" t="str">
        <f>IF(BetTable[O2]="","",#REF!/BetTable[TS])</f>
        <v/>
      </c>
      <c r="AE1318" s="248" t="str">
        <f>IFERROR(IF(BetTable[Sport]="","",#REF!/BetTable[TS]),"")</f>
        <v/>
      </c>
      <c r="AF1318" s="247">
        <f>IF(BetTable[Outcome]="Win",BetTable[WBA1-Commission],IF(BetTable[Outcome]="Win Half Stake",(BetTable[Stake]/2)+BetTable[WBA1-Commission]/2,IF(BetTable[Outcome]="Lose Half Stake",BetTable[Stake]/2,IF(BetTable[Outcome]="Lose",0,IF(BetTable[Outcome]="Void",BetTable[Stake],)))))</f>
        <v>68.400000000000006</v>
      </c>
      <c r="AG1318" s="247">
        <f>IF(BetTable[Outcome2]="Win",BetTable[WBA2-Commission],IF(BetTable[Outcome2]="Win Half Stake",(BetTable[S2]/2)+BetTable[WBA2-Commission]/2,IF(BetTable[Outcome2]="Lose Half Stake",BetTable[S2]/2,IF(BetTable[Outcome2]="Lose",0,IF(BetTable[Outcome2]="Void",BetTable[S2],)))))</f>
        <v>0</v>
      </c>
      <c r="AH1318" s="247">
        <f>IF(BetTable[Outcome3]="Win",BetTable[WBA3-Commission],IF(BetTable[Outcome3]="Win Half Stake",(BetTable[S3]/2)+BetTable[WBA3-Commission]/2,IF(BetTable[Outcome3]="Lose Half Stake",BetTable[S3]/2,IF(BetTable[Outcome3]="Lose",0,IF(BetTable[Outcome3]="Void",BetTable[S3],)))))</f>
        <v>0</v>
      </c>
      <c r="AI1318" s="251">
        <f>IF(BetTable[Outcome]="",AI1317,BetTable[Result]+AI1317)</f>
        <v>2726.6177499999994</v>
      </c>
      <c r="AJ1318" s="243"/>
    </row>
    <row r="1319" spans="1:36" x14ac:dyDescent="0.2">
      <c r="A1319" s="242" t="s">
        <v>3151</v>
      </c>
      <c r="B1319" s="243" t="s">
        <v>200</v>
      </c>
      <c r="C1319" s="244" t="s">
        <v>1714</v>
      </c>
      <c r="D1319" s="244"/>
      <c r="E1319" s="244"/>
      <c r="F1319" s="245"/>
      <c r="G1319" s="245"/>
      <c r="H1319" s="245"/>
      <c r="I1319" s="243" t="s">
        <v>3198</v>
      </c>
      <c r="J1319" s="246">
        <v>1.71</v>
      </c>
      <c r="K1319" s="246"/>
      <c r="L1319" s="246"/>
      <c r="M1319" s="247">
        <v>64</v>
      </c>
      <c r="N1319" s="247"/>
      <c r="O1319" s="247"/>
      <c r="P1319" s="242" t="s">
        <v>360</v>
      </c>
      <c r="Q1319" s="242" t="s">
        <v>3186</v>
      </c>
      <c r="R1319" s="242" t="s">
        <v>3199</v>
      </c>
      <c r="S1319" s="248">
        <v>2.3186692832382699E-2</v>
      </c>
      <c r="T1319" s="249" t="s">
        <v>372</v>
      </c>
      <c r="U1319" s="249"/>
      <c r="V1319" s="249"/>
      <c r="W1319" s="250">
        <f>IF(BetTable[Sport]="","",BetTable[Stake]+BetTable[S2]+BetTable[S3])</f>
        <v>64</v>
      </c>
      <c r="X1319" s="247">
        <f>IF(BetTable[Odds]="","",(BetTable[WBA1-Commission])-BetTable[TS])</f>
        <v>45.44</v>
      </c>
      <c r="Y1319" s="251">
        <f>IF(BetTable[Outcome]="","",BetTable[WBA1]+BetTable[WBA2]+BetTable[WBA3]-BetTable[TS])</f>
        <v>45.44</v>
      </c>
      <c r="Z1319" s="247">
        <f>(((BetTable[Odds]-1)*BetTable[Stake])*(1-(BetTable[Comm %]))+BetTable[Stake])</f>
        <v>109.44</v>
      </c>
      <c r="AA1319" s="247">
        <f>(((BetTable[O2]-1)*BetTable[S2])*(1-(BetTable[C% 2]))+BetTable[S2])</f>
        <v>0</v>
      </c>
      <c r="AB1319" s="247">
        <f>(((BetTable[O3]-1)*BetTable[S3])*(1-(BetTable[C% 3]))+BetTable[S3])</f>
        <v>0</v>
      </c>
      <c r="AC1319" s="248">
        <f>IFERROR(IF(BetTable[Sport]="","",BetTable[R1]/BetTable[TS]),"")</f>
        <v>0.71</v>
      </c>
      <c r="AD1319" s="248" t="str">
        <f>IF(BetTable[O2]="","",#REF!/BetTable[TS])</f>
        <v/>
      </c>
      <c r="AE1319" s="248" t="str">
        <f>IFERROR(IF(BetTable[Sport]="","",#REF!/BetTable[TS]),"")</f>
        <v/>
      </c>
      <c r="AF1319" s="247">
        <f>IF(BetTable[Outcome]="Win",BetTable[WBA1-Commission],IF(BetTable[Outcome]="Win Half Stake",(BetTable[Stake]/2)+BetTable[WBA1-Commission]/2,IF(BetTable[Outcome]="Lose Half Stake",BetTable[Stake]/2,IF(BetTable[Outcome]="Lose",0,IF(BetTable[Outcome]="Void",BetTable[Stake],)))))</f>
        <v>109.44</v>
      </c>
      <c r="AG1319" s="247">
        <f>IF(BetTable[Outcome2]="Win",BetTable[WBA2-Commission],IF(BetTable[Outcome2]="Win Half Stake",(BetTable[S2]/2)+BetTable[WBA2-Commission]/2,IF(BetTable[Outcome2]="Lose Half Stake",BetTable[S2]/2,IF(BetTable[Outcome2]="Lose",0,IF(BetTable[Outcome2]="Void",BetTable[S2],)))))</f>
        <v>0</v>
      </c>
      <c r="AH1319" s="247">
        <f>IF(BetTable[Outcome3]="Win",BetTable[WBA3-Commission],IF(BetTable[Outcome3]="Win Half Stake",(BetTable[S3]/2)+BetTable[WBA3-Commission]/2,IF(BetTable[Outcome3]="Lose Half Stake",BetTable[S3]/2,IF(BetTable[Outcome3]="Lose",0,IF(BetTable[Outcome3]="Void",BetTable[S3],)))))</f>
        <v>0</v>
      </c>
      <c r="AI1319" s="251">
        <f>IF(BetTable[Outcome]="",AI1318,BetTable[Result]+AI1318)</f>
        <v>2772.0577499999995</v>
      </c>
      <c r="AJ1319" s="243"/>
    </row>
    <row r="1320" spans="1:36" x14ac:dyDescent="0.2">
      <c r="A1320" s="242" t="s">
        <v>3151</v>
      </c>
      <c r="B1320" s="243" t="s">
        <v>200</v>
      </c>
      <c r="C1320" s="244" t="s">
        <v>1714</v>
      </c>
      <c r="D1320" s="244"/>
      <c r="E1320" s="244"/>
      <c r="F1320" s="245"/>
      <c r="G1320" s="245"/>
      <c r="H1320" s="245"/>
      <c r="I1320" s="243" t="s">
        <v>3200</v>
      </c>
      <c r="J1320" s="246">
        <v>1.66</v>
      </c>
      <c r="K1320" s="246"/>
      <c r="L1320" s="246"/>
      <c r="M1320" s="247">
        <v>62</v>
      </c>
      <c r="N1320" s="247"/>
      <c r="O1320" s="247"/>
      <c r="P1320" s="242" t="s">
        <v>360</v>
      </c>
      <c r="Q1320" s="242" t="s">
        <v>432</v>
      </c>
      <c r="R1320" s="242" t="s">
        <v>3201</v>
      </c>
      <c r="S1320" s="248">
        <v>2.0944907356582901E-2</v>
      </c>
      <c r="T1320" s="249" t="s">
        <v>372</v>
      </c>
      <c r="U1320" s="249"/>
      <c r="V1320" s="249"/>
      <c r="W1320" s="250">
        <f>IF(BetTable[Sport]="","",BetTable[Stake]+BetTable[S2]+BetTable[S3])</f>
        <v>62</v>
      </c>
      <c r="X1320" s="247">
        <f>IF(BetTable[Odds]="","",(BetTable[WBA1-Commission])-BetTable[TS])</f>
        <v>40.919999999999987</v>
      </c>
      <c r="Y1320" s="251">
        <f>IF(BetTable[Outcome]="","",BetTable[WBA1]+BetTable[WBA2]+BetTable[WBA3]-BetTable[TS])</f>
        <v>40.919999999999987</v>
      </c>
      <c r="Z1320" s="247">
        <f>(((BetTable[Odds]-1)*BetTable[Stake])*(1-(BetTable[Comm %]))+BetTable[Stake])</f>
        <v>102.91999999999999</v>
      </c>
      <c r="AA1320" s="247">
        <f>(((BetTable[O2]-1)*BetTable[S2])*(1-(BetTable[C% 2]))+BetTable[S2])</f>
        <v>0</v>
      </c>
      <c r="AB1320" s="247">
        <f>(((BetTable[O3]-1)*BetTable[S3])*(1-(BetTable[C% 3]))+BetTable[S3])</f>
        <v>0</v>
      </c>
      <c r="AC1320" s="248">
        <f>IFERROR(IF(BetTable[Sport]="","",BetTable[R1]/BetTable[TS]),"")</f>
        <v>0.65999999999999981</v>
      </c>
      <c r="AD1320" s="248" t="str">
        <f>IF(BetTable[O2]="","",#REF!/BetTable[TS])</f>
        <v/>
      </c>
      <c r="AE1320" s="248" t="str">
        <f>IFERROR(IF(BetTable[Sport]="","",#REF!/BetTable[TS]),"")</f>
        <v/>
      </c>
      <c r="AF1320" s="247">
        <f>IF(BetTable[Outcome]="Win",BetTable[WBA1-Commission],IF(BetTable[Outcome]="Win Half Stake",(BetTable[Stake]/2)+BetTable[WBA1-Commission]/2,IF(BetTable[Outcome]="Lose Half Stake",BetTable[Stake]/2,IF(BetTable[Outcome]="Lose",0,IF(BetTable[Outcome]="Void",BetTable[Stake],)))))</f>
        <v>102.91999999999999</v>
      </c>
      <c r="AG1320" s="247">
        <f>IF(BetTable[Outcome2]="Win",BetTable[WBA2-Commission],IF(BetTable[Outcome2]="Win Half Stake",(BetTable[S2]/2)+BetTable[WBA2-Commission]/2,IF(BetTable[Outcome2]="Lose Half Stake",BetTable[S2]/2,IF(BetTable[Outcome2]="Lose",0,IF(BetTable[Outcome2]="Void",BetTable[S2],)))))</f>
        <v>0</v>
      </c>
      <c r="AH1320" s="247">
        <f>IF(BetTable[Outcome3]="Win",BetTable[WBA3-Commission],IF(BetTable[Outcome3]="Win Half Stake",(BetTable[S3]/2)+BetTable[WBA3-Commission]/2,IF(BetTable[Outcome3]="Lose Half Stake",BetTable[S3]/2,IF(BetTable[Outcome3]="Lose",0,IF(BetTable[Outcome3]="Void",BetTable[S3],)))))</f>
        <v>0</v>
      </c>
      <c r="AI1320" s="251">
        <f>IF(BetTable[Outcome]="",AI1319,BetTable[Result]+AI1319)</f>
        <v>2812.9777499999996</v>
      </c>
      <c r="AJ1320" s="243"/>
    </row>
    <row r="1321" spans="1:36" x14ac:dyDescent="0.2">
      <c r="A1321" s="242" t="s">
        <v>3151</v>
      </c>
      <c r="B1321" s="243" t="s">
        <v>200</v>
      </c>
      <c r="C1321" s="161" t="s">
        <v>1714</v>
      </c>
      <c r="D1321" s="244"/>
      <c r="E1321" s="244"/>
      <c r="F1321" s="245"/>
      <c r="G1321" s="245"/>
      <c r="H1321" s="245"/>
      <c r="I1321" s="243" t="s">
        <v>3202</v>
      </c>
      <c r="J1321" s="246">
        <v>1.58</v>
      </c>
      <c r="K1321" s="246"/>
      <c r="L1321" s="246"/>
      <c r="M1321" s="247">
        <v>105</v>
      </c>
      <c r="N1321" s="247"/>
      <c r="O1321" s="247"/>
      <c r="P1321" s="242" t="s">
        <v>360</v>
      </c>
      <c r="Q1321" s="242" t="s">
        <v>432</v>
      </c>
      <c r="R1321" s="242" t="s">
        <v>3231</v>
      </c>
      <c r="S1321" s="248">
        <v>3.1091772249706801E-2</v>
      </c>
      <c r="T1321" s="249" t="s">
        <v>372</v>
      </c>
      <c r="U1321" s="249"/>
      <c r="V1321" s="249"/>
      <c r="W1321" s="250">
        <f>IF(BetTable[Sport]="","",BetTable[Stake]+BetTable[S2]+BetTable[S3])</f>
        <v>105</v>
      </c>
      <c r="X1321" s="247">
        <f>IF(BetTable[Odds]="","",(BetTable[WBA1-Commission])-BetTable[TS])</f>
        <v>60.900000000000006</v>
      </c>
      <c r="Y1321" s="251">
        <f>IF(BetTable[Outcome]="","",BetTable[WBA1]+BetTable[WBA2]+BetTable[WBA3]-BetTable[TS])</f>
        <v>60.900000000000006</v>
      </c>
      <c r="Z1321" s="247">
        <f>(((BetTable[Odds]-1)*BetTable[Stake])*(1-(BetTable[Comm %]))+BetTable[Stake])</f>
        <v>165.9</v>
      </c>
      <c r="AA1321" s="247">
        <f>(((BetTable[O2]-1)*BetTable[S2])*(1-(BetTable[C% 2]))+BetTable[S2])</f>
        <v>0</v>
      </c>
      <c r="AB1321" s="247">
        <f>(((BetTable[O3]-1)*BetTable[S3])*(1-(BetTable[C% 3]))+BetTable[S3])</f>
        <v>0</v>
      </c>
      <c r="AC1321" s="248">
        <f>IFERROR(IF(BetTable[Sport]="","",BetTable[R1]/BetTable[TS]),"")</f>
        <v>0.58000000000000007</v>
      </c>
      <c r="AD1321" s="248" t="str">
        <f>IF(BetTable[O2]="","",#REF!/BetTable[TS])</f>
        <v/>
      </c>
      <c r="AE1321" s="248" t="str">
        <f>IFERROR(IF(BetTable[Sport]="","",#REF!/BetTable[TS]),"")</f>
        <v/>
      </c>
      <c r="AF1321" s="247">
        <f>IF(BetTable[Outcome]="Win",BetTable[WBA1-Commission],IF(BetTable[Outcome]="Win Half Stake",(BetTable[Stake]/2)+BetTable[WBA1-Commission]/2,IF(BetTable[Outcome]="Lose Half Stake",BetTable[Stake]/2,IF(BetTable[Outcome]="Lose",0,IF(BetTable[Outcome]="Void",BetTable[Stake],)))))</f>
        <v>165.9</v>
      </c>
      <c r="AG1321" s="247">
        <f>IF(BetTable[Outcome2]="Win",BetTable[WBA2-Commission],IF(BetTable[Outcome2]="Win Half Stake",(BetTable[S2]/2)+BetTable[WBA2-Commission]/2,IF(BetTable[Outcome2]="Lose Half Stake",BetTable[S2]/2,IF(BetTable[Outcome2]="Lose",0,IF(BetTable[Outcome2]="Void",BetTable[S2],)))))</f>
        <v>0</v>
      </c>
      <c r="AH1321" s="247">
        <f>IF(BetTable[Outcome3]="Win",BetTable[WBA3-Commission],IF(BetTable[Outcome3]="Win Half Stake",(BetTable[S3]/2)+BetTable[WBA3-Commission]/2,IF(BetTable[Outcome3]="Lose Half Stake",BetTable[S3]/2,IF(BetTable[Outcome3]="Lose",0,IF(BetTable[Outcome3]="Void",BetTable[S3],)))))</f>
        <v>0</v>
      </c>
      <c r="AI1321" s="251">
        <f>IF(BetTable[Outcome]="",AI1320,BetTable[Result]+AI1320)</f>
        <v>2873.8777499999997</v>
      </c>
      <c r="AJ1321" s="243"/>
    </row>
    <row r="1322" spans="1:36" x14ac:dyDescent="0.2">
      <c r="A1322" s="242" t="s">
        <v>3151</v>
      </c>
      <c r="B1322" s="243" t="s">
        <v>7</v>
      </c>
      <c r="C1322" s="244" t="s">
        <v>91</v>
      </c>
      <c r="D1322" s="244"/>
      <c r="E1322" s="244"/>
      <c r="F1322" s="245"/>
      <c r="G1322" s="245"/>
      <c r="H1322" s="245"/>
      <c r="I1322" s="243" t="s">
        <v>3203</v>
      </c>
      <c r="J1322" s="246">
        <v>2.0699999999999998</v>
      </c>
      <c r="K1322" s="246"/>
      <c r="L1322" s="246"/>
      <c r="M1322" s="247">
        <v>39</v>
      </c>
      <c r="N1322" s="247"/>
      <c r="O1322" s="247"/>
      <c r="P1322" s="242" t="s">
        <v>2326</v>
      </c>
      <c r="Q1322" s="242" t="s">
        <v>488</v>
      </c>
      <c r="R1322" s="242" t="s">
        <v>3204</v>
      </c>
      <c r="S1322" s="248">
        <v>2.1562989245889501E-2</v>
      </c>
      <c r="T1322" s="249" t="s">
        <v>372</v>
      </c>
      <c r="U1322" s="249"/>
      <c r="V1322" s="249"/>
      <c r="W1322" s="250">
        <f>IF(BetTable[Sport]="","",BetTable[Stake]+BetTable[S2]+BetTable[S3])</f>
        <v>39</v>
      </c>
      <c r="X1322" s="247">
        <f>IF(BetTable[Odds]="","",(BetTable[WBA1-Commission])-BetTable[TS])</f>
        <v>41.72999999999999</v>
      </c>
      <c r="Y1322" s="251">
        <f>IF(BetTable[Outcome]="","",BetTable[WBA1]+BetTable[WBA2]+BetTable[WBA3]-BetTable[TS])</f>
        <v>41.72999999999999</v>
      </c>
      <c r="Z1322" s="247">
        <f>(((BetTable[Odds]-1)*BetTable[Stake])*(1-(BetTable[Comm %]))+BetTable[Stake])</f>
        <v>80.72999999999999</v>
      </c>
      <c r="AA1322" s="247">
        <f>(((BetTable[O2]-1)*BetTable[S2])*(1-(BetTable[C% 2]))+BetTable[S2])</f>
        <v>0</v>
      </c>
      <c r="AB1322" s="247">
        <f>(((BetTable[O3]-1)*BetTable[S3])*(1-(BetTable[C% 3]))+BetTable[S3])</f>
        <v>0</v>
      </c>
      <c r="AC1322" s="248">
        <f>IFERROR(IF(BetTable[Sport]="","",BetTable[R1]/BetTable[TS]),"")</f>
        <v>1.0699999999999998</v>
      </c>
      <c r="AD1322" s="248" t="str">
        <f>IF(BetTable[O2]="","",#REF!/BetTable[TS])</f>
        <v/>
      </c>
      <c r="AE1322" s="248" t="str">
        <f>IFERROR(IF(BetTable[Sport]="","",#REF!/BetTable[TS]),"")</f>
        <v/>
      </c>
      <c r="AF1322" s="247">
        <f>IF(BetTable[Outcome]="Win",BetTable[WBA1-Commission],IF(BetTable[Outcome]="Win Half Stake",(BetTable[Stake]/2)+BetTable[WBA1-Commission]/2,IF(BetTable[Outcome]="Lose Half Stake",BetTable[Stake]/2,IF(BetTable[Outcome]="Lose",0,IF(BetTable[Outcome]="Void",BetTable[Stake],)))))</f>
        <v>80.72999999999999</v>
      </c>
      <c r="AG1322" s="247">
        <f>IF(BetTable[Outcome2]="Win",BetTable[WBA2-Commission],IF(BetTable[Outcome2]="Win Half Stake",(BetTable[S2]/2)+BetTable[WBA2-Commission]/2,IF(BetTable[Outcome2]="Lose Half Stake",BetTable[S2]/2,IF(BetTable[Outcome2]="Lose",0,IF(BetTable[Outcome2]="Void",BetTable[S2],)))))</f>
        <v>0</v>
      </c>
      <c r="AH1322" s="247">
        <f>IF(BetTable[Outcome3]="Win",BetTable[WBA3-Commission],IF(BetTable[Outcome3]="Win Half Stake",(BetTable[S3]/2)+BetTable[WBA3-Commission]/2,IF(BetTable[Outcome3]="Lose Half Stake",BetTable[S3]/2,IF(BetTable[Outcome3]="Lose",0,IF(BetTable[Outcome3]="Void",BetTable[S3],)))))</f>
        <v>0</v>
      </c>
      <c r="AI1322" s="251">
        <f>IF(BetTable[Outcome]="",AI1321,BetTable[Result]+AI1321)</f>
        <v>2915.6077499999997</v>
      </c>
      <c r="AJ1322" s="243"/>
    </row>
    <row r="1323" spans="1:36" x14ac:dyDescent="0.2">
      <c r="A1323" s="242" t="s">
        <v>3151</v>
      </c>
      <c r="B1323" s="243" t="s">
        <v>200</v>
      </c>
      <c r="C1323" s="244" t="s">
        <v>1714</v>
      </c>
      <c r="D1323" s="244"/>
      <c r="E1323" s="244"/>
      <c r="F1323" s="245"/>
      <c r="G1323" s="245"/>
      <c r="H1323" s="245"/>
      <c r="I1323" s="243" t="s">
        <v>3205</v>
      </c>
      <c r="J1323" s="246">
        <v>1.91</v>
      </c>
      <c r="K1323" s="246"/>
      <c r="L1323" s="246"/>
      <c r="M1323" s="247">
        <v>37</v>
      </c>
      <c r="N1323" s="247"/>
      <c r="O1323" s="247"/>
      <c r="P1323" s="242" t="s">
        <v>782</v>
      </c>
      <c r="Q1323" s="242" t="s">
        <v>677</v>
      </c>
      <c r="R1323" s="242" t="s">
        <v>3206</v>
      </c>
      <c r="S1323" s="248">
        <v>1.74183006535947E-2</v>
      </c>
      <c r="T1323" s="249" t="s">
        <v>382</v>
      </c>
      <c r="U1323" s="249"/>
      <c r="V1323" s="249"/>
      <c r="W1323" s="250">
        <f>IF(BetTable[Sport]="","",BetTable[Stake]+BetTable[S2]+BetTable[S3])</f>
        <v>37</v>
      </c>
      <c r="X1323" s="247">
        <f>IF(BetTable[Odds]="","",(BetTable[WBA1-Commission])-BetTable[TS])</f>
        <v>33.669999999999987</v>
      </c>
      <c r="Y1323" s="251">
        <f>IF(BetTable[Outcome]="","",BetTable[WBA1]+BetTable[WBA2]+BetTable[WBA3]-BetTable[TS])</f>
        <v>-37</v>
      </c>
      <c r="Z1323" s="247">
        <f>(((BetTable[Odds]-1)*BetTable[Stake])*(1-(BetTable[Comm %]))+BetTable[Stake])</f>
        <v>70.669999999999987</v>
      </c>
      <c r="AA1323" s="247">
        <f>(((BetTable[O2]-1)*BetTable[S2])*(1-(BetTable[C% 2]))+BetTable[S2])</f>
        <v>0</v>
      </c>
      <c r="AB1323" s="247">
        <f>(((BetTable[O3]-1)*BetTable[S3])*(1-(BetTable[C% 3]))+BetTable[S3])</f>
        <v>0</v>
      </c>
      <c r="AC1323" s="248">
        <f>IFERROR(IF(BetTable[Sport]="","",BetTable[R1]/BetTable[TS]),"")</f>
        <v>0.9099999999999997</v>
      </c>
      <c r="AD1323" s="248" t="str">
        <f>IF(BetTable[O2]="","",#REF!/BetTable[TS])</f>
        <v/>
      </c>
      <c r="AE1323" s="248" t="str">
        <f>IFERROR(IF(BetTable[Sport]="","",#REF!/BetTable[TS]),"")</f>
        <v/>
      </c>
      <c r="AF1323" s="247">
        <f>IF(BetTable[Outcome]="Win",BetTable[WBA1-Commission],IF(BetTable[Outcome]="Win Half Stake",(BetTable[Stake]/2)+BetTable[WBA1-Commission]/2,IF(BetTable[Outcome]="Lose Half Stake",BetTable[Stake]/2,IF(BetTable[Outcome]="Lose",0,IF(BetTable[Outcome]="Void",BetTable[Stake],)))))</f>
        <v>0</v>
      </c>
      <c r="AG1323" s="247">
        <f>IF(BetTable[Outcome2]="Win",BetTable[WBA2-Commission],IF(BetTable[Outcome2]="Win Half Stake",(BetTable[S2]/2)+BetTable[WBA2-Commission]/2,IF(BetTable[Outcome2]="Lose Half Stake",BetTable[S2]/2,IF(BetTable[Outcome2]="Lose",0,IF(BetTable[Outcome2]="Void",BetTable[S2],)))))</f>
        <v>0</v>
      </c>
      <c r="AH1323" s="247">
        <f>IF(BetTable[Outcome3]="Win",BetTable[WBA3-Commission],IF(BetTable[Outcome3]="Win Half Stake",(BetTable[S3]/2)+BetTable[WBA3-Commission]/2,IF(BetTable[Outcome3]="Lose Half Stake",BetTable[S3]/2,IF(BetTable[Outcome3]="Lose",0,IF(BetTable[Outcome3]="Void",BetTable[S3],)))))</f>
        <v>0</v>
      </c>
      <c r="AI1323" s="251">
        <f>IF(BetTable[Outcome]="",AI1322,BetTable[Result]+AI1322)</f>
        <v>2878.6077499999997</v>
      </c>
      <c r="AJ1323" s="243"/>
    </row>
    <row r="1324" spans="1:36" x14ac:dyDescent="0.2">
      <c r="A1324" s="242" t="s">
        <v>3151</v>
      </c>
      <c r="B1324" s="243" t="s">
        <v>200</v>
      </c>
      <c r="C1324" s="161" t="s">
        <v>1714</v>
      </c>
      <c r="D1324" s="244"/>
      <c r="E1324" s="244"/>
      <c r="F1324" s="245"/>
      <c r="G1324" s="245"/>
      <c r="H1324" s="245"/>
      <c r="I1324" s="243" t="s">
        <v>3207</v>
      </c>
      <c r="J1324" s="246">
        <v>2.21</v>
      </c>
      <c r="K1324" s="246"/>
      <c r="L1324" s="246"/>
      <c r="M1324" s="247">
        <v>30</v>
      </c>
      <c r="N1324" s="247"/>
      <c r="O1324" s="247"/>
      <c r="P1324" s="242" t="s">
        <v>852</v>
      </c>
      <c r="Q1324" s="242" t="s">
        <v>461</v>
      </c>
      <c r="R1324" s="242" t="s">
        <v>3208</v>
      </c>
      <c r="S1324" s="248">
        <v>1.8465547927790399E-2</v>
      </c>
      <c r="T1324" s="249" t="s">
        <v>549</v>
      </c>
      <c r="U1324" s="249"/>
      <c r="V1324" s="249"/>
      <c r="W1324" s="250">
        <f>IF(BetTable[Sport]="","",BetTable[Stake]+BetTable[S2]+BetTable[S3])</f>
        <v>30</v>
      </c>
      <c r="X1324" s="247">
        <f>IF(BetTable[Odds]="","",(BetTable[WBA1-Commission])-BetTable[TS])</f>
        <v>36.299999999999997</v>
      </c>
      <c r="Y1324" s="251">
        <f>IF(BetTable[Outcome]="","",BetTable[WBA1]+BetTable[WBA2]+BetTable[WBA3]-BetTable[TS])</f>
        <v>-15</v>
      </c>
      <c r="Z1324" s="247">
        <f>(((BetTable[Odds]-1)*BetTable[Stake])*(1-(BetTable[Comm %]))+BetTable[Stake])</f>
        <v>66.3</v>
      </c>
      <c r="AA1324" s="247">
        <f>(((BetTable[O2]-1)*BetTable[S2])*(1-(BetTable[C% 2]))+BetTable[S2])</f>
        <v>0</v>
      </c>
      <c r="AB1324" s="247">
        <f>(((BetTable[O3]-1)*BetTable[S3])*(1-(BetTable[C% 3]))+BetTable[S3])</f>
        <v>0</v>
      </c>
      <c r="AC1324" s="248">
        <f>IFERROR(IF(BetTable[Sport]="","",BetTable[R1]/BetTable[TS]),"")</f>
        <v>1.21</v>
      </c>
      <c r="AD1324" s="248" t="str">
        <f>IF(BetTable[O2]="","",#REF!/BetTable[TS])</f>
        <v/>
      </c>
      <c r="AE1324" s="248" t="str">
        <f>IFERROR(IF(BetTable[Sport]="","",#REF!/BetTable[TS]),"")</f>
        <v/>
      </c>
      <c r="AF1324" s="247">
        <f>IF(BetTable[Outcome]="Win",BetTable[WBA1-Commission],IF(BetTable[Outcome]="Win Half Stake",(BetTable[Stake]/2)+BetTable[WBA1-Commission]/2,IF(BetTable[Outcome]="Lose Half Stake",BetTable[Stake]/2,IF(BetTable[Outcome]="Lose",0,IF(BetTable[Outcome]="Void",BetTable[Stake],)))))</f>
        <v>15</v>
      </c>
      <c r="AG1324" s="247">
        <f>IF(BetTable[Outcome2]="Win",BetTable[WBA2-Commission],IF(BetTable[Outcome2]="Win Half Stake",(BetTable[S2]/2)+BetTable[WBA2-Commission]/2,IF(BetTable[Outcome2]="Lose Half Stake",BetTable[S2]/2,IF(BetTable[Outcome2]="Lose",0,IF(BetTable[Outcome2]="Void",BetTable[S2],)))))</f>
        <v>0</v>
      </c>
      <c r="AH1324" s="247">
        <f>IF(BetTable[Outcome3]="Win",BetTable[WBA3-Commission],IF(BetTable[Outcome3]="Win Half Stake",(BetTable[S3]/2)+BetTable[WBA3-Commission]/2,IF(BetTable[Outcome3]="Lose Half Stake",BetTable[S3]/2,IF(BetTable[Outcome3]="Lose",0,IF(BetTable[Outcome3]="Void",BetTable[S3],)))))</f>
        <v>0</v>
      </c>
      <c r="AI1324" s="251">
        <f>IF(BetTable[Outcome]="",AI1323,BetTable[Result]+AI1323)</f>
        <v>2863.6077499999997</v>
      </c>
      <c r="AJ1324" s="243"/>
    </row>
    <row r="1325" spans="1:36" x14ac:dyDescent="0.2">
      <c r="A1325" s="242" t="s">
        <v>3151</v>
      </c>
      <c r="B1325" s="243" t="s">
        <v>200</v>
      </c>
      <c r="C1325" s="161" t="s">
        <v>1714</v>
      </c>
      <c r="D1325" s="244"/>
      <c r="E1325" s="244"/>
      <c r="F1325" s="245"/>
      <c r="G1325" s="245"/>
      <c r="H1325" s="245"/>
      <c r="I1325" s="243" t="s">
        <v>3209</v>
      </c>
      <c r="J1325" s="246">
        <v>1.97</v>
      </c>
      <c r="K1325" s="246"/>
      <c r="L1325" s="246"/>
      <c r="M1325" s="247">
        <v>43</v>
      </c>
      <c r="N1325" s="247"/>
      <c r="O1325" s="247"/>
      <c r="P1325" s="242" t="s">
        <v>868</v>
      </c>
      <c r="Q1325" s="242" t="s">
        <v>432</v>
      </c>
      <c r="R1325" s="242" t="s">
        <v>3210</v>
      </c>
      <c r="S1325" s="248">
        <v>2.1481187603043898E-2</v>
      </c>
      <c r="T1325" s="249" t="s">
        <v>382</v>
      </c>
      <c r="U1325" s="249"/>
      <c r="V1325" s="249"/>
      <c r="W1325" s="250">
        <f>IF(BetTable[Sport]="","",BetTable[Stake]+BetTable[S2]+BetTable[S3])</f>
        <v>43</v>
      </c>
      <c r="X1325" s="247">
        <f>IF(BetTable[Odds]="","",(BetTable[WBA1-Commission])-BetTable[TS])</f>
        <v>41.710000000000008</v>
      </c>
      <c r="Y1325" s="251">
        <f>IF(BetTable[Outcome]="","",BetTable[WBA1]+BetTable[WBA2]+BetTable[WBA3]-BetTable[TS])</f>
        <v>-43</v>
      </c>
      <c r="Z1325" s="247">
        <f>(((BetTable[Odds]-1)*BetTable[Stake])*(1-(BetTable[Comm %]))+BetTable[Stake])</f>
        <v>84.710000000000008</v>
      </c>
      <c r="AA1325" s="247">
        <f>(((BetTable[O2]-1)*BetTable[S2])*(1-(BetTable[C% 2]))+BetTable[S2])</f>
        <v>0</v>
      </c>
      <c r="AB1325" s="247">
        <f>(((BetTable[O3]-1)*BetTable[S3])*(1-(BetTable[C% 3]))+BetTable[S3])</f>
        <v>0</v>
      </c>
      <c r="AC1325" s="248">
        <f>IFERROR(IF(BetTable[Sport]="","",BetTable[R1]/BetTable[TS]),"")</f>
        <v>0.9700000000000002</v>
      </c>
      <c r="AD1325" s="248" t="str">
        <f>IF(BetTable[O2]="","",#REF!/BetTable[TS])</f>
        <v/>
      </c>
      <c r="AE1325" s="248" t="str">
        <f>IFERROR(IF(BetTable[Sport]="","",#REF!/BetTable[TS]),"")</f>
        <v/>
      </c>
      <c r="AF1325" s="247">
        <f>IF(BetTable[Outcome]="Win",BetTable[WBA1-Commission],IF(BetTable[Outcome]="Win Half Stake",(BetTable[Stake]/2)+BetTable[WBA1-Commission]/2,IF(BetTable[Outcome]="Lose Half Stake",BetTable[Stake]/2,IF(BetTable[Outcome]="Lose",0,IF(BetTable[Outcome]="Void",BetTable[Stake],)))))</f>
        <v>0</v>
      </c>
      <c r="AG1325" s="247">
        <f>IF(BetTable[Outcome2]="Win",BetTable[WBA2-Commission],IF(BetTable[Outcome2]="Win Half Stake",(BetTable[S2]/2)+BetTable[WBA2-Commission]/2,IF(BetTable[Outcome2]="Lose Half Stake",BetTable[S2]/2,IF(BetTable[Outcome2]="Lose",0,IF(BetTable[Outcome2]="Void",BetTable[S2],)))))</f>
        <v>0</v>
      </c>
      <c r="AH1325" s="247">
        <f>IF(BetTable[Outcome3]="Win",BetTable[WBA3-Commission],IF(BetTable[Outcome3]="Win Half Stake",(BetTable[S3]/2)+BetTable[WBA3-Commission]/2,IF(BetTable[Outcome3]="Lose Half Stake",BetTable[S3]/2,IF(BetTable[Outcome3]="Lose",0,IF(BetTable[Outcome3]="Void",BetTable[S3],)))))</f>
        <v>0</v>
      </c>
      <c r="AI1325" s="251">
        <f>IF(BetTable[Outcome]="",AI1324,BetTable[Result]+AI1324)</f>
        <v>2820.6077499999997</v>
      </c>
      <c r="AJ1325" s="243"/>
    </row>
    <row r="1326" spans="1:36" x14ac:dyDescent="0.2">
      <c r="A1326" s="242" t="s">
        <v>3151</v>
      </c>
      <c r="B1326" s="243" t="s">
        <v>200</v>
      </c>
      <c r="C1326" s="161" t="s">
        <v>1714</v>
      </c>
      <c r="D1326" s="244"/>
      <c r="E1326" s="244"/>
      <c r="F1326" s="245"/>
      <c r="G1326" s="245"/>
      <c r="H1326" s="245"/>
      <c r="I1326" s="243" t="s">
        <v>3211</v>
      </c>
      <c r="J1326" s="246">
        <v>1.77</v>
      </c>
      <c r="K1326" s="246"/>
      <c r="L1326" s="246"/>
      <c r="M1326" s="247">
        <v>47</v>
      </c>
      <c r="N1326" s="247"/>
      <c r="O1326" s="247"/>
      <c r="P1326" s="242" t="s">
        <v>385</v>
      </c>
      <c r="Q1326" s="242" t="s">
        <v>474</v>
      </c>
      <c r="R1326" s="242" t="s">
        <v>3212</v>
      </c>
      <c r="S1326" s="248">
        <v>1.83677325667898E-2</v>
      </c>
      <c r="T1326" s="249" t="s">
        <v>372</v>
      </c>
      <c r="U1326" s="249"/>
      <c r="V1326" s="249"/>
      <c r="W1326" s="250">
        <f>IF(BetTable[Sport]="","",BetTable[Stake]+BetTable[S2]+BetTable[S3])</f>
        <v>47</v>
      </c>
      <c r="X1326" s="247">
        <f>IF(BetTable[Odds]="","",(BetTable[WBA1-Commission])-BetTable[TS])</f>
        <v>36.19</v>
      </c>
      <c r="Y1326" s="251">
        <f>IF(BetTable[Outcome]="","",BetTable[WBA1]+BetTable[WBA2]+BetTable[WBA3]-BetTable[TS])</f>
        <v>36.19</v>
      </c>
      <c r="Z1326" s="247">
        <f>(((BetTable[Odds]-1)*BetTable[Stake])*(1-(BetTable[Comm %]))+BetTable[Stake])</f>
        <v>83.19</v>
      </c>
      <c r="AA1326" s="247">
        <f>(((BetTable[O2]-1)*BetTable[S2])*(1-(BetTable[C% 2]))+BetTable[S2])</f>
        <v>0</v>
      </c>
      <c r="AB1326" s="247">
        <f>(((BetTable[O3]-1)*BetTable[S3])*(1-(BetTable[C% 3]))+BetTable[S3])</f>
        <v>0</v>
      </c>
      <c r="AC1326" s="248">
        <f>IFERROR(IF(BetTable[Sport]="","",BetTable[R1]/BetTable[TS]),"")</f>
        <v>0.76999999999999991</v>
      </c>
      <c r="AD1326" s="248" t="str">
        <f>IF(BetTable[O2]="","",#REF!/BetTable[TS])</f>
        <v/>
      </c>
      <c r="AE1326" s="248" t="str">
        <f>IFERROR(IF(BetTable[Sport]="","",#REF!/BetTable[TS]),"")</f>
        <v/>
      </c>
      <c r="AF1326" s="247">
        <f>IF(BetTable[Outcome]="Win",BetTable[WBA1-Commission],IF(BetTable[Outcome]="Win Half Stake",(BetTable[Stake]/2)+BetTable[WBA1-Commission]/2,IF(BetTable[Outcome]="Lose Half Stake",BetTable[Stake]/2,IF(BetTable[Outcome]="Lose",0,IF(BetTable[Outcome]="Void",BetTable[Stake],)))))</f>
        <v>83.19</v>
      </c>
      <c r="AG1326" s="247">
        <f>IF(BetTable[Outcome2]="Win",BetTable[WBA2-Commission],IF(BetTable[Outcome2]="Win Half Stake",(BetTable[S2]/2)+BetTable[WBA2-Commission]/2,IF(BetTable[Outcome2]="Lose Half Stake",BetTable[S2]/2,IF(BetTable[Outcome2]="Lose",0,IF(BetTable[Outcome2]="Void",BetTable[S2],)))))</f>
        <v>0</v>
      </c>
      <c r="AH1326" s="247">
        <f>IF(BetTable[Outcome3]="Win",BetTable[WBA3-Commission],IF(BetTable[Outcome3]="Win Half Stake",(BetTable[S3]/2)+BetTable[WBA3-Commission]/2,IF(BetTable[Outcome3]="Lose Half Stake",BetTable[S3]/2,IF(BetTable[Outcome3]="Lose",0,IF(BetTable[Outcome3]="Void",BetTable[S3],)))))</f>
        <v>0</v>
      </c>
      <c r="AI1326" s="251">
        <f>IF(BetTable[Outcome]="",AI1325,BetTable[Result]+AI1325)</f>
        <v>2856.7977499999997</v>
      </c>
      <c r="AJ1326" s="243"/>
    </row>
    <row r="1327" spans="1:36" x14ac:dyDescent="0.2">
      <c r="A1327" s="242" t="s">
        <v>3151</v>
      </c>
      <c r="B1327" s="243" t="s">
        <v>7</v>
      </c>
      <c r="C1327" s="161" t="s">
        <v>91</v>
      </c>
      <c r="D1327" s="244"/>
      <c r="E1327" s="244"/>
      <c r="F1327" s="245"/>
      <c r="G1327" s="245"/>
      <c r="H1327" s="245"/>
      <c r="I1327" s="243" t="s">
        <v>3213</v>
      </c>
      <c r="J1327" s="246">
        <v>1.78</v>
      </c>
      <c r="K1327" s="246"/>
      <c r="L1327" s="246"/>
      <c r="M1327" s="247">
        <v>51</v>
      </c>
      <c r="N1327" s="247"/>
      <c r="O1327" s="247"/>
      <c r="P1327" s="242" t="s">
        <v>685</v>
      </c>
      <c r="Q1327" s="242" t="s">
        <v>488</v>
      </c>
      <c r="R1327" s="242" t="s">
        <v>3214</v>
      </c>
      <c r="S1327" s="248">
        <v>2.0226760705133601E-2</v>
      </c>
      <c r="T1327" s="249" t="s">
        <v>372</v>
      </c>
      <c r="U1327" s="249"/>
      <c r="V1327" s="249"/>
      <c r="W1327" s="250">
        <f>IF(BetTable[Sport]="","",BetTable[Stake]+BetTable[S2]+BetTable[S3])</f>
        <v>51</v>
      </c>
      <c r="X1327" s="247">
        <f>IF(BetTable[Odds]="","",(BetTable[WBA1-Commission])-BetTable[TS])</f>
        <v>39.78</v>
      </c>
      <c r="Y1327" s="251">
        <f>IF(BetTable[Outcome]="","",BetTable[WBA1]+BetTable[WBA2]+BetTable[WBA3]-BetTable[TS])</f>
        <v>39.78</v>
      </c>
      <c r="Z1327" s="247">
        <f>(((BetTable[Odds]-1)*BetTable[Stake])*(1-(BetTable[Comm %]))+BetTable[Stake])</f>
        <v>90.78</v>
      </c>
      <c r="AA1327" s="247">
        <f>(((BetTable[O2]-1)*BetTable[S2])*(1-(BetTable[C% 2]))+BetTable[S2])</f>
        <v>0</v>
      </c>
      <c r="AB1327" s="247">
        <f>(((BetTable[O3]-1)*BetTable[S3])*(1-(BetTable[C% 3]))+BetTable[S3])</f>
        <v>0</v>
      </c>
      <c r="AC1327" s="248">
        <f>IFERROR(IF(BetTable[Sport]="","",BetTable[R1]/BetTable[TS]),"")</f>
        <v>0.78</v>
      </c>
      <c r="AD1327" s="248" t="str">
        <f>IF(BetTable[O2]="","",#REF!/BetTable[TS])</f>
        <v/>
      </c>
      <c r="AE1327" s="248" t="str">
        <f>IFERROR(IF(BetTable[Sport]="","",#REF!/BetTable[TS]),"")</f>
        <v/>
      </c>
      <c r="AF1327" s="247">
        <f>IF(BetTable[Outcome]="Win",BetTable[WBA1-Commission],IF(BetTable[Outcome]="Win Half Stake",(BetTable[Stake]/2)+BetTable[WBA1-Commission]/2,IF(BetTable[Outcome]="Lose Half Stake",BetTable[Stake]/2,IF(BetTable[Outcome]="Lose",0,IF(BetTable[Outcome]="Void",BetTable[Stake],)))))</f>
        <v>90.78</v>
      </c>
      <c r="AG1327" s="247">
        <f>IF(BetTable[Outcome2]="Win",BetTable[WBA2-Commission],IF(BetTable[Outcome2]="Win Half Stake",(BetTable[S2]/2)+BetTable[WBA2-Commission]/2,IF(BetTable[Outcome2]="Lose Half Stake",BetTable[S2]/2,IF(BetTable[Outcome2]="Lose",0,IF(BetTable[Outcome2]="Void",BetTable[S2],)))))</f>
        <v>0</v>
      </c>
      <c r="AH1327" s="247">
        <f>IF(BetTable[Outcome3]="Win",BetTable[WBA3-Commission],IF(BetTable[Outcome3]="Win Half Stake",(BetTable[S3]/2)+BetTable[WBA3-Commission]/2,IF(BetTable[Outcome3]="Lose Half Stake",BetTable[S3]/2,IF(BetTable[Outcome3]="Lose",0,IF(BetTable[Outcome3]="Void",BetTable[S3],)))))</f>
        <v>0</v>
      </c>
      <c r="AI1327" s="251">
        <f>IF(BetTable[Outcome]="",AI1326,BetTable[Result]+AI1326)</f>
        <v>2896.5777499999999</v>
      </c>
      <c r="AJ1327" s="243"/>
    </row>
    <row r="1328" spans="1:36" x14ac:dyDescent="0.2">
      <c r="A1328" s="242" t="s">
        <v>3151</v>
      </c>
      <c r="B1328" s="243" t="s">
        <v>200</v>
      </c>
      <c r="C1328" s="161" t="s">
        <v>1714</v>
      </c>
      <c r="D1328" s="244"/>
      <c r="E1328" s="244"/>
      <c r="F1328" s="245"/>
      <c r="G1328" s="245"/>
      <c r="H1328" s="245"/>
      <c r="I1328" s="243" t="s">
        <v>3196</v>
      </c>
      <c r="J1328" s="246">
        <v>2.1110000000000002</v>
      </c>
      <c r="K1328" s="246"/>
      <c r="L1328" s="246"/>
      <c r="M1328" s="247">
        <v>28</v>
      </c>
      <c r="N1328" s="247"/>
      <c r="O1328" s="247"/>
      <c r="P1328" s="242" t="s">
        <v>3215</v>
      </c>
      <c r="Q1328" s="242" t="s">
        <v>474</v>
      </c>
      <c r="R1328" s="242" t="s">
        <v>3216</v>
      </c>
      <c r="S1328" s="248">
        <v>1.6056054912139898E-2</v>
      </c>
      <c r="T1328" s="249" t="s">
        <v>382</v>
      </c>
      <c r="U1328" s="249"/>
      <c r="V1328" s="249"/>
      <c r="W1328" s="250">
        <f>IF(BetTable[Sport]="","",BetTable[Stake]+BetTable[S2]+BetTable[S3])</f>
        <v>28</v>
      </c>
      <c r="X1328" s="247">
        <f>IF(BetTable[Odds]="","",(BetTable[WBA1-Commission])-BetTable[TS])</f>
        <v>31.108000000000004</v>
      </c>
      <c r="Y1328" s="251">
        <f>IF(BetTable[Outcome]="","",BetTable[WBA1]+BetTable[WBA2]+BetTable[WBA3]-BetTable[TS])</f>
        <v>-28</v>
      </c>
      <c r="Z1328" s="247">
        <f>(((BetTable[Odds]-1)*BetTable[Stake])*(1-(BetTable[Comm %]))+BetTable[Stake])</f>
        <v>59.108000000000004</v>
      </c>
      <c r="AA1328" s="247">
        <f>(((BetTable[O2]-1)*BetTable[S2])*(1-(BetTable[C% 2]))+BetTable[S2])</f>
        <v>0</v>
      </c>
      <c r="AB1328" s="247">
        <f>(((BetTable[O3]-1)*BetTable[S3])*(1-(BetTable[C% 3]))+BetTable[S3])</f>
        <v>0</v>
      </c>
      <c r="AC1328" s="248">
        <f>IFERROR(IF(BetTable[Sport]="","",BetTable[R1]/BetTable[TS]),"")</f>
        <v>1.1110000000000002</v>
      </c>
      <c r="AD1328" s="248" t="str">
        <f>IF(BetTable[O2]="","",#REF!/BetTable[TS])</f>
        <v/>
      </c>
      <c r="AE1328" s="248" t="str">
        <f>IFERROR(IF(BetTable[Sport]="","",#REF!/BetTable[TS]),"")</f>
        <v/>
      </c>
      <c r="AF1328" s="247">
        <f>IF(BetTable[Outcome]="Win",BetTable[WBA1-Commission],IF(BetTable[Outcome]="Win Half Stake",(BetTable[Stake]/2)+BetTable[WBA1-Commission]/2,IF(BetTable[Outcome]="Lose Half Stake",BetTable[Stake]/2,IF(BetTable[Outcome]="Lose",0,IF(BetTable[Outcome]="Void",BetTable[Stake],)))))</f>
        <v>0</v>
      </c>
      <c r="AG1328" s="247">
        <f>IF(BetTable[Outcome2]="Win",BetTable[WBA2-Commission],IF(BetTable[Outcome2]="Win Half Stake",(BetTable[S2]/2)+BetTable[WBA2-Commission]/2,IF(BetTable[Outcome2]="Lose Half Stake",BetTable[S2]/2,IF(BetTable[Outcome2]="Lose",0,IF(BetTable[Outcome2]="Void",BetTable[S2],)))))</f>
        <v>0</v>
      </c>
      <c r="AH1328" s="247">
        <f>IF(BetTable[Outcome3]="Win",BetTable[WBA3-Commission],IF(BetTable[Outcome3]="Win Half Stake",(BetTable[S3]/2)+BetTable[WBA3-Commission]/2,IF(BetTable[Outcome3]="Lose Half Stake",BetTable[S3]/2,IF(BetTable[Outcome3]="Lose",0,IF(BetTable[Outcome3]="Void",BetTable[S3],)))))</f>
        <v>0</v>
      </c>
      <c r="AI1328" s="251">
        <f>IF(BetTable[Outcome]="",AI1327,BetTable[Result]+AI1327)</f>
        <v>2868.5777499999999</v>
      </c>
      <c r="AJ1328" s="243"/>
    </row>
    <row r="1329" spans="1:36" x14ac:dyDescent="0.2">
      <c r="A1329" s="242" t="s">
        <v>3151</v>
      </c>
      <c r="B1329" s="243" t="s">
        <v>200</v>
      </c>
      <c r="C1329" s="161" t="s">
        <v>1714</v>
      </c>
      <c r="D1329" s="244"/>
      <c r="E1329" s="244"/>
      <c r="F1329" s="245"/>
      <c r="G1329" s="245"/>
      <c r="H1329" s="245"/>
      <c r="I1329" s="243" t="s">
        <v>3217</v>
      </c>
      <c r="J1329" s="246">
        <v>1.66</v>
      </c>
      <c r="K1329" s="246"/>
      <c r="L1329" s="246"/>
      <c r="M1329" s="247">
        <v>69</v>
      </c>
      <c r="N1329" s="247"/>
      <c r="O1329" s="247"/>
      <c r="P1329" s="242" t="s">
        <v>360</v>
      </c>
      <c r="Q1329" s="242" t="s">
        <v>432</v>
      </c>
      <c r="R1329" s="242" t="s">
        <v>3218</v>
      </c>
      <c r="S1329" s="248">
        <v>2.3405969659758798E-2</v>
      </c>
      <c r="T1329" s="249" t="s">
        <v>383</v>
      </c>
      <c r="U1329" s="249"/>
      <c r="V1329" s="249"/>
      <c r="W1329" s="250">
        <f>IF(BetTable[Sport]="","",BetTable[Stake]+BetTable[S2]+BetTable[S3])</f>
        <v>69</v>
      </c>
      <c r="X1329" s="247">
        <f>IF(BetTable[Odds]="","",(BetTable[WBA1-Commission])-BetTable[TS])</f>
        <v>45.539999999999992</v>
      </c>
      <c r="Y1329" s="251">
        <f>IF(BetTable[Outcome]="","",BetTable[WBA1]+BetTable[WBA2]+BetTable[WBA3]-BetTable[TS])</f>
        <v>0</v>
      </c>
      <c r="Z1329" s="247">
        <f>(((BetTable[Odds]-1)*BetTable[Stake])*(1-(BetTable[Comm %]))+BetTable[Stake])</f>
        <v>114.53999999999999</v>
      </c>
      <c r="AA1329" s="247">
        <f>(((BetTable[O2]-1)*BetTable[S2])*(1-(BetTable[C% 2]))+BetTable[S2])</f>
        <v>0</v>
      </c>
      <c r="AB1329" s="247">
        <f>(((BetTable[O3]-1)*BetTable[S3])*(1-(BetTable[C% 3]))+BetTable[S3])</f>
        <v>0</v>
      </c>
      <c r="AC1329" s="248">
        <f>IFERROR(IF(BetTable[Sport]="","",BetTable[R1]/BetTable[TS]),"")</f>
        <v>0.65999999999999992</v>
      </c>
      <c r="AD1329" s="248" t="str">
        <f>IF(BetTable[O2]="","",#REF!/BetTable[TS])</f>
        <v/>
      </c>
      <c r="AE1329" s="248" t="str">
        <f>IFERROR(IF(BetTable[Sport]="","",#REF!/BetTable[TS]),"")</f>
        <v/>
      </c>
      <c r="AF1329" s="247">
        <f>IF(BetTable[Outcome]="Win",BetTable[WBA1-Commission],IF(BetTable[Outcome]="Win Half Stake",(BetTable[Stake]/2)+BetTable[WBA1-Commission]/2,IF(BetTable[Outcome]="Lose Half Stake",BetTable[Stake]/2,IF(BetTable[Outcome]="Lose",0,IF(BetTable[Outcome]="Void",BetTable[Stake],)))))</f>
        <v>69</v>
      </c>
      <c r="AG1329" s="247">
        <f>IF(BetTable[Outcome2]="Win",BetTable[WBA2-Commission],IF(BetTable[Outcome2]="Win Half Stake",(BetTable[S2]/2)+BetTable[WBA2-Commission]/2,IF(BetTable[Outcome2]="Lose Half Stake",BetTable[S2]/2,IF(BetTable[Outcome2]="Lose",0,IF(BetTable[Outcome2]="Void",BetTable[S2],)))))</f>
        <v>0</v>
      </c>
      <c r="AH1329" s="247">
        <f>IF(BetTable[Outcome3]="Win",BetTable[WBA3-Commission],IF(BetTable[Outcome3]="Win Half Stake",(BetTable[S3]/2)+BetTable[WBA3-Commission]/2,IF(BetTable[Outcome3]="Lose Half Stake",BetTable[S3]/2,IF(BetTable[Outcome3]="Lose",0,IF(BetTable[Outcome3]="Void",BetTable[S3],)))))</f>
        <v>0</v>
      </c>
      <c r="AI1329" s="251">
        <f>IF(BetTable[Outcome]="",AI1328,BetTable[Result]+AI1328)</f>
        <v>2868.5777499999999</v>
      </c>
      <c r="AJ1329" s="243"/>
    </row>
    <row r="1330" spans="1:36" x14ac:dyDescent="0.2">
      <c r="A1330" s="159" t="s">
        <v>3151</v>
      </c>
      <c r="B1330" s="160" t="s">
        <v>7</v>
      </c>
      <c r="C1330" s="161" t="s">
        <v>91</v>
      </c>
      <c r="D1330" s="161"/>
      <c r="E1330" s="161"/>
      <c r="F1330" s="162"/>
      <c r="G1330" s="162"/>
      <c r="H1330" s="162"/>
      <c r="I1330" s="160" t="s">
        <v>3219</v>
      </c>
      <c r="J1330" s="163">
        <v>1.84</v>
      </c>
      <c r="K1330" s="163"/>
      <c r="L1330" s="163"/>
      <c r="M1330" s="164">
        <v>56</v>
      </c>
      <c r="N1330" s="164"/>
      <c r="O1330" s="164"/>
      <c r="P1330" s="159" t="s">
        <v>1883</v>
      </c>
      <c r="Q1330" s="159" t="s">
        <v>491</v>
      </c>
      <c r="R1330" s="159" t="s">
        <v>3220</v>
      </c>
      <c r="S1330" s="165">
        <v>2.42448236317848E-2</v>
      </c>
      <c r="T1330" s="166" t="s">
        <v>372</v>
      </c>
      <c r="U1330" s="166"/>
      <c r="V1330" s="166"/>
      <c r="W1330" s="167">
        <f>IF(BetTable[Sport]="","",BetTable[Stake]+BetTable[S2]+BetTable[S3])</f>
        <v>56</v>
      </c>
      <c r="X1330" s="164">
        <f>IF(BetTable[Odds]="","",(BetTable[WBA1-Commission])-BetTable[TS])</f>
        <v>47.040000000000006</v>
      </c>
      <c r="Y1330" s="168">
        <f>IF(BetTable[Outcome]="","",BetTable[WBA1]+BetTable[WBA2]+BetTable[WBA3]-BetTable[TS])</f>
        <v>47.040000000000006</v>
      </c>
      <c r="Z1330" s="164">
        <f>(((BetTable[Odds]-1)*BetTable[Stake])*(1-(BetTable[Comm %]))+BetTable[Stake])</f>
        <v>103.04</v>
      </c>
      <c r="AA1330" s="164">
        <f>(((BetTable[O2]-1)*BetTable[S2])*(1-(BetTable[C% 2]))+BetTable[S2])</f>
        <v>0</v>
      </c>
      <c r="AB1330" s="164">
        <f>(((BetTable[O3]-1)*BetTable[S3])*(1-(BetTable[C% 3]))+BetTable[S3])</f>
        <v>0</v>
      </c>
      <c r="AC1330" s="165">
        <f>IFERROR(IF(BetTable[Sport]="","",BetTable[R1]/BetTable[TS]),"")</f>
        <v>0.84000000000000008</v>
      </c>
      <c r="AD1330" s="165" t="str">
        <f>IF(BetTable[O2]="","",#REF!/BetTable[TS])</f>
        <v/>
      </c>
      <c r="AE1330" s="165" t="str">
        <f>IFERROR(IF(BetTable[Sport]="","",#REF!/BetTable[TS]),"")</f>
        <v/>
      </c>
      <c r="AF1330" s="164">
        <f>IF(BetTable[Outcome]="Win",BetTable[WBA1-Commission],IF(BetTable[Outcome]="Win Half Stake",(BetTable[Stake]/2)+BetTable[WBA1-Commission]/2,IF(BetTable[Outcome]="Lose Half Stake",BetTable[Stake]/2,IF(BetTable[Outcome]="Lose",0,IF(BetTable[Outcome]="Void",BetTable[Stake],)))))</f>
        <v>103.04</v>
      </c>
      <c r="AG1330" s="164">
        <f>IF(BetTable[Outcome2]="Win",BetTable[WBA2-Commission],IF(BetTable[Outcome2]="Win Half Stake",(BetTable[S2]/2)+BetTable[WBA2-Commission]/2,IF(BetTable[Outcome2]="Lose Half Stake",BetTable[S2]/2,IF(BetTable[Outcome2]="Lose",0,IF(BetTable[Outcome2]="Void",BetTable[S2],)))))</f>
        <v>0</v>
      </c>
      <c r="AH1330" s="164">
        <f>IF(BetTable[Outcome3]="Win",BetTable[WBA3-Commission],IF(BetTable[Outcome3]="Win Half Stake",(BetTable[S3]/2)+BetTable[WBA3-Commission]/2,IF(BetTable[Outcome3]="Lose Half Stake",BetTable[S3]/2,IF(BetTable[Outcome3]="Lose",0,IF(BetTable[Outcome3]="Void",BetTable[S3],)))))</f>
        <v>0</v>
      </c>
      <c r="AI1330" s="168">
        <f>IF(BetTable[Outcome]="",AI1329,BetTable[Result]+AI1329)</f>
        <v>2915.6177499999999</v>
      </c>
      <c r="AJ1330" s="160"/>
    </row>
    <row r="1331" spans="1:36" x14ac:dyDescent="0.2">
      <c r="A1331" s="159" t="s">
        <v>3151</v>
      </c>
      <c r="B1331" s="160" t="s">
        <v>201</v>
      </c>
      <c r="C1331" s="161" t="s">
        <v>91</v>
      </c>
      <c r="D1331" s="161"/>
      <c r="E1331" s="161"/>
      <c r="F1331" s="162"/>
      <c r="G1331" s="162"/>
      <c r="H1331" s="162"/>
      <c r="I1331" s="160" t="s">
        <v>3221</v>
      </c>
      <c r="J1331" s="163">
        <v>2.04</v>
      </c>
      <c r="K1331" s="163"/>
      <c r="L1331" s="163"/>
      <c r="M1331" s="164">
        <v>33</v>
      </c>
      <c r="N1331" s="164"/>
      <c r="O1331" s="164"/>
      <c r="P1331" s="159" t="s">
        <v>3222</v>
      </c>
      <c r="Q1331" s="159" t="s">
        <v>540</v>
      </c>
      <c r="R1331" s="159" t="s">
        <v>3223</v>
      </c>
      <c r="S1331" s="165">
        <v>1.7631959709083801E-2</v>
      </c>
      <c r="T1331" s="166" t="s">
        <v>382</v>
      </c>
      <c r="U1331" s="166"/>
      <c r="V1331" s="166"/>
      <c r="W1331" s="167">
        <f>IF(BetTable[Sport]="","",BetTable[Stake]+BetTable[S2]+BetTable[S3])</f>
        <v>33</v>
      </c>
      <c r="X1331" s="164">
        <f>IF(BetTable[Odds]="","",(BetTable[WBA1-Commission])-BetTable[TS])</f>
        <v>34.319999999999993</v>
      </c>
      <c r="Y1331" s="168">
        <f>IF(BetTable[Outcome]="","",BetTable[WBA1]+BetTable[WBA2]+BetTable[WBA3]-BetTable[TS])</f>
        <v>-33</v>
      </c>
      <c r="Z1331" s="164">
        <f>(((BetTable[Odds]-1)*BetTable[Stake])*(1-(BetTable[Comm %]))+BetTable[Stake])</f>
        <v>67.319999999999993</v>
      </c>
      <c r="AA1331" s="164">
        <f>(((BetTable[O2]-1)*BetTable[S2])*(1-(BetTable[C% 2]))+BetTable[S2])</f>
        <v>0</v>
      </c>
      <c r="AB1331" s="164">
        <f>(((BetTable[O3]-1)*BetTable[S3])*(1-(BetTable[C% 3]))+BetTable[S3])</f>
        <v>0</v>
      </c>
      <c r="AC1331" s="165">
        <f>IFERROR(IF(BetTable[Sport]="","",BetTable[R1]/BetTable[TS]),"")</f>
        <v>1.0399999999999998</v>
      </c>
      <c r="AD1331" s="165" t="str">
        <f>IF(BetTable[O2]="","",#REF!/BetTable[TS])</f>
        <v/>
      </c>
      <c r="AE1331" s="165" t="str">
        <f>IFERROR(IF(BetTable[Sport]="","",#REF!/BetTable[TS]),"")</f>
        <v/>
      </c>
      <c r="AF1331" s="164">
        <f>IF(BetTable[Outcome]="Win",BetTable[WBA1-Commission],IF(BetTable[Outcome]="Win Half Stake",(BetTable[Stake]/2)+BetTable[WBA1-Commission]/2,IF(BetTable[Outcome]="Lose Half Stake",BetTable[Stake]/2,IF(BetTable[Outcome]="Lose",0,IF(BetTable[Outcome]="Void",BetTable[Stake],)))))</f>
        <v>0</v>
      </c>
      <c r="AG1331" s="164">
        <f>IF(BetTable[Outcome2]="Win",BetTable[WBA2-Commission],IF(BetTable[Outcome2]="Win Half Stake",(BetTable[S2]/2)+BetTable[WBA2-Commission]/2,IF(BetTable[Outcome2]="Lose Half Stake",BetTable[S2]/2,IF(BetTable[Outcome2]="Lose",0,IF(BetTable[Outcome2]="Void",BetTable[S2],)))))</f>
        <v>0</v>
      </c>
      <c r="AH1331" s="164">
        <f>IF(BetTable[Outcome3]="Win",BetTable[WBA3-Commission],IF(BetTable[Outcome3]="Win Half Stake",(BetTable[S3]/2)+BetTable[WBA3-Commission]/2,IF(BetTable[Outcome3]="Lose Half Stake",BetTable[S3]/2,IF(BetTable[Outcome3]="Lose",0,IF(BetTable[Outcome3]="Void",BetTable[S3],)))))</f>
        <v>0</v>
      </c>
      <c r="AI1331" s="168">
        <f>IF(BetTable[Outcome]="",AI1330,BetTable[Result]+AI1330)</f>
        <v>2882.6177499999999</v>
      </c>
      <c r="AJ1331" s="160"/>
    </row>
    <row r="1332" spans="1:36" x14ac:dyDescent="0.2">
      <c r="A1332" s="159" t="s">
        <v>3151</v>
      </c>
      <c r="B1332" s="160" t="s">
        <v>200</v>
      </c>
      <c r="C1332" s="161" t="s">
        <v>1714</v>
      </c>
      <c r="D1332" s="161"/>
      <c r="E1332" s="161"/>
      <c r="F1332" s="162"/>
      <c r="G1332" s="162"/>
      <c r="H1332" s="162"/>
      <c r="I1332" s="160" t="s">
        <v>3224</v>
      </c>
      <c r="J1332" s="163">
        <v>2.1110000000000002</v>
      </c>
      <c r="K1332" s="163"/>
      <c r="L1332" s="163"/>
      <c r="M1332" s="164">
        <v>37</v>
      </c>
      <c r="N1332" s="164"/>
      <c r="O1332" s="164"/>
      <c r="P1332" s="159" t="s">
        <v>388</v>
      </c>
      <c r="Q1332" s="159" t="s">
        <v>474</v>
      </c>
      <c r="R1332" s="159" t="s">
        <v>3225</v>
      </c>
      <c r="S1332" s="165">
        <v>2.0973405728775402E-2</v>
      </c>
      <c r="T1332" s="166" t="s">
        <v>382</v>
      </c>
      <c r="U1332" s="166"/>
      <c r="V1332" s="166"/>
      <c r="W1332" s="167">
        <f>IF(BetTable[Sport]="","",BetTable[Stake]+BetTable[S2]+BetTable[S3])</f>
        <v>37</v>
      </c>
      <c r="X1332" s="164">
        <f>IF(BetTable[Odds]="","",(BetTable[WBA1-Commission])-BetTable[TS])</f>
        <v>41.106999999999999</v>
      </c>
      <c r="Y1332" s="168">
        <f>IF(BetTable[Outcome]="","",BetTable[WBA1]+BetTable[WBA2]+BetTable[WBA3]-BetTable[TS])</f>
        <v>-37</v>
      </c>
      <c r="Z1332" s="164">
        <f>(((BetTable[Odds]-1)*BetTable[Stake])*(1-(BetTable[Comm %]))+BetTable[Stake])</f>
        <v>78.106999999999999</v>
      </c>
      <c r="AA1332" s="164">
        <f>(((BetTable[O2]-1)*BetTable[S2])*(1-(BetTable[C% 2]))+BetTable[S2])</f>
        <v>0</v>
      </c>
      <c r="AB1332" s="164">
        <f>(((BetTable[O3]-1)*BetTable[S3])*(1-(BetTable[C% 3]))+BetTable[S3])</f>
        <v>0</v>
      </c>
      <c r="AC1332" s="165">
        <f>IFERROR(IF(BetTable[Sport]="","",BetTable[R1]/BetTable[TS]),"")</f>
        <v>1.111</v>
      </c>
      <c r="AD1332" s="165" t="str">
        <f>IF(BetTable[O2]="","",#REF!/BetTable[TS])</f>
        <v/>
      </c>
      <c r="AE1332" s="165" t="str">
        <f>IFERROR(IF(BetTable[Sport]="","",#REF!/BetTable[TS]),"")</f>
        <v/>
      </c>
      <c r="AF1332" s="164">
        <f>IF(BetTable[Outcome]="Win",BetTable[WBA1-Commission],IF(BetTable[Outcome]="Win Half Stake",(BetTable[Stake]/2)+BetTable[WBA1-Commission]/2,IF(BetTable[Outcome]="Lose Half Stake",BetTable[Stake]/2,IF(BetTable[Outcome]="Lose",0,IF(BetTable[Outcome]="Void",BetTable[Stake],)))))</f>
        <v>0</v>
      </c>
      <c r="AG1332" s="164">
        <f>IF(BetTable[Outcome2]="Win",BetTable[WBA2-Commission],IF(BetTable[Outcome2]="Win Half Stake",(BetTable[S2]/2)+BetTable[WBA2-Commission]/2,IF(BetTable[Outcome2]="Lose Half Stake",BetTable[S2]/2,IF(BetTable[Outcome2]="Lose",0,IF(BetTable[Outcome2]="Void",BetTable[S2],)))))</f>
        <v>0</v>
      </c>
      <c r="AH1332" s="164">
        <f>IF(BetTable[Outcome3]="Win",BetTable[WBA3-Commission],IF(BetTable[Outcome3]="Win Half Stake",(BetTable[S3]/2)+BetTable[WBA3-Commission]/2,IF(BetTable[Outcome3]="Lose Half Stake",BetTable[S3]/2,IF(BetTable[Outcome3]="Lose",0,IF(BetTable[Outcome3]="Void",BetTable[S3],)))))</f>
        <v>0</v>
      </c>
      <c r="AI1332" s="168">
        <f>IF(BetTable[Outcome]="",AI1331,BetTable[Result]+AI1331)</f>
        <v>2845.6177499999999</v>
      </c>
      <c r="AJ1332" s="160"/>
    </row>
    <row r="1333" spans="1:36" x14ac:dyDescent="0.2">
      <c r="A1333" s="159" t="s">
        <v>3151</v>
      </c>
      <c r="B1333" s="160" t="s">
        <v>7</v>
      </c>
      <c r="C1333" s="161" t="s">
        <v>91</v>
      </c>
      <c r="D1333" s="161"/>
      <c r="E1333" s="161"/>
      <c r="F1333" s="162"/>
      <c r="G1333" s="162"/>
      <c r="H1333" s="162"/>
      <c r="I1333" s="160" t="s">
        <v>3226</v>
      </c>
      <c r="J1333" s="163">
        <v>1.94</v>
      </c>
      <c r="K1333" s="163"/>
      <c r="L1333" s="163"/>
      <c r="M1333" s="164">
        <v>64</v>
      </c>
      <c r="N1333" s="164"/>
      <c r="O1333" s="164"/>
      <c r="P1333" s="159" t="s">
        <v>948</v>
      </c>
      <c r="Q1333" s="159" t="s">
        <v>1291</v>
      </c>
      <c r="R1333" s="159" t="s">
        <v>3227</v>
      </c>
      <c r="S1333" s="165">
        <v>3.6895219563263103E-2</v>
      </c>
      <c r="T1333" s="166" t="s">
        <v>382</v>
      </c>
      <c r="U1333" s="166"/>
      <c r="V1333" s="166"/>
      <c r="W1333" s="167">
        <f>IF(BetTable[Sport]="","",BetTable[Stake]+BetTable[S2]+BetTable[S3])</f>
        <v>64</v>
      </c>
      <c r="X1333" s="164">
        <f>IF(BetTable[Odds]="","",(BetTable[WBA1-Commission])-BetTable[TS])</f>
        <v>60.16</v>
      </c>
      <c r="Y1333" s="168">
        <f>IF(BetTable[Outcome]="","",BetTable[WBA1]+BetTable[WBA2]+BetTable[WBA3]-BetTable[TS])</f>
        <v>-64</v>
      </c>
      <c r="Z1333" s="164">
        <f>(((BetTable[Odds]-1)*BetTable[Stake])*(1-(BetTable[Comm %]))+BetTable[Stake])</f>
        <v>124.16</v>
      </c>
      <c r="AA1333" s="164">
        <f>(((BetTable[O2]-1)*BetTable[S2])*(1-(BetTable[C% 2]))+BetTable[S2])</f>
        <v>0</v>
      </c>
      <c r="AB1333" s="164">
        <f>(((BetTable[O3]-1)*BetTable[S3])*(1-(BetTable[C% 3]))+BetTable[S3])</f>
        <v>0</v>
      </c>
      <c r="AC1333" s="165">
        <f>IFERROR(IF(BetTable[Sport]="","",BetTable[R1]/BetTable[TS]),"")</f>
        <v>0.94</v>
      </c>
      <c r="AD1333" s="165" t="str">
        <f>IF(BetTable[O2]="","",#REF!/BetTable[TS])</f>
        <v/>
      </c>
      <c r="AE1333" s="165" t="str">
        <f>IFERROR(IF(BetTable[Sport]="","",#REF!/BetTable[TS]),"")</f>
        <v/>
      </c>
      <c r="AF1333" s="164">
        <f>IF(BetTable[Outcome]="Win",BetTable[WBA1-Commission],IF(BetTable[Outcome]="Win Half Stake",(BetTable[Stake]/2)+BetTable[WBA1-Commission]/2,IF(BetTable[Outcome]="Lose Half Stake",BetTable[Stake]/2,IF(BetTable[Outcome]="Lose",0,IF(BetTable[Outcome]="Void",BetTable[Stake],)))))</f>
        <v>0</v>
      </c>
      <c r="AG1333" s="164">
        <f>IF(BetTable[Outcome2]="Win",BetTable[WBA2-Commission],IF(BetTable[Outcome2]="Win Half Stake",(BetTable[S2]/2)+BetTable[WBA2-Commission]/2,IF(BetTable[Outcome2]="Lose Half Stake",BetTable[S2]/2,IF(BetTable[Outcome2]="Lose",0,IF(BetTable[Outcome2]="Void",BetTable[S2],)))))</f>
        <v>0</v>
      </c>
      <c r="AH1333" s="164">
        <f>IF(BetTable[Outcome3]="Win",BetTable[WBA3-Commission],IF(BetTable[Outcome3]="Win Half Stake",(BetTable[S3]/2)+BetTable[WBA3-Commission]/2,IF(BetTable[Outcome3]="Lose Half Stake",BetTable[S3]/2,IF(BetTable[Outcome3]="Lose",0,IF(BetTable[Outcome3]="Void",BetTable[S3],)))))</f>
        <v>0</v>
      </c>
      <c r="AI1333" s="168">
        <f>IF(BetTable[Outcome]="",AI1332,BetTable[Result]+AI1332)</f>
        <v>2781.6177499999999</v>
      </c>
      <c r="AJ1333" s="160"/>
    </row>
    <row r="1334" spans="1:36" x14ac:dyDescent="0.2">
      <c r="A1334" s="159" t="s">
        <v>3151</v>
      </c>
      <c r="B1334" s="160" t="s">
        <v>9</v>
      </c>
      <c r="C1334" s="161" t="s">
        <v>91</v>
      </c>
      <c r="D1334" s="161"/>
      <c r="E1334" s="161"/>
      <c r="F1334" s="162"/>
      <c r="G1334" s="162"/>
      <c r="H1334" s="162"/>
      <c r="I1334" s="160" t="s">
        <v>3228</v>
      </c>
      <c r="J1334" s="163">
        <v>1.81</v>
      </c>
      <c r="K1334" s="163"/>
      <c r="L1334" s="163"/>
      <c r="M1334" s="164">
        <v>47</v>
      </c>
      <c r="N1334" s="164"/>
      <c r="O1334" s="164"/>
      <c r="P1334" s="159" t="s">
        <v>1320</v>
      </c>
      <c r="Q1334" s="159" t="s">
        <v>458</v>
      </c>
      <c r="R1334" s="159" t="s">
        <v>3229</v>
      </c>
      <c r="S1334" s="165">
        <v>1.9659696770095401E-2</v>
      </c>
      <c r="T1334" s="166" t="s">
        <v>372</v>
      </c>
      <c r="U1334" s="166"/>
      <c r="V1334" s="166"/>
      <c r="W1334" s="167">
        <f>IF(BetTable[Sport]="","",BetTable[Stake]+BetTable[S2]+BetTable[S3])</f>
        <v>47</v>
      </c>
      <c r="X1334" s="164">
        <f>IF(BetTable[Odds]="","",(BetTable[WBA1-Commission])-BetTable[TS])</f>
        <v>38.069999999999993</v>
      </c>
      <c r="Y1334" s="168">
        <f>IF(BetTable[Outcome]="","",BetTable[WBA1]+BetTable[WBA2]+BetTable[WBA3]-BetTable[TS])</f>
        <v>38.069999999999993</v>
      </c>
      <c r="Z1334" s="164">
        <f>(((BetTable[Odds]-1)*BetTable[Stake])*(1-(BetTable[Comm %]))+BetTable[Stake])</f>
        <v>85.07</v>
      </c>
      <c r="AA1334" s="164">
        <f>(((BetTable[O2]-1)*BetTable[S2])*(1-(BetTable[C% 2]))+BetTable[S2])</f>
        <v>0</v>
      </c>
      <c r="AB1334" s="164">
        <f>(((BetTable[O3]-1)*BetTable[S3])*(1-(BetTable[C% 3]))+BetTable[S3])</f>
        <v>0</v>
      </c>
      <c r="AC1334" s="165">
        <f>IFERROR(IF(BetTable[Sport]="","",BetTable[R1]/BetTable[TS]),"")</f>
        <v>0.80999999999999983</v>
      </c>
      <c r="AD1334" s="165" t="str">
        <f>IF(BetTable[O2]="","",#REF!/BetTable[TS])</f>
        <v/>
      </c>
      <c r="AE1334" s="165" t="str">
        <f>IFERROR(IF(BetTable[Sport]="","",#REF!/BetTable[TS]),"")</f>
        <v/>
      </c>
      <c r="AF1334" s="164">
        <f>IF(BetTable[Outcome]="Win",BetTable[WBA1-Commission],IF(BetTable[Outcome]="Win Half Stake",(BetTable[Stake]/2)+BetTable[WBA1-Commission]/2,IF(BetTable[Outcome]="Lose Half Stake",BetTable[Stake]/2,IF(BetTable[Outcome]="Lose",0,IF(BetTable[Outcome]="Void",BetTable[Stake],)))))</f>
        <v>85.07</v>
      </c>
      <c r="AG1334" s="164">
        <f>IF(BetTable[Outcome2]="Win",BetTable[WBA2-Commission],IF(BetTable[Outcome2]="Win Half Stake",(BetTable[S2]/2)+BetTable[WBA2-Commission]/2,IF(BetTable[Outcome2]="Lose Half Stake",BetTable[S2]/2,IF(BetTable[Outcome2]="Lose",0,IF(BetTable[Outcome2]="Void",BetTable[S2],)))))</f>
        <v>0</v>
      </c>
      <c r="AH1334" s="164">
        <f>IF(BetTable[Outcome3]="Win",BetTable[WBA3-Commission],IF(BetTable[Outcome3]="Win Half Stake",(BetTable[S3]/2)+BetTable[WBA3-Commission]/2,IF(BetTable[Outcome3]="Lose Half Stake",BetTable[S3]/2,IF(BetTable[Outcome3]="Lose",0,IF(BetTable[Outcome3]="Void",BetTable[S3],)))))</f>
        <v>0</v>
      </c>
      <c r="AI1334" s="168">
        <f>IF(BetTable[Outcome]="",AI1333,BetTable[Result]+AI1333)</f>
        <v>2819.6877500000001</v>
      </c>
      <c r="AJ1334" s="160"/>
    </row>
    <row r="1335" spans="1:36" x14ac:dyDescent="0.2">
      <c r="A1335" s="159" t="s">
        <v>3151</v>
      </c>
      <c r="B1335" s="160" t="s">
        <v>200</v>
      </c>
      <c r="C1335" s="161" t="s">
        <v>1714</v>
      </c>
      <c r="D1335" s="161"/>
      <c r="E1335" s="161"/>
      <c r="F1335" s="162"/>
      <c r="G1335" s="162"/>
      <c r="H1335" s="162"/>
      <c r="I1335" s="160" t="s">
        <v>3207</v>
      </c>
      <c r="J1335" s="163">
        <v>1.93</v>
      </c>
      <c r="K1335" s="163"/>
      <c r="L1335" s="163"/>
      <c r="M1335" s="164">
        <v>36</v>
      </c>
      <c r="N1335" s="164"/>
      <c r="O1335" s="164"/>
      <c r="P1335" s="159" t="s">
        <v>868</v>
      </c>
      <c r="Q1335" s="159" t="s">
        <v>461</v>
      </c>
      <c r="R1335" s="159" t="s">
        <v>3230</v>
      </c>
      <c r="S1335" s="165">
        <v>1.71645225316048E-2</v>
      </c>
      <c r="T1335" s="166" t="s">
        <v>382</v>
      </c>
      <c r="U1335" s="166"/>
      <c r="V1335" s="166"/>
      <c r="W1335" s="167">
        <f>IF(BetTable[Sport]="","",BetTable[Stake]+BetTable[S2]+BetTable[S3])</f>
        <v>36</v>
      </c>
      <c r="X1335" s="164">
        <f>IF(BetTable[Odds]="","",(BetTable[WBA1-Commission])-BetTable[TS])</f>
        <v>33.47999999999999</v>
      </c>
      <c r="Y1335" s="168">
        <f>IF(BetTable[Outcome]="","",BetTable[WBA1]+BetTable[WBA2]+BetTable[WBA3]-BetTable[TS])</f>
        <v>-36</v>
      </c>
      <c r="Z1335" s="164">
        <f>(((BetTable[Odds]-1)*BetTable[Stake])*(1-(BetTable[Comm %]))+BetTable[Stake])</f>
        <v>69.47999999999999</v>
      </c>
      <c r="AA1335" s="164">
        <f>(((BetTable[O2]-1)*BetTable[S2])*(1-(BetTable[C% 2]))+BetTable[S2])</f>
        <v>0</v>
      </c>
      <c r="AB1335" s="164">
        <f>(((BetTable[O3]-1)*BetTable[S3])*(1-(BetTable[C% 3]))+BetTable[S3])</f>
        <v>0</v>
      </c>
      <c r="AC1335" s="165">
        <f>IFERROR(IF(BetTable[Sport]="","",BetTable[R1]/BetTable[TS]),"")</f>
        <v>0.92999999999999972</v>
      </c>
      <c r="AD1335" s="165" t="str">
        <f>IF(BetTable[O2]="","",#REF!/BetTable[TS])</f>
        <v/>
      </c>
      <c r="AE1335" s="165" t="str">
        <f>IFERROR(IF(BetTable[Sport]="","",#REF!/BetTable[TS]),"")</f>
        <v/>
      </c>
      <c r="AF1335" s="164">
        <f>IF(BetTable[Outcome]="Win",BetTable[WBA1-Commission],IF(BetTable[Outcome]="Win Half Stake",(BetTable[Stake]/2)+BetTable[WBA1-Commission]/2,IF(BetTable[Outcome]="Lose Half Stake",BetTable[Stake]/2,IF(BetTable[Outcome]="Lose",0,IF(BetTable[Outcome]="Void",BetTable[Stake],)))))</f>
        <v>0</v>
      </c>
      <c r="AG1335" s="164">
        <f>IF(BetTable[Outcome2]="Win",BetTable[WBA2-Commission],IF(BetTable[Outcome2]="Win Half Stake",(BetTable[S2]/2)+BetTable[WBA2-Commission]/2,IF(BetTable[Outcome2]="Lose Half Stake",BetTable[S2]/2,IF(BetTable[Outcome2]="Lose",0,IF(BetTable[Outcome2]="Void",BetTable[S2],)))))</f>
        <v>0</v>
      </c>
      <c r="AH1335" s="164">
        <f>IF(BetTable[Outcome3]="Win",BetTable[WBA3-Commission],IF(BetTable[Outcome3]="Win Half Stake",(BetTable[S3]/2)+BetTable[WBA3-Commission]/2,IF(BetTable[Outcome3]="Lose Half Stake",BetTable[S3]/2,IF(BetTable[Outcome3]="Lose",0,IF(BetTable[Outcome3]="Void",BetTable[S3],)))))</f>
        <v>0</v>
      </c>
      <c r="AI1335" s="168">
        <f>IF(BetTable[Outcome]="",AI1334,BetTable[Result]+AI1334)</f>
        <v>2783.6877500000001</v>
      </c>
      <c r="AJ1335" s="160"/>
    </row>
    <row r="1336" spans="1:36" x14ac:dyDescent="0.2">
      <c r="A1336" s="159" t="s">
        <v>3151</v>
      </c>
      <c r="B1336" s="160" t="s">
        <v>7</v>
      </c>
      <c r="C1336" s="161" t="s">
        <v>91</v>
      </c>
      <c r="D1336" s="161"/>
      <c r="E1336" s="161"/>
      <c r="F1336" s="162"/>
      <c r="G1336" s="162"/>
      <c r="H1336" s="162"/>
      <c r="I1336" s="160" t="s">
        <v>3232</v>
      </c>
      <c r="J1336" s="163">
        <v>1.81</v>
      </c>
      <c r="K1336" s="163"/>
      <c r="L1336" s="163"/>
      <c r="M1336" s="164">
        <v>58</v>
      </c>
      <c r="N1336" s="164"/>
      <c r="O1336" s="164"/>
      <c r="P1336" s="159" t="s">
        <v>2679</v>
      </c>
      <c r="Q1336" s="159" t="s">
        <v>540</v>
      </c>
      <c r="R1336" s="159" t="s">
        <v>3233</v>
      </c>
      <c r="S1336" s="165">
        <v>2.3962146894246E-2</v>
      </c>
      <c r="T1336" s="166" t="s">
        <v>382</v>
      </c>
      <c r="U1336" s="166"/>
      <c r="V1336" s="166"/>
      <c r="W1336" s="167">
        <f>IF(BetTable[Sport]="","",BetTable[Stake]+BetTable[S2]+BetTable[S3])</f>
        <v>58</v>
      </c>
      <c r="X1336" s="164">
        <f>IF(BetTable[Odds]="","",(BetTable[WBA1-Commission])-BetTable[TS])</f>
        <v>46.980000000000004</v>
      </c>
      <c r="Y1336" s="168">
        <f>IF(BetTable[Outcome]="","",BetTable[WBA1]+BetTable[WBA2]+BetTable[WBA3]-BetTable[TS])</f>
        <v>-58</v>
      </c>
      <c r="Z1336" s="164">
        <f>(((BetTable[Odds]-1)*BetTable[Stake])*(1-(BetTable[Comm %]))+BetTable[Stake])</f>
        <v>104.98</v>
      </c>
      <c r="AA1336" s="164">
        <f>(((BetTable[O2]-1)*BetTable[S2])*(1-(BetTable[C% 2]))+BetTable[S2])</f>
        <v>0</v>
      </c>
      <c r="AB1336" s="164">
        <f>(((BetTable[O3]-1)*BetTable[S3])*(1-(BetTable[C% 3]))+BetTable[S3])</f>
        <v>0</v>
      </c>
      <c r="AC1336" s="165">
        <f>IFERROR(IF(BetTable[Sport]="","",BetTable[R1]/BetTable[TS]),"")</f>
        <v>0.81</v>
      </c>
      <c r="AD1336" s="165" t="str">
        <f>IF(BetTable[O2]="","",#REF!/BetTable[TS])</f>
        <v/>
      </c>
      <c r="AE1336" s="165" t="str">
        <f>IFERROR(IF(BetTable[Sport]="","",#REF!/BetTable[TS]),"")</f>
        <v/>
      </c>
      <c r="AF1336" s="164">
        <f>IF(BetTable[Outcome]="Win",BetTable[WBA1-Commission],IF(BetTable[Outcome]="Win Half Stake",(BetTable[Stake]/2)+BetTable[WBA1-Commission]/2,IF(BetTable[Outcome]="Lose Half Stake",BetTable[Stake]/2,IF(BetTable[Outcome]="Lose",0,IF(BetTable[Outcome]="Void",BetTable[Stake],)))))</f>
        <v>0</v>
      </c>
      <c r="AG1336" s="164">
        <f>IF(BetTable[Outcome2]="Win",BetTable[WBA2-Commission],IF(BetTable[Outcome2]="Win Half Stake",(BetTable[S2]/2)+BetTable[WBA2-Commission]/2,IF(BetTable[Outcome2]="Lose Half Stake",BetTable[S2]/2,IF(BetTable[Outcome2]="Lose",0,IF(BetTable[Outcome2]="Void",BetTable[S2],)))))</f>
        <v>0</v>
      </c>
      <c r="AH1336" s="164">
        <f>IF(BetTable[Outcome3]="Win",BetTable[WBA3-Commission],IF(BetTable[Outcome3]="Win Half Stake",(BetTable[S3]/2)+BetTable[WBA3-Commission]/2,IF(BetTable[Outcome3]="Lose Half Stake",BetTable[S3]/2,IF(BetTable[Outcome3]="Lose",0,IF(BetTable[Outcome3]="Void",BetTable[S3],)))))</f>
        <v>0</v>
      </c>
      <c r="AI1336" s="168">
        <f>IF(BetTable[Outcome]="",AI1335,BetTable[Result]+AI1335)</f>
        <v>2725.6877500000001</v>
      </c>
      <c r="AJ1336" s="160"/>
    </row>
    <row r="1337" spans="1:36" x14ac:dyDescent="0.2">
      <c r="A1337" s="159" t="s">
        <v>3151</v>
      </c>
      <c r="B1337" s="160" t="s">
        <v>200</v>
      </c>
      <c r="C1337" s="161" t="s">
        <v>1714</v>
      </c>
      <c r="D1337" s="161"/>
      <c r="E1337" s="161"/>
      <c r="F1337" s="162"/>
      <c r="G1337" s="162"/>
      <c r="H1337" s="162"/>
      <c r="I1337" s="160" t="s">
        <v>3234</v>
      </c>
      <c r="J1337" s="163">
        <v>1.84</v>
      </c>
      <c r="K1337" s="163"/>
      <c r="L1337" s="163"/>
      <c r="M1337" s="164">
        <v>40</v>
      </c>
      <c r="N1337" s="164"/>
      <c r="O1337" s="164"/>
      <c r="P1337" s="159" t="s">
        <v>385</v>
      </c>
      <c r="Q1337" s="159" t="s">
        <v>432</v>
      </c>
      <c r="R1337" s="159" t="s">
        <v>3235</v>
      </c>
      <c r="S1337" s="165">
        <v>1.7243147693560799E-2</v>
      </c>
      <c r="T1337" s="166" t="s">
        <v>383</v>
      </c>
      <c r="U1337" s="166"/>
      <c r="V1337" s="166"/>
      <c r="W1337" s="167">
        <f>IF(BetTable[Sport]="","",BetTable[Stake]+BetTable[S2]+BetTable[S3])</f>
        <v>40</v>
      </c>
      <c r="X1337" s="164">
        <f>IF(BetTable[Odds]="","",(BetTable[WBA1-Commission])-BetTable[TS])</f>
        <v>33.599999999999994</v>
      </c>
      <c r="Y1337" s="168">
        <f>IF(BetTable[Outcome]="","",BetTable[WBA1]+BetTable[WBA2]+BetTable[WBA3]-BetTable[TS])</f>
        <v>0</v>
      </c>
      <c r="Z1337" s="164">
        <f>(((BetTable[Odds]-1)*BetTable[Stake])*(1-(BetTable[Comm %]))+BetTable[Stake])</f>
        <v>73.599999999999994</v>
      </c>
      <c r="AA1337" s="164">
        <f>(((BetTable[O2]-1)*BetTable[S2])*(1-(BetTable[C% 2]))+BetTable[S2])</f>
        <v>0</v>
      </c>
      <c r="AB1337" s="164">
        <f>(((BetTable[O3]-1)*BetTable[S3])*(1-(BetTable[C% 3]))+BetTable[S3])</f>
        <v>0</v>
      </c>
      <c r="AC1337" s="165">
        <f>IFERROR(IF(BetTable[Sport]="","",BetTable[R1]/BetTable[TS]),"")</f>
        <v>0.83999999999999986</v>
      </c>
      <c r="AD1337" s="165" t="str">
        <f>IF(BetTable[O2]="","",#REF!/BetTable[TS])</f>
        <v/>
      </c>
      <c r="AE1337" s="165" t="str">
        <f>IFERROR(IF(BetTable[Sport]="","",#REF!/BetTable[TS]),"")</f>
        <v/>
      </c>
      <c r="AF1337" s="164">
        <f>IF(BetTable[Outcome]="Win",BetTable[WBA1-Commission],IF(BetTable[Outcome]="Win Half Stake",(BetTable[Stake]/2)+BetTable[WBA1-Commission]/2,IF(BetTable[Outcome]="Lose Half Stake",BetTable[Stake]/2,IF(BetTable[Outcome]="Lose",0,IF(BetTable[Outcome]="Void",BetTable[Stake],)))))</f>
        <v>40</v>
      </c>
      <c r="AG1337" s="164">
        <f>IF(BetTable[Outcome2]="Win",BetTable[WBA2-Commission],IF(BetTable[Outcome2]="Win Half Stake",(BetTable[S2]/2)+BetTable[WBA2-Commission]/2,IF(BetTable[Outcome2]="Lose Half Stake",BetTable[S2]/2,IF(BetTable[Outcome2]="Lose",0,IF(BetTable[Outcome2]="Void",BetTable[S2],)))))</f>
        <v>0</v>
      </c>
      <c r="AH1337" s="164">
        <f>IF(BetTable[Outcome3]="Win",BetTable[WBA3-Commission],IF(BetTable[Outcome3]="Win Half Stake",(BetTable[S3]/2)+BetTable[WBA3-Commission]/2,IF(BetTable[Outcome3]="Lose Half Stake",BetTable[S3]/2,IF(BetTable[Outcome3]="Lose",0,IF(BetTable[Outcome3]="Void",BetTable[S3],)))))</f>
        <v>0</v>
      </c>
      <c r="AI1337" s="168">
        <f>IF(BetTable[Outcome]="",AI1336,BetTable[Result]+AI1336)</f>
        <v>2725.6877500000001</v>
      </c>
      <c r="AJ1337" s="160"/>
    </row>
    <row r="1338" spans="1:36" x14ac:dyDescent="0.2">
      <c r="A1338" s="159" t="s">
        <v>3151</v>
      </c>
      <c r="B1338" s="160" t="s">
        <v>200</v>
      </c>
      <c r="C1338" s="161" t="s">
        <v>1714</v>
      </c>
      <c r="D1338" s="161"/>
      <c r="E1338" s="161"/>
      <c r="F1338" s="162"/>
      <c r="G1338" s="162"/>
      <c r="H1338" s="162"/>
      <c r="I1338" s="160" t="s">
        <v>3236</v>
      </c>
      <c r="J1338" s="163">
        <v>1.86</v>
      </c>
      <c r="K1338" s="163"/>
      <c r="L1338" s="163"/>
      <c r="M1338" s="164">
        <v>39</v>
      </c>
      <c r="N1338" s="164"/>
      <c r="O1338" s="164"/>
      <c r="P1338" s="159" t="s">
        <v>351</v>
      </c>
      <c r="Q1338" s="159" t="s">
        <v>882</v>
      </c>
      <c r="R1338" s="159" t="s">
        <v>3237</v>
      </c>
      <c r="S1338" s="165">
        <v>1.7140161876337202E-2</v>
      </c>
      <c r="T1338" s="166" t="s">
        <v>372</v>
      </c>
      <c r="U1338" s="166"/>
      <c r="V1338" s="166"/>
      <c r="W1338" s="167">
        <f>IF(BetTable[Sport]="","",BetTable[Stake]+BetTable[S2]+BetTable[S3])</f>
        <v>39</v>
      </c>
      <c r="X1338" s="164">
        <f>IF(BetTable[Odds]="","",(BetTable[WBA1-Commission])-BetTable[TS])</f>
        <v>33.540000000000006</v>
      </c>
      <c r="Y1338" s="168">
        <f>IF(BetTable[Outcome]="","",BetTable[WBA1]+BetTable[WBA2]+BetTable[WBA3]-BetTable[TS])</f>
        <v>33.540000000000006</v>
      </c>
      <c r="Z1338" s="164">
        <f>(((BetTable[Odds]-1)*BetTable[Stake])*(1-(BetTable[Comm %]))+BetTable[Stake])</f>
        <v>72.540000000000006</v>
      </c>
      <c r="AA1338" s="164">
        <f>(((BetTable[O2]-1)*BetTable[S2])*(1-(BetTable[C% 2]))+BetTable[S2])</f>
        <v>0</v>
      </c>
      <c r="AB1338" s="164">
        <f>(((BetTable[O3]-1)*BetTable[S3])*(1-(BetTable[C% 3]))+BetTable[S3])</f>
        <v>0</v>
      </c>
      <c r="AC1338" s="165">
        <f>IFERROR(IF(BetTable[Sport]="","",BetTable[R1]/BetTable[TS]),"")</f>
        <v>0.86000000000000021</v>
      </c>
      <c r="AD1338" s="165" t="str">
        <f>IF(BetTable[O2]="","",#REF!/BetTable[TS])</f>
        <v/>
      </c>
      <c r="AE1338" s="165" t="str">
        <f>IFERROR(IF(BetTable[Sport]="","",#REF!/BetTable[TS]),"")</f>
        <v/>
      </c>
      <c r="AF1338" s="164">
        <f>IF(BetTable[Outcome]="Win",BetTable[WBA1-Commission],IF(BetTable[Outcome]="Win Half Stake",(BetTable[Stake]/2)+BetTable[WBA1-Commission]/2,IF(BetTable[Outcome]="Lose Half Stake",BetTable[Stake]/2,IF(BetTable[Outcome]="Lose",0,IF(BetTable[Outcome]="Void",BetTable[Stake],)))))</f>
        <v>72.540000000000006</v>
      </c>
      <c r="AG1338" s="164">
        <f>IF(BetTable[Outcome2]="Win",BetTable[WBA2-Commission],IF(BetTable[Outcome2]="Win Half Stake",(BetTable[S2]/2)+BetTable[WBA2-Commission]/2,IF(BetTable[Outcome2]="Lose Half Stake",BetTable[S2]/2,IF(BetTable[Outcome2]="Lose",0,IF(BetTable[Outcome2]="Void",BetTable[S2],)))))</f>
        <v>0</v>
      </c>
      <c r="AH1338" s="164">
        <f>IF(BetTable[Outcome3]="Win",BetTable[WBA3-Commission],IF(BetTable[Outcome3]="Win Half Stake",(BetTable[S3]/2)+BetTable[WBA3-Commission]/2,IF(BetTable[Outcome3]="Lose Half Stake",BetTable[S3]/2,IF(BetTable[Outcome3]="Lose",0,IF(BetTable[Outcome3]="Void",BetTable[S3],)))))</f>
        <v>0</v>
      </c>
      <c r="AI1338" s="168">
        <f>IF(BetTable[Outcome]="",AI1337,BetTable[Result]+AI1337)</f>
        <v>2759.22775</v>
      </c>
      <c r="AJ1338" s="160"/>
    </row>
    <row r="1339" spans="1:36" x14ac:dyDescent="0.2">
      <c r="A1339" s="252" t="s">
        <v>3151</v>
      </c>
      <c r="B1339" s="253" t="s">
        <v>200</v>
      </c>
      <c r="C1339" s="254" t="s">
        <v>1714</v>
      </c>
      <c r="D1339" s="254"/>
      <c r="E1339" s="254"/>
      <c r="F1339" s="255"/>
      <c r="G1339" s="255"/>
      <c r="H1339" s="255"/>
      <c r="I1339" s="253" t="s">
        <v>3238</v>
      </c>
      <c r="J1339" s="256">
        <v>1.91</v>
      </c>
      <c r="K1339" s="256"/>
      <c r="L1339" s="256"/>
      <c r="M1339" s="257">
        <v>38</v>
      </c>
      <c r="N1339" s="257"/>
      <c r="O1339" s="257"/>
      <c r="P1339" s="252" t="s">
        <v>360</v>
      </c>
      <c r="Q1339" s="252" t="s">
        <v>474</v>
      </c>
      <c r="R1339" s="252" t="s">
        <v>3239</v>
      </c>
      <c r="S1339" s="258">
        <v>1.78075277680452E-2</v>
      </c>
      <c r="T1339" s="259" t="s">
        <v>382</v>
      </c>
      <c r="U1339" s="259"/>
      <c r="V1339" s="259"/>
      <c r="W1339" s="260">
        <f>IF(BetTable[Sport]="","",BetTable[Stake]+BetTable[S2]+BetTable[S3])</f>
        <v>38</v>
      </c>
      <c r="X1339" s="257">
        <f>IF(BetTable[Odds]="","",(BetTable[WBA1-Commission])-BetTable[TS])</f>
        <v>34.58</v>
      </c>
      <c r="Y1339" s="261">
        <f>IF(BetTable[Outcome]="","",BetTable[WBA1]+BetTable[WBA2]+BetTable[WBA3]-BetTable[TS])</f>
        <v>-38</v>
      </c>
      <c r="Z1339" s="257">
        <f>(((BetTable[Odds]-1)*BetTable[Stake])*(1-(BetTable[Comm %]))+BetTable[Stake])</f>
        <v>72.58</v>
      </c>
      <c r="AA1339" s="257">
        <f>(((BetTable[O2]-1)*BetTable[S2])*(1-(BetTable[C% 2]))+BetTable[S2])</f>
        <v>0</v>
      </c>
      <c r="AB1339" s="257">
        <f>(((BetTable[O3]-1)*BetTable[S3])*(1-(BetTable[C% 3]))+BetTable[S3])</f>
        <v>0</v>
      </c>
      <c r="AC1339" s="258">
        <f>IFERROR(IF(BetTable[Sport]="","",BetTable[R1]/BetTable[TS]),"")</f>
        <v>0.90999999999999992</v>
      </c>
      <c r="AD1339" s="258" t="str">
        <f>IF(BetTable[O2]="","",#REF!/BetTable[TS])</f>
        <v/>
      </c>
      <c r="AE1339" s="258" t="str">
        <f>IFERROR(IF(BetTable[Sport]="","",#REF!/BetTable[TS]),"")</f>
        <v/>
      </c>
      <c r="AF1339" s="257">
        <f>IF(BetTable[Outcome]="Win",BetTable[WBA1-Commission],IF(BetTable[Outcome]="Win Half Stake",(BetTable[Stake]/2)+BetTable[WBA1-Commission]/2,IF(BetTable[Outcome]="Lose Half Stake",BetTable[Stake]/2,IF(BetTable[Outcome]="Lose",0,IF(BetTable[Outcome]="Void",BetTable[Stake],)))))</f>
        <v>0</v>
      </c>
      <c r="AG1339" s="257">
        <f>IF(BetTable[Outcome2]="Win",BetTable[WBA2-Commission],IF(BetTable[Outcome2]="Win Half Stake",(BetTable[S2]/2)+BetTable[WBA2-Commission]/2,IF(BetTable[Outcome2]="Lose Half Stake",BetTable[S2]/2,IF(BetTable[Outcome2]="Lose",0,IF(BetTable[Outcome2]="Void",BetTable[S2],)))))</f>
        <v>0</v>
      </c>
      <c r="AH1339" s="257">
        <f>IF(BetTable[Outcome3]="Win",BetTable[WBA3-Commission],IF(BetTable[Outcome3]="Win Half Stake",(BetTable[S3]/2)+BetTable[WBA3-Commission]/2,IF(BetTable[Outcome3]="Lose Half Stake",BetTable[S3]/2,IF(BetTable[Outcome3]="Lose",0,IF(BetTable[Outcome3]="Void",BetTable[S3],)))))</f>
        <v>0</v>
      </c>
      <c r="AI1339" s="261">
        <f>IF(BetTable[Outcome]="",AI1338,BetTable[Result]+AI1338)</f>
        <v>2721.22775</v>
      </c>
      <c r="AJ1339" s="253"/>
    </row>
    <row r="1340" spans="1:36" x14ac:dyDescent="0.2">
      <c r="A1340" s="252" t="s">
        <v>3151</v>
      </c>
      <c r="B1340" s="253" t="s">
        <v>200</v>
      </c>
      <c r="C1340" s="254" t="s">
        <v>1714</v>
      </c>
      <c r="D1340" s="254"/>
      <c r="E1340" s="254"/>
      <c r="F1340" s="255"/>
      <c r="G1340" s="255"/>
      <c r="H1340" s="255"/>
      <c r="I1340" s="253" t="s">
        <v>3240</v>
      </c>
      <c r="J1340" s="256">
        <v>2.1230000000000002</v>
      </c>
      <c r="K1340" s="256"/>
      <c r="L1340" s="256"/>
      <c r="M1340" s="257">
        <v>29</v>
      </c>
      <c r="N1340" s="257"/>
      <c r="O1340" s="257"/>
      <c r="P1340" s="252" t="s">
        <v>635</v>
      </c>
      <c r="Q1340" s="252" t="s">
        <v>474</v>
      </c>
      <c r="R1340" s="252" t="s">
        <v>3241</v>
      </c>
      <c r="S1340" s="258">
        <v>1.69305513926346E-2</v>
      </c>
      <c r="T1340" s="259" t="s">
        <v>372</v>
      </c>
      <c r="U1340" s="259"/>
      <c r="V1340" s="259"/>
      <c r="W1340" s="260">
        <f>IF(BetTable[Sport]="","",BetTable[Stake]+BetTable[S2]+BetTable[S3])</f>
        <v>29</v>
      </c>
      <c r="X1340" s="257">
        <f>IF(BetTable[Odds]="","",(BetTable[WBA1-Commission])-BetTable[TS])</f>
        <v>32.567000000000007</v>
      </c>
      <c r="Y1340" s="261">
        <f>IF(BetTable[Outcome]="","",BetTable[WBA1]+BetTable[WBA2]+BetTable[WBA3]-BetTable[TS])</f>
        <v>32.567000000000007</v>
      </c>
      <c r="Z1340" s="257">
        <f>(((BetTable[Odds]-1)*BetTable[Stake])*(1-(BetTable[Comm %]))+BetTable[Stake])</f>
        <v>61.567000000000007</v>
      </c>
      <c r="AA1340" s="257">
        <f>(((BetTable[O2]-1)*BetTable[S2])*(1-(BetTable[C% 2]))+BetTable[S2])</f>
        <v>0</v>
      </c>
      <c r="AB1340" s="257">
        <f>(((BetTable[O3]-1)*BetTable[S3])*(1-(BetTable[C% 3]))+BetTable[S3])</f>
        <v>0</v>
      </c>
      <c r="AC1340" s="258">
        <f>IFERROR(IF(BetTable[Sport]="","",BetTable[R1]/BetTable[TS]),"")</f>
        <v>1.1230000000000002</v>
      </c>
      <c r="AD1340" s="258" t="str">
        <f>IF(BetTable[O2]="","",#REF!/BetTable[TS])</f>
        <v/>
      </c>
      <c r="AE1340" s="258" t="str">
        <f>IFERROR(IF(BetTable[Sport]="","",#REF!/BetTable[TS]),"")</f>
        <v/>
      </c>
      <c r="AF1340" s="257">
        <f>IF(BetTable[Outcome]="Win",BetTable[WBA1-Commission],IF(BetTable[Outcome]="Win Half Stake",(BetTable[Stake]/2)+BetTable[WBA1-Commission]/2,IF(BetTable[Outcome]="Lose Half Stake",BetTable[Stake]/2,IF(BetTable[Outcome]="Lose",0,IF(BetTable[Outcome]="Void",BetTable[Stake],)))))</f>
        <v>61.567000000000007</v>
      </c>
      <c r="AG1340" s="257">
        <f>IF(BetTable[Outcome2]="Win",BetTable[WBA2-Commission],IF(BetTable[Outcome2]="Win Half Stake",(BetTable[S2]/2)+BetTable[WBA2-Commission]/2,IF(BetTable[Outcome2]="Lose Half Stake",BetTable[S2]/2,IF(BetTable[Outcome2]="Lose",0,IF(BetTable[Outcome2]="Void",BetTable[S2],)))))</f>
        <v>0</v>
      </c>
      <c r="AH1340" s="257">
        <f>IF(BetTable[Outcome3]="Win",BetTable[WBA3-Commission],IF(BetTable[Outcome3]="Win Half Stake",(BetTable[S3]/2)+BetTable[WBA3-Commission]/2,IF(BetTable[Outcome3]="Lose Half Stake",BetTable[S3]/2,IF(BetTable[Outcome3]="Lose",0,IF(BetTable[Outcome3]="Void",BetTable[S3],)))))</f>
        <v>0</v>
      </c>
      <c r="AI1340" s="261">
        <f>IF(BetTable[Outcome]="",AI1339,BetTable[Result]+AI1339)</f>
        <v>2753.79475</v>
      </c>
      <c r="AJ1340" s="253"/>
    </row>
    <row r="1341" spans="1:36" x14ac:dyDescent="0.2">
      <c r="A1341" s="252" t="s">
        <v>3151</v>
      </c>
      <c r="B1341" s="253" t="s">
        <v>7</v>
      </c>
      <c r="C1341" s="254" t="s">
        <v>216</v>
      </c>
      <c r="D1341" s="254"/>
      <c r="E1341" s="254"/>
      <c r="F1341" s="255"/>
      <c r="G1341" s="255"/>
      <c r="H1341" s="255"/>
      <c r="I1341" s="253" t="s">
        <v>3242</v>
      </c>
      <c r="J1341" s="256">
        <v>1.909</v>
      </c>
      <c r="K1341" s="256"/>
      <c r="L1341" s="256"/>
      <c r="M1341" s="257">
        <v>55</v>
      </c>
      <c r="N1341" s="257"/>
      <c r="O1341" s="257"/>
      <c r="P1341" s="252" t="s">
        <v>1456</v>
      </c>
      <c r="Q1341" s="252" t="s">
        <v>540</v>
      </c>
      <c r="R1341" s="252" t="s">
        <v>3243</v>
      </c>
      <c r="S1341" s="258">
        <v>0.109383805506142</v>
      </c>
      <c r="T1341" s="259" t="s">
        <v>382</v>
      </c>
      <c r="U1341" s="259"/>
      <c r="V1341" s="259"/>
      <c r="W1341" s="260">
        <f>IF(BetTable[Sport]="","",BetTable[Stake]+BetTable[S2]+BetTable[S3])</f>
        <v>55</v>
      </c>
      <c r="X1341" s="257">
        <f>IF(BetTable[Odds]="","",(BetTable[WBA1-Commission])-BetTable[TS])</f>
        <v>49.995000000000005</v>
      </c>
      <c r="Y1341" s="261">
        <f>IF(BetTable[Outcome]="","",BetTable[WBA1]+BetTable[WBA2]+BetTable[WBA3]-BetTable[TS])</f>
        <v>-55</v>
      </c>
      <c r="Z1341" s="257">
        <f>(((BetTable[Odds]-1)*BetTable[Stake])*(1-(BetTable[Comm %]))+BetTable[Stake])</f>
        <v>104.995</v>
      </c>
      <c r="AA1341" s="257">
        <f>(((BetTable[O2]-1)*BetTable[S2])*(1-(BetTable[C% 2]))+BetTable[S2])</f>
        <v>0</v>
      </c>
      <c r="AB1341" s="257">
        <f>(((BetTable[O3]-1)*BetTable[S3])*(1-(BetTable[C% 3]))+BetTable[S3])</f>
        <v>0</v>
      </c>
      <c r="AC1341" s="258">
        <f>IFERROR(IF(BetTable[Sport]="","",BetTable[R1]/BetTable[TS]),"")</f>
        <v>0.90900000000000003</v>
      </c>
      <c r="AD1341" s="258" t="str">
        <f>IF(BetTable[O2]="","",#REF!/BetTable[TS])</f>
        <v/>
      </c>
      <c r="AE1341" s="258" t="str">
        <f>IFERROR(IF(BetTable[Sport]="","",#REF!/BetTable[TS]),"")</f>
        <v/>
      </c>
      <c r="AF1341" s="257">
        <f>IF(BetTable[Outcome]="Win",BetTable[WBA1-Commission],IF(BetTable[Outcome]="Win Half Stake",(BetTable[Stake]/2)+BetTable[WBA1-Commission]/2,IF(BetTable[Outcome]="Lose Half Stake",BetTable[Stake]/2,IF(BetTable[Outcome]="Lose",0,IF(BetTable[Outcome]="Void",BetTable[Stake],)))))</f>
        <v>0</v>
      </c>
      <c r="AG1341" s="257">
        <f>IF(BetTable[Outcome2]="Win",BetTable[WBA2-Commission],IF(BetTable[Outcome2]="Win Half Stake",(BetTable[S2]/2)+BetTable[WBA2-Commission]/2,IF(BetTable[Outcome2]="Lose Half Stake",BetTable[S2]/2,IF(BetTable[Outcome2]="Lose",0,IF(BetTable[Outcome2]="Void",BetTable[S2],)))))</f>
        <v>0</v>
      </c>
      <c r="AH1341" s="257">
        <f>IF(BetTable[Outcome3]="Win",BetTable[WBA3-Commission],IF(BetTable[Outcome3]="Win Half Stake",(BetTable[S3]/2)+BetTable[WBA3-Commission]/2,IF(BetTable[Outcome3]="Lose Half Stake",BetTable[S3]/2,IF(BetTable[Outcome3]="Lose",0,IF(BetTable[Outcome3]="Void",BetTable[S3],)))))</f>
        <v>0</v>
      </c>
      <c r="AI1341" s="261">
        <f>IF(BetTable[Outcome]="",AI1340,BetTable[Result]+AI1340)</f>
        <v>2698.79475</v>
      </c>
      <c r="AJ1341" s="253"/>
    </row>
    <row r="1342" spans="1:36" x14ac:dyDescent="0.2">
      <c r="A1342" s="252" t="s">
        <v>3151</v>
      </c>
      <c r="B1342" s="253" t="s">
        <v>200</v>
      </c>
      <c r="C1342" s="254" t="s">
        <v>1714</v>
      </c>
      <c r="D1342" s="254"/>
      <c r="E1342" s="254"/>
      <c r="F1342" s="255"/>
      <c r="G1342" s="255"/>
      <c r="H1342" s="255"/>
      <c r="I1342" s="253" t="s">
        <v>3244</v>
      </c>
      <c r="J1342" s="256">
        <v>1.86</v>
      </c>
      <c r="K1342" s="256"/>
      <c r="L1342" s="256"/>
      <c r="M1342" s="257">
        <v>41</v>
      </c>
      <c r="N1342" s="257"/>
      <c r="O1342" s="257"/>
      <c r="P1342" s="252" t="s">
        <v>646</v>
      </c>
      <c r="Q1342" s="252" t="s">
        <v>889</v>
      </c>
      <c r="R1342" s="252" t="s">
        <v>3245</v>
      </c>
      <c r="S1342" s="258">
        <v>1.8001135107101201E-2</v>
      </c>
      <c r="T1342" s="259" t="s">
        <v>549</v>
      </c>
      <c r="U1342" s="259"/>
      <c r="V1342" s="259"/>
      <c r="W1342" s="260">
        <f>IF(BetTable[Sport]="","",BetTable[Stake]+BetTable[S2]+BetTable[S3])</f>
        <v>41</v>
      </c>
      <c r="X1342" s="257">
        <f>IF(BetTable[Odds]="","",(BetTable[WBA1-Commission])-BetTable[TS])</f>
        <v>35.260000000000005</v>
      </c>
      <c r="Y1342" s="261">
        <f>IF(BetTable[Outcome]="","",BetTable[WBA1]+BetTable[WBA2]+BetTable[WBA3]-BetTable[TS])</f>
        <v>-20.5</v>
      </c>
      <c r="Z1342" s="257">
        <f>(((BetTable[Odds]-1)*BetTable[Stake])*(1-(BetTable[Comm %]))+BetTable[Stake])</f>
        <v>76.260000000000005</v>
      </c>
      <c r="AA1342" s="257">
        <f>(((BetTable[O2]-1)*BetTable[S2])*(1-(BetTable[C% 2]))+BetTable[S2])</f>
        <v>0</v>
      </c>
      <c r="AB1342" s="257">
        <f>(((BetTable[O3]-1)*BetTable[S3])*(1-(BetTable[C% 3]))+BetTable[S3])</f>
        <v>0</v>
      </c>
      <c r="AC1342" s="258">
        <f>IFERROR(IF(BetTable[Sport]="","",BetTable[R1]/BetTable[TS]),"")</f>
        <v>0.8600000000000001</v>
      </c>
      <c r="AD1342" s="258" t="str">
        <f>IF(BetTable[O2]="","",#REF!/BetTable[TS])</f>
        <v/>
      </c>
      <c r="AE1342" s="258" t="str">
        <f>IFERROR(IF(BetTable[Sport]="","",#REF!/BetTable[TS]),"")</f>
        <v/>
      </c>
      <c r="AF1342" s="257">
        <f>IF(BetTable[Outcome]="Win",BetTable[WBA1-Commission],IF(BetTable[Outcome]="Win Half Stake",(BetTable[Stake]/2)+BetTable[WBA1-Commission]/2,IF(BetTable[Outcome]="Lose Half Stake",BetTable[Stake]/2,IF(BetTable[Outcome]="Lose",0,IF(BetTable[Outcome]="Void",BetTable[Stake],)))))</f>
        <v>20.5</v>
      </c>
      <c r="AG1342" s="257">
        <f>IF(BetTable[Outcome2]="Win",BetTable[WBA2-Commission],IF(BetTable[Outcome2]="Win Half Stake",(BetTable[S2]/2)+BetTable[WBA2-Commission]/2,IF(BetTable[Outcome2]="Lose Half Stake",BetTable[S2]/2,IF(BetTable[Outcome2]="Lose",0,IF(BetTable[Outcome2]="Void",BetTable[S2],)))))</f>
        <v>0</v>
      </c>
      <c r="AH1342" s="257">
        <f>IF(BetTable[Outcome3]="Win",BetTable[WBA3-Commission],IF(BetTable[Outcome3]="Win Half Stake",(BetTable[S3]/2)+BetTable[WBA3-Commission]/2,IF(BetTable[Outcome3]="Lose Half Stake",BetTable[S3]/2,IF(BetTable[Outcome3]="Lose",0,IF(BetTable[Outcome3]="Void",BetTable[S3],)))))</f>
        <v>0</v>
      </c>
      <c r="AI1342" s="261">
        <f>IF(BetTable[Outcome]="",AI1341,BetTable[Result]+AI1341)</f>
        <v>2678.29475</v>
      </c>
      <c r="AJ1342" s="253"/>
    </row>
    <row r="1343" spans="1:36" x14ac:dyDescent="0.2">
      <c r="A1343" s="252" t="s">
        <v>3151</v>
      </c>
      <c r="B1343" s="253" t="s">
        <v>7</v>
      </c>
      <c r="C1343" s="254" t="s">
        <v>91</v>
      </c>
      <c r="D1343" s="254"/>
      <c r="E1343" s="254"/>
      <c r="F1343" s="255"/>
      <c r="G1343" s="255"/>
      <c r="H1343" s="255"/>
      <c r="I1343" s="253" t="s">
        <v>3246</v>
      </c>
      <c r="J1343" s="256">
        <v>1.97</v>
      </c>
      <c r="K1343" s="256"/>
      <c r="L1343" s="256"/>
      <c r="M1343" s="257">
        <v>64</v>
      </c>
      <c r="N1343" s="257"/>
      <c r="O1343" s="257"/>
      <c r="P1343" s="252" t="s">
        <v>3117</v>
      </c>
      <c r="Q1343" s="252" t="s">
        <v>530</v>
      </c>
      <c r="R1343" s="252" t="s">
        <v>3247</v>
      </c>
      <c r="S1343" s="258">
        <v>5.7203371116197797E-2</v>
      </c>
      <c r="T1343" s="259" t="s">
        <v>372</v>
      </c>
      <c r="U1343" s="259"/>
      <c r="V1343" s="259"/>
      <c r="W1343" s="260">
        <f>IF(BetTable[Sport]="","",BetTable[Stake]+BetTable[S2]+BetTable[S3])</f>
        <v>64</v>
      </c>
      <c r="X1343" s="257">
        <f>IF(BetTable[Odds]="","",(BetTable[WBA1-Commission])-BetTable[TS])</f>
        <v>62.08</v>
      </c>
      <c r="Y1343" s="261">
        <f>IF(BetTable[Outcome]="","",BetTable[WBA1]+BetTable[WBA2]+BetTable[WBA3]-BetTable[TS])</f>
        <v>62.08</v>
      </c>
      <c r="Z1343" s="257">
        <f>(((BetTable[Odds]-1)*BetTable[Stake])*(1-(BetTable[Comm %]))+BetTable[Stake])</f>
        <v>126.08</v>
      </c>
      <c r="AA1343" s="257">
        <f>(((BetTable[O2]-1)*BetTable[S2])*(1-(BetTable[C% 2]))+BetTable[S2])</f>
        <v>0</v>
      </c>
      <c r="AB1343" s="257">
        <f>(((BetTable[O3]-1)*BetTable[S3])*(1-(BetTable[C% 3]))+BetTable[S3])</f>
        <v>0</v>
      </c>
      <c r="AC1343" s="258">
        <f>IFERROR(IF(BetTable[Sport]="","",BetTable[R1]/BetTable[TS]),"")</f>
        <v>0.97</v>
      </c>
      <c r="AD1343" s="258" t="str">
        <f>IF(BetTable[O2]="","",#REF!/BetTable[TS])</f>
        <v/>
      </c>
      <c r="AE1343" s="258" t="str">
        <f>IFERROR(IF(BetTable[Sport]="","",#REF!/BetTable[TS]),"")</f>
        <v/>
      </c>
      <c r="AF1343" s="257">
        <f>IF(BetTable[Outcome]="Win",BetTable[WBA1-Commission],IF(BetTable[Outcome]="Win Half Stake",(BetTable[Stake]/2)+BetTable[WBA1-Commission]/2,IF(BetTable[Outcome]="Lose Half Stake",BetTable[Stake]/2,IF(BetTable[Outcome]="Lose",0,IF(BetTable[Outcome]="Void",BetTable[Stake],)))))</f>
        <v>126.08</v>
      </c>
      <c r="AG1343" s="257">
        <f>IF(BetTable[Outcome2]="Win",BetTable[WBA2-Commission],IF(BetTable[Outcome2]="Win Half Stake",(BetTable[S2]/2)+BetTable[WBA2-Commission]/2,IF(BetTable[Outcome2]="Lose Half Stake",BetTable[S2]/2,IF(BetTable[Outcome2]="Lose",0,IF(BetTable[Outcome2]="Void",BetTable[S2],)))))</f>
        <v>0</v>
      </c>
      <c r="AH1343" s="257">
        <f>IF(BetTable[Outcome3]="Win",BetTable[WBA3-Commission],IF(BetTable[Outcome3]="Win Half Stake",(BetTable[S3]/2)+BetTable[WBA3-Commission]/2,IF(BetTable[Outcome3]="Lose Half Stake",BetTable[S3]/2,IF(BetTable[Outcome3]="Lose",0,IF(BetTable[Outcome3]="Void",BetTable[S3],)))))</f>
        <v>0</v>
      </c>
      <c r="AI1343" s="261">
        <f>IF(BetTable[Outcome]="",AI1342,BetTable[Result]+AI1342)</f>
        <v>2740.3747499999999</v>
      </c>
      <c r="AJ1343" s="253"/>
    </row>
    <row r="1344" spans="1:36" x14ac:dyDescent="0.2">
      <c r="A1344" s="252" t="s">
        <v>3151</v>
      </c>
      <c r="B1344" s="253" t="s">
        <v>200</v>
      </c>
      <c r="C1344" s="254" t="s">
        <v>1714</v>
      </c>
      <c r="D1344" s="254"/>
      <c r="E1344" s="254"/>
      <c r="F1344" s="255"/>
      <c r="G1344" s="255"/>
      <c r="H1344" s="255"/>
      <c r="I1344" s="253" t="s">
        <v>3248</v>
      </c>
      <c r="J1344" s="256">
        <v>1.75</v>
      </c>
      <c r="K1344" s="256"/>
      <c r="L1344" s="256"/>
      <c r="M1344" s="257">
        <v>64</v>
      </c>
      <c r="N1344" s="257"/>
      <c r="O1344" s="257"/>
      <c r="P1344" s="252" t="s">
        <v>448</v>
      </c>
      <c r="Q1344" s="252" t="s">
        <v>432</v>
      </c>
      <c r="R1344" s="252" t="s">
        <v>3249</v>
      </c>
      <c r="S1344" s="258">
        <v>2.4429778858399899E-2</v>
      </c>
      <c r="T1344" s="259" t="s">
        <v>382</v>
      </c>
      <c r="U1344" s="259"/>
      <c r="V1344" s="259"/>
      <c r="W1344" s="260">
        <f>IF(BetTable[Sport]="","",BetTable[Stake]+BetTable[S2]+BetTable[S3])</f>
        <v>64</v>
      </c>
      <c r="X1344" s="257">
        <f>IF(BetTable[Odds]="","",(BetTable[WBA1-Commission])-BetTable[TS])</f>
        <v>48</v>
      </c>
      <c r="Y1344" s="261">
        <f>IF(BetTable[Outcome]="","",BetTable[WBA1]+BetTable[WBA2]+BetTable[WBA3]-BetTable[TS])</f>
        <v>-64</v>
      </c>
      <c r="Z1344" s="257">
        <f>(((BetTable[Odds]-1)*BetTable[Stake])*(1-(BetTable[Comm %]))+BetTable[Stake])</f>
        <v>112</v>
      </c>
      <c r="AA1344" s="257">
        <f>(((BetTable[O2]-1)*BetTable[S2])*(1-(BetTable[C% 2]))+BetTable[S2])</f>
        <v>0</v>
      </c>
      <c r="AB1344" s="257">
        <f>(((BetTable[O3]-1)*BetTable[S3])*(1-(BetTable[C% 3]))+BetTable[S3])</f>
        <v>0</v>
      </c>
      <c r="AC1344" s="258">
        <f>IFERROR(IF(BetTable[Sport]="","",BetTable[R1]/BetTable[TS]),"")</f>
        <v>0.75</v>
      </c>
      <c r="AD1344" s="258" t="str">
        <f>IF(BetTable[O2]="","",#REF!/BetTable[TS])</f>
        <v/>
      </c>
      <c r="AE1344" s="258" t="str">
        <f>IFERROR(IF(BetTable[Sport]="","",#REF!/BetTable[TS]),"")</f>
        <v/>
      </c>
      <c r="AF1344" s="257">
        <f>IF(BetTable[Outcome]="Win",BetTable[WBA1-Commission],IF(BetTable[Outcome]="Win Half Stake",(BetTable[Stake]/2)+BetTable[WBA1-Commission]/2,IF(BetTable[Outcome]="Lose Half Stake",BetTable[Stake]/2,IF(BetTable[Outcome]="Lose",0,IF(BetTable[Outcome]="Void",BetTable[Stake],)))))</f>
        <v>0</v>
      </c>
      <c r="AG1344" s="257">
        <f>IF(BetTable[Outcome2]="Win",BetTable[WBA2-Commission],IF(BetTable[Outcome2]="Win Half Stake",(BetTable[S2]/2)+BetTable[WBA2-Commission]/2,IF(BetTable[Outcome2]="Lose Half Stake",BetTable[S2]/2,IF(BetTable[Outcome2]="Lose",0,IF(BetTable[Outcome2]="Void",BetTable[S2],)))))</f>
        <v>0</v>
      </c>
      <c r="AH1344" s="257">
        <f>IF(BetTable[Outcome3]="Win",BetTable[WBA3-Commission],IF(BetTable[Outcome3]="Win Half Stake",(BetTable[S3]/2)+BetTable[WBA3-Commission]/2,IF(BetTable[Outcome3]="Lose Half Stake",BetTable[S3]/2,IF(BetTable[Outcome3]="Lose",0,IF(BetTable[Outcome3]="Void",BetTable[S3],)))))</f>
        <v>0</v>
      </c>
      <c r="AI1344" s="261">
        <f>IF(BetTable[Outcome]="",AI1343,BetTable[Result]+AI1343)</f>
        <v>2676.3747499999999</v>
      </c>
      <c r="AJ1344" s="253"/>
    </row>
    <row r="1345" spans="1:36" x14ac:dyDescent="0.2">
      <c r="A1345" s="252" t="s">
        <v>3151</v>
      </c>
      <c r="B1345" s="253" t="s">
        <v>200</v>
      </c>
      <c r="C1345" s="254" t="s">
        <v>1714</v>
      </c>
      <c r="D1345" s="254"/>
      <c r="E1345" s="254"/>
      <c r="F1345" s="255"/>
      <c r="G1345" s="255"/>
      <c r="H1345" s="255"/>
      <c r="I1345" s="253" t="s">
        <v>3250</v>
      </c>
      <c r="J1345" s="256">
        <v>1.63</v>
      </c>
      <c r="K1345" s="256"/>
      <c r="L1345" s="256"/>
      <c r="M1345" s="257">
        <v>61</v>
      </c>
      <c r="N1345" s="257"/>
      <c r="O1345" s="257"/>
      <c r="P1345" s="252" t="s">
        <v>360</v>
      </c>
      <c r="Q1345" s="252" t="s">
        <v>474</v>
      </c>
      <c r="R1345" s="252" t="s">
        <v>3251</v>
      </c>
      <c r="S1345" s="258">
        <v>1.9706351435338301E-2</v>
      </c>
      <c r="T1345" s="259" t="s">
        <v>382</v>
      </c>
      <c r="U1345" s="259"/>
      <c r="V1345" s="259"/>
      <c r="W1345" s="260">
        <f>IF(BetTable[Sport]="","",BetTable[Stake]+BetTable[S2]+BetTable[S3])</f>
        <v>61</v>
      </c>
      <c r="X1345" s="257">
        <f>IF(BetTable[Odds]="","",(BetTable[WBA1-Commission])-BetTable[TS])</f>
        <v>38.429999999999993</v>
      </c>
      <c r="Y1345" s="261">
        <f>IF(BetTable[Outcome]="","",BetTable[WBA1]+BetTable[WBA2]+BetTable[WBA3]-BetTable[TS])</f>
        <v>-61</v>
      </c>
      <c r="Z1345" s="257">
        <f>(((BetTable[Odds]-1)*BetTable[Stake])*(1-(BetTable[Comm %]))+BetTable[Stake])</f>
        <v>99.429999999999993</v>
      </c>
      <c r="AA1345" s="257">
        <f>(((BetTable[O2]-1)*BetTable[S2])*(1-(BetTable[C% 2]))+BetTable[S2])</f>
        <v>0</v>
      </c>
      <c r="AB1345" s="257">
        <f>(((BetTable[O3]-1)*BetTable[S3])*(1-(BetTable[C% 3]))+BetTable[S3])</f>
        <v>0</v>
      </c>
      <c r="AC1345" s="258">
        <f>IFERROR(IF(BetTable[Sport]="","",BetTable[R1]/BetTable[TS]),"")</f>
        <v>0.62999999999999989</v>
      </c>
      <c r="AD1345" s="258" t="str">
        <f>IF(BetTable[O2]="","",#REF!/BetTable[TS])</f>
        <v/>
      </c>
      <c r="AE1345" s="258" t="str">
        <f>IFERROR(IF(BetTable[Sport]="","",#REF!/BetTable[TS]),"")</f>
        <v/>
      </c>
      <c r="AF1345" s="257">
        <f>IF(BetTable[Outcome]="Win",BetTable[WBA1-Commission],IF(BetTable[Outcome]="Win Half Stake",(BetTable[Stake]/2)+BetTable[WBA1-Commission]/2,IF(BetTable[Outcome]="Lose Half Stake",BetTable[Stake]/2,IF(BetTable[Outcome]="Lose",0,IF(BetTable[Outcome]="Void",BetTable[Stake],)))))</f>
        <v>0</v>
      </c>
      <c r="AG1345" s="257">
        <f>IF(BetTable[Outcome2]="Win",BetTable[WBA2-Commission],IF(BetTable[Outcome2]="Win Half Stake",(BetTable[S2]/2)+BetTable[WBA2-Commission]/2,IF(BetTable[Outcome2]="Lose Half Stake",BetTable[S2]/2,IF(BetTable[Outcome2]="Lose",0,IF(BetTable[Outcome2]="Void",BetTable[S2],)))))</f>
        <v>0</v>
      </c>
      <c r="AH1345" s="257">
        <f>IF(BetTable[Outcome3]="Win",BetTable[WBA3-Commission],IF(BetTable[Outcome3]="Win Half Stake",(BetTable[S3]/2)+BetTable[WBA3-Commission]/2,IF(BetTable[Outcome3]="Lose Half Stake",BetTable[S3]/2,IF(BetTable[Outcome3]="Lose",0,IF(BetTable[Outcome3]="Void",BetTable[S3],)))))</f>
        <v>0</v>
      </c>
      <c r="AI1345" s="261">
        <f>IF(BetTable[Outcome]="",AI1344,BetTable[Result]+AI1344)</f>
        <v>2615.3747499999999</v>
      </c>
      <c r="AJ1345" s="253"/>
    </row>
    <row r="1346" spans="1:36" x14ac:dyDescent="0.2">
      <c r="A1346" s="252" t="s">
        <v>3151</v>
      </c>
      <c r="B1346" s="253" t="s">
        <v>9</v>
      </c>
      <c r="C1346" s="254" t="s">
        <v>91</v>
      </c>
      <c r="D1346" s="254"/>
      <c r="E1346" s="254"/>
      <c r="F1346" s="255"/>
      <c r="G1346" s="255"/>
      <c r="H1346" s="255"/>
      <c r="I1346" s="253" t="s">
        <v>3228</v>
      </c>
      <c r="J1346" s="256">
        <v>2.02</v>
      </c>
      <c r="K1346" s="256"/>
      <c r="L1346" s="256"/>
      <c r="M1346" s="257">
        <v>61</v>
      </c>
      <c r="N1346" s="257"/>
      <c r="O1346" s="257"/>
      <c r="P1346" s="252" t="s">
        <v>1266</v>
      </c>
      <c r="Q1346" s="252" t="s">
        <v>458</v>
      </c>
      <c r="R1346" s="252" t="s">
        <v>3252</v>
      </c>
      <c r="S1346" s="258">
        <v>3.1862221588627997E-2</v>
      </c>
      <c r="T1346" s="259" t="s">
        <v>382</v>
      </c>
      <c r="U1346" s="259"/>
      <c r="V1346" s="259"/>
      <c r="W1346" s="260">
        <f>IF(BetTable[Sport]="","",BetTable[Stake]+BetTable[S2]+BetTable[S3])</f>
        <v>61</v>
      </c>
      <c r="X1346" s="257">
        <f>IF(BetTable[Odds]="","",(BetTable[WBA1-Commission])-BetTable[TS])</f>
        <v>62.22</v>
      </c>
      <c r="Y1346" s="261">
        <f>IF(BetTable[Outcome]="","",BetTable[WBA1]+BetTable[WBA2]+BetTable[WBA3]-BetTable[TS])</f>
        <v>-61</v>
      </c>
      <c r="Z1346" s="257">
        <f>(((BetTable[Odds]-1)*BetTable[Stake])*(1-(BetTable[Comm %]))+BetTable[Stake])</f>
        <v>123.22</v>
      </c>
      <c r="AA1346" s="257">
        <f>(((BetTable[O2]-1)*BetTable[S2])*(1-(BetTable[C% 2]))+BetTable[S2])</f>
        <v>0</v>
      </c>
      <c r="AB1346" s="257">
        <f>(((BetTable[O3]-1)*BetTable[S3])*(1-(BetTable[C% 3]))+BetTable[S3])</f>
        <v>0</v>
      </c>
      <c r="AC1346" s="258">
        <f>IFERROR(IF(BetTable[Sport]="","",BetTable[R1]/BetTable[TS]),"")</f>
        <v>1.02</v>
      </c>
      <c r="AD1346" s="258" t="str">
        <f>IF(BetTable[O2]="","",#REF!/BetTable[TS])</f>
        <v/>
      </c>
      <c r="AE1346" s="258" t="str">
        <f>IFERROR(IF(BetTable[Sport]="","",#REF!/BetTable[TS]),"")</f>
        <v/>
      </c>
      <c r="AF1346" s="257">
        <f>IF(BetTable[Outcome]="Win",BetTable[WBA1-Commission],IF(BetTable[Outcome]="Win Half Stake",(BetTable[Stake]/2)+BetTable[WBA1-Commission]/2,IF(BetTable[Outcome]="Lose Half Stake",BetTable[Stake]/2,IF(BetTable[Outcome]="Lose",0,IF(BetTable[Outcome]="Void",BetTable[Stake],)))))</f>
        <v>0</v>
      </c>
      <c r="AG1346" s="257">
        <f>IF(BetTable[Outcome2]="Win",BetTable[WBA2-Commission],IF(BetTable[Outcome2]="Win Half Stake",(BetTable[S2]/2)+BetTable[WBA2-Commission]/2,IF(BetTable[Outcome2]="Lose Half Stake",BetTable[S2]/2,IF(BetTable[Outcome2]="Lose",0,IF(BetTable[Outcome2]="Void",BetTable[S2],)))))</f>
        <v>0</v>
      </c>
      <c r="AH1346" s="257">
        <f>IF(BetTable[Outcome3]="Win",BetTable[WBA3-Commission],IF(BetTable[Outcome3]="Win Half Stake",(BetTable[S3]/2)+BetTable[WBA3-Commission]/2,IF(BetTable[Outcome3]="Lose Half Stake",BetTable[S3]/2,IF(BetTable[Outcome3]="Lose",0,IF(BetTable[Outcome3]="Void",BetTable[S3],)))))</f>
        <v>0</v>
      </c>
      <c r="AI1346" s="261">
        <f>IF(BetTable[Outcome]="",AI1345,BetTable[Result]+AI1345)</f>
        <v>2554.3747499999999</v>
      </c>
      <c r="AJ1346" s="253"/>
    </row>
    <row r="1347" spans="1:36" x14ac:dyDescent="0.2">
      <c r="A1347" s="252" t="s">
        <v>3151</v>
      </c>
      <c r="B1347" s="253" t="s">
        <v>8</v>
      </c>
      <c r="C1347" s="254" t="s">
        <v>216</v>
      </c>
      <c r="D1347" s="254"/>
      <c r="E1347" s="254"/>
      <c r="F1347" s="255"/>
      <c r="G1347" s="255"/>
      <c r="H1347" s="255"/>
      <c r="I1347" s="253" t="s">
        <v>3253</v>
      </c>
      <c r="J1347" s="256">
        <v>2.2999999999999998</v>
      </c>
      <c r="K1347" s="256"/>
      <c r="L1347" s="256"/>
      <c r="M1347" s="257">
        <v>25</v>
      </c>
      <c r="N1347" s="257"/>
      <c r="O1347" s="257"/>
      <c r="P1347" s="252" t="s">
        <v>435</v>
      </c>
      <c r="Q1347" s="252" t="s">
        <v>1985</v>
      </c>
      <c r="R1347" s="252" t="s">
        <v>3254</v>
      </c>
      <c r="S1347" s="258">
        <v>2.97393932415407E-2</v>
      </c>
      <c r="T1347" s="259" t="s">
        <v>372</v>
      </c>
      <c r="U1347" s="259"/>
      <c r="V1347" s="259"/>
      <c r="W1347" s="260">
        <f>IF(BetTable[Sport]="","",BetTable[Stake]+BetTable[S2]+BetTable[S3])</f>
        <v>25</v>
      </c>
      <c r="X1347" s="257">
        <f>IF(BetTable[Odds]="","",(BetTable[WBA1-Commission])-BetTable[TS])</f>
        <v>32.499999999999993</v>
      </c>
      <c r="Y1347" s="261">
        <f>IF(BetTable[Outcome]="","",BetTable[WBA1]+BetTable[WBA2]+BetTable[WBA3]-BetTable[TS])</f>
        <v>32.499999999999993</v>
      </c>
      <c r="Z1347" s="257">
        <f>(((BetTable[Odds]-1)*BetTable[Stake])*(1-(BetTable[Comm %]))+BetTable[Stake])</f>
        <v>57.499999999999993</v>
      </c>
      <c r="AA1347" s="257">
        <f>(((BetTable[O2]-1)*BetTable[S2])*(1-(BetTable[C% 2]))+BetTable[S2])</f>
        <v>0</v>
      </c>
      <c r="AB1347" s="257">
        <f>(((BetTable[O3]-1)*BetTable[S3])*(1-(BetTable[C% 3]))+BetTable[S3])</f>
        <v>0</v>
      </c>
      <c r="AC1347" s="258">
        <f>IFERROR(IF(BetTable[Sport]="","",BetTable[R1]/BetTable[TS]),"")</f>
        <v>1.2999999999999998</v>
      </c>
      <c r="AD1347" s="258" t="str">
        <f>IF(BetTable[O2]="","",#REF!/BetTable[TS])</f>
        <v/>
      </c>
      <c r="AE1347" s="258" t="str">
        <f>IFERROR(IF(BetTable[Sport]="","",#REF!/BetTable[TS]),"")</f>
        <v/>
      </c>
      <c r="AF1347" s="257">
        <f>IF(BetTable[Outcome]="Win",BetTable[WBA1-Commission],IF(BetTable[Outcome]="Win Half Stake",(BetTable[Stake]/2)+BetTable[WBA1-Commission]/2,IF(BetTable[Outcome]="Lose Half Stake",BetTable[Stake]/2,IF(BetTable[Outcome]="Lose",0,IF(BetTable[Outcome]="Void",BetTable[Stake],)))))</f>
        <v>57.499999999999993</v>
      </c>
      <c r="AG1347" s="257">
        <f>IF(BetTable[Outcome2]="Win",BetTable[WBA2-Commission],IF(BetTable[Outcome2]="Win Half Stake",(BetTable[S2]/2)+BetTable[WBA2-Commission]/2,IF(BetTable[Outcome2]="Lose Half Stake",BetTable[S2]/2,IF(BetTable[Outcome2]="Lose",0,IF(BetTable[Outcome2]="Void",BetTable[S2],)))))</f>
        <v>0</v>
      </c>
      <c r="AH1347" s="257">
        <f>IF(BetTable[Outcome3]="Win",BetTable[WBA3-Commission],IF(BetTable[Outcome3]="Win Half Stake",(BetTable[S3]/2)+BetTable[WBA3-Commission]/2,IF(BetTable[Outcome3]="Lose Half Stake",BetTable[S3]/2,IF(BetTable[Outcome3]="Lose",0,IF(BetTable[Outcome3]="Void",BetTable[S3],)))))</f>
        <v>0</v>
      </c>
      <c r="AI1347" s="261">
        <f>IF(BetTable[Outcome]="",AI1346,BetTable[Result]+AI1346)</f>
        <v>2586.8747499999999</v>
      </c>
      <c r="AJ1347" s="253"/>
    </row>
    <row r="1348" spans="1:36" x14ac:dyDescent="0.2">
      <c r="A1348" s="252" t="s">
        <v>3151</v>
      </c>
      <c r="B1348" s="253" t="s">
        <v>9</v>
      </c>
      <c r="C1348" s="254" t="s">
        <v>91</v>
      </c>
      <c r="D1348" s="254"/>
      <c r="E1348" s="254"/>
      <c r="F1348" s="255"/>
      <c r="G1348" s="255"/>
      <c r="H1348" s="255"/>
      <c r="I1348" s="253" t="s">
        <v>3228</v>
      </c>
      <c r="J1348" s="256">
        <v>1.9</v>
      </c>
      <c r="K1348" s="256"/>
      <c r="L1348" s="256"/>
      <c r="M1348" s="257">
        <v>46</v>
      </c>
      <c r="N1348" s="257"/>
      <c r="O1348" s="257"/>
      <c r="P1348" s="252" t="s">
        <v>772</v>
      </c>
      <c r="Q1348" s="252" t="s">
        <v>458</v>
      </c>
      <c r="R1348" s="252" t="s">
        <v>3255</v>
      </c>
      <c r="S1348" s="258">
        <v>2.1379859622330199E-2</v>
      </c>
      <c r="T1348" s="259" t="s">
        <v>372</v>
      </c>
      <c r="U1348" s="259"/>
      <c r="V1348" s="259"/>
      <c r="W1348" s="260">
        <f>IF(BetTable[Sport]="","",BetTable[Stake]+BetTable[S2]+BetTable[S3])</f>
        <v>46</v>
      </c>
      <c r="X1348" s="257">
        <f>IF(BetTable[Odds]="","",(BetTable[WBA1-Commission])-BetTable[TS])</f>
        <v>41.400000000000006</v>
      </c>
      <c r="Y1348" s="261">
        <f>IF(BetTable[Outcome]="","",BetTable[WBA1]+BetTable[WBA2]+BetTable[WBA3]-BetTable[TS])</f>
        <v>41.400000000000006</v>
      </c>
      <c r="Z1348" s="257">
        <f>(((BetTable[Odds]-1)*BetTable[Stake])*(1-(BetTable[Comm %]))+BetTable[Stake])</f>
        <v>87.4</v>
      </c>
      <c r="AA1348" s="257">
        <f>(((BetTable[O2]-1)*BetTable[S2])*(1-(BetTable[C% 2]))+BetTable[S2])</f>
        <v>0</v>
      </c>
      <c r="AB1348" s="257">
        <f>(((BetTable[O3]-1)*BetTable[S3])*(1-(BetTable[C% 3]))+BetTable[S3])</f>
        <v>0</v>
      </c>
      <c r="AC1348" s="258">
        <f>IFERROR(IF(BetTable[Sport]="","",BetTable[R1]/BetTable[TS]),"")</f>
        <v>0.90000000000000013</v>
      </c>
      <c r="AD1348" s="258" t="str">
        <f>IF(BetTable[O2]="","",#REF!/BetTable[TS])</f>
        <v/>
      </c>
      <c r="AE1348" s="258" t="str">
        <f>IFERROR(IF(BetTable[Sport]="","",#REF!/BetTable[TS]),"")</f>
        <v/>
      </c>
      <c r="AF1348" s="257">
        <f>IF(BetTable[Outcome]="Win",BetTable[WBA1-Commission],IF(BetTable[Outcome]="Win Half Stake",(BetTable[Stake]/2)+BetTable[WBA1-Commission]/2,IF(BetTable[Outcome]="Lose Half Stake",BetTable[Stake]/2,IF(BetTable[Outcome]="Lose",0,IF(BetTable[Outcome]="Void",BetTable[Stake],)))))</f>
        <v>87.4</v>
      </c>
      <c r="AG1348" s="257">
        <f>IF(BetTable[Outcome2]="Win",BetTable[WBA2-Commission],IF(BetTable[Outcome2]="Win Half Stake",(BetTable[S2]/2)+BetTable[WBA2-Commission]/2,IF(BetTable[Outcome2]="Lose Half Stake",BetTable[S2]/2,IF(BetTable[Outcome2]="Lose",0,IF(BetTable[Outcome2]="Void",BetTable[S2],)))))</f>
        <v>0</v>
      </c>
      <c r="AH1348" s="257">
        <f>IF(BetTable[Outcome3]="Win",BetTable[WBA3-Commission],IF(BetTable[Outcome3]="Win Half Stake",(BetTable[S3]/2)+BetTable[WBA3-Commission]/2,IF(BetTable[Outcome3]="Lose Half Stake",BetTable[S3]/2,IF(BetTable[Outcome3]="Lose",0,IF(BetTable[Outcome3]="Void",BetTable[S3],)))))</f>
        <v>0</v>
      </c>
      <c r="AI1348" s="261">
        <f>IF(BetTable[Outcome]="",AI1347,BetTable[Result]+AI1347)</f>
        <v>2628.27475</v>
      </c>
      <c r="AJ1348" s="253"/>
    </row>
    <row r="1349" spans="1:36" x14ac:dyDescent="0.2">
      <c r="A1349" s="252" t="s">
        <v>3151</v>
      </c>
      <c r="B1349" s="253" t="s">
        <v>200</v>
      </c>
      <c r="C1349" s="254" t="s">
        <v>1714</v>
      </c>
      <c r="D1349" s="254"/>
      <c r="E1349" s="254"/>
      <c r="F1349" s="255"/>
      <c r="G1349" s="255"/>
      <c r="H1349" s="255"/>
      <c r="I1349" s="253" t="s">
        <v>3256</v>
      </c>
      <c r="J1349" s="256">
        <v>1.99</v>
      </c>
      <c r="K1349" s="256"/>
      <c r="L1349" s="256"/>
      <c r="M1349" s="257">
        <v>44</v>
      </c>
      <c r="N1349" s="257"/>
      <c r="O1349" s="257"/>
      <c r="P1349" s="252" t="s">
        <v>453</v>
      </c>
      <c r="Q1349" s="252" t="s">
        <v>488</v>
      </c>
      <c r="R1349" s="252" t="s">
        <v>3257</v>
      </c>
      <c r="S1349" s="258">
        <v>2.2354754199649399E-2</v>
      </c>
      <c r="T1349" s="259" t="s">
        <v>382</v>
      </c>
      <c r="U1349" s="259"/>
      <c r="V1349" s="259"/>
      <c r="W1349" s="260">
        <f>IF(BetTable[Sport]="","",BetTable[Stake]+BetTable[S2]+BetTable[S3])</f>
        <v>44</v>
      </c>
      <c r="X1349" s="257">
        <f>IF(BetTable[Odds]="","",(BetTable[WBA1-Commission])-BetTable[TS])</f>
        <v>43.56</v>
      </c>
      <c r="Y1349" s="261">
        <f>IF(BetTable[Outcome]="","",BetTable[WBA1]+BetTable[WBA2]+BetTable[WBA3]-BetTable[TS])</f>
        <v>-44</v>
      </c>
      <c r="Z1349" s="257">
        <f>(((BetTable[Odds]-1)*BetTable[Stake])*(1-(BetTable[Comm %]))+BetTable[Stake])</f>
        <v>87.56</v>
      </c>
      <c r="AA1349" s="257">
        <f>(((BetTable[O2]-1)*BetTable[S2])*(1-(BetTable[C% 2]))+BetTable[S2])</f>
        <v>0</v>
      </c>
      <c r="AB1349" s="257">
        <f>(((BetTable[O3]-1)*BetTable[S3])*(1-(BetTable[C% 3]))+BetTable[S3])</f>
        <v>0</v>
      </c>
      <c r="AC1349" s="258">
        <f>IFERROR(IF(BetTable[Sport]="","",BetTable[R1]/BetTable[TS]),"")</f>
        <v>0.9900000000000001</v>
      </c>
      <c r="AD1349" s="258" t="str">
        <f>IF(BetTable[O2]="","",#REF!/BetTable[TS])</f>
        <v/>
      </c>
      <c r="AE1349" s="258" t="str">
        <f>IFERROR(IF(BetTable[Sport]="","",#REF!/BetTable[TS]),"")</f>
        <v/>
      </c>
      <c r="AF1349" s="257">
        <f>IF(BetTable[Outcome]="Win",BetTable[WBA1-Commission],IF(BetTable[Outcome]="Win Half Stake",(BetTable[Stake]/2)+BetTable[WBA1-Commission]/2,IF(BetTable[Outcome]="Lose Half Stake",BetTable[Stake]/2,IF(BetTable[Outcome]="Lose",0,IF(BetTable[Outcome]="Void",BetTable[Stake],)))))</f>
        <v>0</v>
      </c>
      <c r="AG1349" s="257">
        <f>IF(BetTable[Outcome2]="Win",BetTable[WBA2-Commission],IF(BetTable[Outcome2]="Win Half Stake",(BetTable[S2]/2)+BetTable[WBA2-Commission]/2,IF(BetTable[Outcome2]="Lose Half Stake",BetTable[S2]/2,IF(BetTable[Outcome2]="Lose",0,IF(BetTable[Outcome2]="Void",BetTable[S2],)))))</f>
        <v>0</v>
      </c>
      <c r="AH1349" s="257">
        <f>IF(BetTable[Outcome3]="Win",BetTable[WBA3-Commission],IF(BetTable[Outcome3]="Win Half Stake",(BetTable[S3]/2)+BetTable[WBA3-Commission]/2,IF(BetTable[Outcome3]="Lose Half Stake",BetTable[S3]/2,IF(BetTable[Outcome3]="Lose",0,IF(BetTable[Outcome3]="Void",BetTable[S3],)))))</f>
        <v>0</v>
      </c>
      <c r="AI1349" s="261">
        <f>IF(BetTable[Outcome]="",AI1348,BetTable[Result]+AI1348)</f>
        <v>2584.27475</v>
      </c>
      <c r="AJ1349" s="253"/>
    </row>
    <row r="1350" spans="1:36" x14ac:dyDescent="0.2">
      <c r="A1350" s="252" t="s">
        <v>3151</v>
      </c>
      <c r="B1350" s="253" t="s">
        <v>200</v>
      </c>
      <c r="C1350" s="254" t="s">
        <v>1714</v>
      </c>
      <c r="D1350" s="254"/>
      <c r="E1350" s="254"/>
      <c r="F1350" s="255"/>
      <c r="G1350" s="255"/>
      <c r="H1350" s="255"/>
      <c r="I1350" s="253" t="s">
        <v>3258</v>
      </c>
      <c r="J1350" s="256">
        <v>1.66</v>
      </c>
      <c r="K1350" s="256"/>
      <c r="L1350" s="256"/>
      <c r="M1350" s="257">
        <v>59</v>
      </c>
      <c r="N1350" s="257"/>
      <c r="O1350" s="257"/>
      <c r="P1350" s="252" t="s">
        <v>448</v>
      </c>
      <c r="Q1350" s="252" t="s">
        <v>432</v>
      </c>
      <c r="R1350" s="252" t="s">
        <v>3259</v>
      </c>
      <c r="S1350" s="258">
        <v>1.9874298253518798E-2</v>
      </c>
      <c r="T1350" s="259" t="s">
        <v>372</v>
      </c>
      <c r="U1350" s="259"/>
      <c r="V1350" s="259"/>
      <c r="W1350" s="260">
        <f>IF(BetTable[Sport]="","",BetTable[Stake]+BetTable[S2]+BetTable[S3])</f>
        <v>59</v>
      </c>
      <c r="X1350" s="257">
        <f>IF(BetTable[Odds]="","",(BetTable[WBA1-Commission])-BetTable[TS])</f>
        <v>38.94</v>
      </c>
      <c r="Y1350" s="261">
        <f>IF(BetTable[Outcome]="","",BetTable[WBA1]+BetTable[WBA2]+BetTable[WBA3]-BetTable[TS])</f>
        <v>38.94</v>
      </c>
      <c r="Z1350" s="257">
        <f>(((BetTable[Odds]-1)*BetTable[Stake])*(1-(BetTable[Comm %]))+BetTable[Stake])</f>
        <v>97.94</v>
      </c>
      <c r="AA1350" s="257">
        <f>(((BetTable[O2]-1)*BetTable[S2])*(1-(BetTable[C% 2]))+BetTable[S2])</f>
        <v>0</v>
      </c>
      <c r="AB1350" s="257">
        <f>(((BetTable[O3]-1)*BetTable[S3])*(1-(BetTable[C% 3]))+BetTable[S3])</f>
        <v>0</v>
      </c>
      <c r="AC1350" s="258">
        <f>IFERROR(IF(BetTable[Sport]="","",BetTable[R1]/BetTable[TS]),"")</f>
        <v>0.65999999999999992</v>
      </c>
      <c r="AD1350" s="258" t="str">
        <f>IF(BetTable[O2]="","",#REF!/BetTable[TS])</f>
        <v/>
      </c>
      <c r="AE1350" s="258" t="str">
        <f>IFERROR(IF(BetTable[Sport]="","",#REF!/BetTable[TS]),"")</f>
        <v/>
      </c>
      <c r="AF1350" s="257">
        <f>IF(BetTable[Outcome]="Win",BetTable[WBA1-Commission],IF(BetTable[Outcome]="Win Half Stake",(BetTable[Stake]/2)+BetTable[WBA1-Commission]/2,IF(BetTable[Outcome]="Lose Half Stake",BetTable[Stake]/2,IF(BetTable[Outcome]="Lose",0,IF(BetTable[Outcome]="Void",BetTable[Stake],)))))</f>
        <v>97.94</v>
      </c>
      <c r="AG1350" s="257">
        <f>IF(BetTable[Outcome2]="Win",BetTable[WBA2-Commission],IF(BetTable[Outcome2]="Win Half Stake",(BetTable[S2]/2)+BetTable[WBA2-Commission]/2,IF(BetTable[Outcome2]="Lose Half Stake",BetTable[S2]/2,IF(BetTable[Outcome2]="Lose",0,IF(BetTable[Outcome2]="Void",BetTable[S2],)))))</f>
        <v>0</v>
      </c>
      <c r="AH1350" s="257">
        <f>IF(BetTable[Outcome3]="Win",BetTable[WBA3-Commission],IF(BetTable[Outcome3]="Win Half Stake",(BetTable[S3]/2)+BetTable[WBA3-Commission]/2,IF(BetTable[Outcome3]="Lose Half Stake",BetTable[S3]/2,IF(BetTable[Outcome3]="Lose",0,IF(BetTable[Outcome3]="Void",BetTable[S3],)))))</f>
        <v>0</v>
      </c>
      <c r="AI1350" s="261">
        <f>IF(BetTable[Outcome]="",AI1349,BetTable[Result]+AI1349)</f>
        <v>2623.2147500000001</v>
      </c>
      <c r="AJ1350" s="253"/>
    </row>
    <row r="1351" spans="1:36" x14ac:dyDescent="0.2">
      <c r="A1351" s="252" t="s">
        <v>3151</v>
      </c>
      <c r="B1351" s="253" t="s">
        <v>200</v>
      </c>
      <c r="C1351" s="254" t="s">
        <v>1714</v>
      </c>
      <c r="D1351" s="254"/>
      <c r="E1351" s="254"/>
      <c r="F1351" s="255"/>
      <c r="G1351" s="255"/>
      <c r="H1351" s="255"/>
      <c r="I1351" s="253" t="s">
        <v>3260</v>
      </c>
      <c r="J1351" s="256">
        <v>1.68</v>
      </c>
      <c r="K1351" s="256"/>
      <c r="L1351" s="256"/>
      <c r="M1351" s="257">
        <v>51</v>
      </c>
      <c r="N1351" s="257"/>
      <c r="O1351" s="257"/>
      <c r="P1351" s="252" t="s">
        <v>782</v>
      </c>
      <c r="Q1351" s="252" t="s">
        <v>432</v>
      </c>
      <c r="R1351" s="252" t="s">
        <v>3261</v>
      </c>
      <c r="S1351" s="258">
        <v>1.7731007966225201E-2</v>
      </c>
      <c r="T1351" s="259" t="s">
        <v>382</v>
      </c>
      <c r="U1351" s="259"/>
      <c r="V1351" s="259"/>
      <c r="W1351" s="260">
        <f>IF(BetTable[Sport]="","",BetTable[Stake]+BetTable[S2]+BetTable[S3])</f>
        <v>51</v>
      </c>
      <c r="X1351" s="257">
        <f>IF(BetTable[Odds]="","",(BetTable[WBA1-Commission])-BetTable[TS])</f>
        <v>34.680000000000007</v>
      </c>
      <c r="Y1351" s="261">
        <f>IF(BetTable[Outcome]="","",BetTable[WBA1]+BetTable[WBA2]+BetTable[WBA3]-BetTable[TS])</f>
        <v>-51</v>
      </c>
      <c r="Z1351" s="257">
        <f>(((BetTable[Odds]-1)*BetTable[Stake])*(1-(BetTable[Comm %]))+BetTable[Stake])</f>
        <v>85.68</v>
      </c>
      <c r="AA1351" s="257">
        <f>(((BetTable[O2]-1)*BetTable[S2])*(1-(BetTable[C% 2]))+BetTable[S2])</f>
        <v>0</v>
      </c>
      <c r="AB1351" s="257">
        <f>(((BetTable[O3]-1)*BetTable[S3])*(1-(BetTable[C% 3]))+BetTable[S3])</f>
        <v>0</v>
      </c>
      <c r="AC1351" s="258">
        <f>IFERROR(IF(BetTable[Sport]="","",BetTable[R1]/BetTable[TS]),"")</f>
        <v>0.68000000000000016</v>
      </c>
      <c r="AD1351" s="258" t="str">
        <f>IF(BetTable[O2]="","",#REF!/BetTable[TS])</f>
        <v/>
      </c>
      <c r="AE1351" s="258" t="str">
        <f>IFERROR(IF(BetTable[Sport]="","",#REF!/BetTable[TS]),"")</f>
        <v/>
      </c>
      <c r="AF1351" s="257">
        <f>IF(BetTable[Outcome]="Win",BetTable[WBA1-Commission],IF(BetTable[Outcome]="Win Half Stake",(BetTable[Stake]/2)+BetTable[WBA1-Commission]/2,IF(BetTable[Outcome]="Lose Half Stake",BetTable[Stake]/2,IF(BetTable[Outcome]="Lose",0,IF(BetTable[Outcome]="Void",BetTable[Stake],)))))</f>
        <v>0</v>
      </c>
      <c r="AG1351" s="257">
        <f>IF(BetTable[Outcome2]="Win",BetTable[WBA2-Commission],IF(BetTable[Outcome2]="Win Half Stake",(BetTable[S2]/2)+BetTable[WBA2-Commission]/2,IF(BetTable[Outcome2]="Lose Half Stake",BetTable[S2]/2,IF(BetTable[Outcome2]="Lose",0,IF(BetTable[Outcome2]="Void",BetTable[S2],)))))</f>
        <v>0</v>
      </c>
      <c r="AH1351" s="257">
        <f>IF(BetTable[Outcome3]="Win",BetTable[WBA3-Commission],IF(BetTable[Outcome3]="Win Half Stake",(BetTable[S3]/2)+BetTable[WBA3-Commission]/2,IF(BetTable[Outcome3]="Lose Half Stake",BetTable[S3]/2,IF(BetTable[Outcome3]="Lose",0,IF(BetTable[Outcome3]="Void",BetTable[S3],)))))</f>
        <v>0</v>
      </c>
      <c r="AI1351" s="261">
        <f>IF(BetTable[Outcome]="",AI1350,BetTable[Result]+AI1350)</f>
        <v>2572.2147500000001</v>
      </c>
      <c r="AJ1351" s="253"/>
    </row>
    <row r="1352" spans="1:36" x14ac:dyDescent="0.2">
      <c r="A1352" s="252" t="s">
        <v>3151</v>
      </c>
      <c r="B1352" s="253" t="s">
        <v>7</v>
      </c>
      <c r="C1352" s="254" t="s">
        <v>1714</v>
      </c>
      <c r="D1352" s="254"/>
      <c r="E1352" s="254"/>
      <c r="F1352" s="255"/>
      <c r="G1352" s="255"/>
      <c r="H1352" s="255"/>
      <c r="I1352" s="253" t="s">
        <v>3262</v>
      </c>
      <c r="J1352" s="256">
        <v>1.93</v>
      </c>
      <c r="K1352" s="256"/>
      <c r="L1352" s="256"/>
      <c r="M1352" s="257">
        <v>38</v>
      </c>
      <c r="N1352" s="257"/>
      <c r="O1352" s="257"/>
      <c r="P1352" s="252" t="s">
        <v>2267</v>
      </c>
      <c r="Q1352" s="252" t="s">
        <v>530</v>
      </c>
      <c r="R1352" s="252" t="s">
        <v>3263</v>
      </c>
      <c r="S1352" s="258">
        <v>1.79778823411374E-2</v>
      </c>
      <c r="T1352" s="259" t="s">
        <v>382</v>
      </c>
      <c r="U1352" s="259"/>
      <c r="V1352" s="259"/>
      <c r="W1352" s="260">
        <f>IF(BetTable[Sport]="","",BetTable[Stake]+BetTable[S2]+BetTable[S3])</f>
        <v>38</v>
      </c>
      <c r="X1352" s="257">
        <f>IF(BetTable[Odds]="","",(BetTable[WBA1-Commission])-BetTable[TS])</f>
        <v>35.340000000000003</v>
      </c>
      <c r="Y1352" s="261">
        <f>IF(BetTable[Outcome]="","",BetTable[WBA1]+BetTable[WBA2]+BetTable[WBA3]-BetTable[TS])</f>
        <v>-38</v>
      </c>
      <c r="Z1352" s="257">
        <f>(((BetTable[Odds]-1)*BetTable[Stake])*(1-(BetTable[Comm %]))+BetTable[Stake])</f>
        <v>73.34</v>
      </c>
      <c r="AA1352" s="257">
        <f>(((BetTable[O2]-1)*BetTable[S2])*(1-(BetTable[C% 2]))+BetTable[S2])</f>
        <v>0</v>
      </c>
      <c r="AB1352" s="257">
        <f>(((BetTable[O3]-1)*BetTable[S3])*(1-(BetTable[C% 3]))+BetTable[S3])</f>
        <v>0</v>
      </c>
      <c r="AC1352" s="258">
        <f>IFERROR(IF(BetTable[Sport]="","",BetTable[R1]/BetTable[TS]),"")</f>
        <v>0.93</v>
      </c>
      <c r="AD1352" s="258" t="str">
        <f>IF(BetTable[O2]="","",#REF!/BetTable[TS])</f>
        <v/>
      </c>
      <c r="AE1352" s="258" t="str">
        <f>IFERROR(IF(BetTable[Sport]="","",#REF!/BetTable[TS]),"")</f>
        <v/>
      </c>
      <c r="AF1352" s="257">
        <f>IF(BetTable[Outcome]="Win",BetTable[WBA1-Commission],IF(BetTable[Outcome]="Win Half Stake",(BetTable[Stake]/2)+BetTable[WBA1-Commission]/2,IF(BetTable[Outcome]="Lose Half Stake",BetTable[Stake]/2,IF(BetTable[Outcome]="Lose",0,IF(BetTable[Outcome]="Void",BetTable[Stake],)))))</f>
        <v>0</v>
      </c>
      <c r="AG1352" s="257">
        <f>IF(BetTable[Outcome2]="Win",BetTable[WBA2-Commission],IF(BetTable[Outcome2]="Win Half Stake",(BetTable[S2]/2)+BetTable[WBA2-Commission]/2,IF(BetTable[Outcome2]="Lose Half Stake",BetTable[S2]/2,IF(BetTable[Outcome2]="Lose",0,IF(BetTable[Outcome2]="Void",BetTable[S2],)))))</f>
        <v>0</v>
      </c>
      <c r="AH1352" s="257">
        <f>IF(BetTable[Outcome3]="Win",BetTable[WBA3-Commission],IF(BetTable[Outcome3]="Win Half Stake",(BetTable[S3]/2)+BetTable[WBA3-Commission]/2,IF(BetTable[Outcome3]="Lose Half Stake",BetTable[S3]/2,IF(BetTable[Outcome3]="Lose",0,IF(BetTable[Outcome3]="Void",BetTable[S3],)))))</f>
        <v>0</v>
      </c>
      <c r="AI1352" s="261">
        <f>IF(BetTable[Outcome]="",AI1351,BetTable[Result]+AI1351)</f>
        <v>2534.2147500000001</v>
      </c>
      <c r="AJ1352" s="253"/>
    </row>
    <row r="1353" spans="1:36" x14ac:dyDescent="0.2">
      <c r="A1353" s="252" t="s">
        <v>3151</v>
      </c>
      <c r="B1353" s="253" t="s">
        <v>200</v>
      </c>
      <c r="C1353" s="254" t="s">
        <v>1714</v>
      </c>
      <c r="D1353" s="254"/>
      <c r="E1353" s="254"/>
      <c r="F1353" s="255"/>
      <c r="G1353" s="255"/>
      <c r="H1353" s="255"/>
      <c r="I1353" s="253" t="s">
        <v>3264</v>
      </c>
      <c r="J1353" s="256">
        <v>1.87</v>
      </c>
      <c r="K1353" s="256"/>
      <c r="L1353" s="256"/>
      <c r="M1353" s="257">
        <v>38</v>
      </c>
      <c r="N1353" s="257"/>
      <c r="O1353" s="257"/>
      <c r="P1353" s="252" t="s">
        <v>864</v>
      </c>
      <c r="Q1353" s="252" t="s">
        <v>503</v>
      </c>
      <c r="R1353" s="252" t="s">
        <v>3265</v>
      </c>
      <c r="S1353" s="258">
        <v>1.70215334714541E-2</v>
      </c>
      <c r="T1353" s="259" t="s">
        <v>382</v>
      </c>
      <c r="U1353" s="259"/>
      <c r="V1353" s="259"/>
      <c r="W1353" s="260">
        <f>IF(BetTable[Sport]="","",BetTable[Stake]+BetTable[S2]+BetTable[S3])</f>
        <v>38</v>
      </c>
      <c r="X1353" s="257">
        <f>IF(BetTable[Odds]="","",(BetTable[WBA1-Commission])-BetTable[TS])</f>
        <v>33.06</v>
      </c>
      <c r="Y1353" s="261">
        <f>IF(BetTable[Outcome]="","",BetTable[WBA1]+BetTable[WBA2]+BetTable[WBA3]-BetTable[TS])</f>
        <v>-38</v>
      </c>
      <c r="Z1353" s="257">
        <f>(((BetTable[Odds]-1)*BetTable[Stake])*(1-(BetTable[Comm %]))+BetTable[Stake])</f>
        <v>71.06</v>
      </c>
      <c r="AA1353" s="257">
        <f>(((BetTable[O2]-1)*BetTable[S2])*(1-(BetTable[C% 2]))+BetTable[S2])</f>
        <v>0</v>
      </c>
      <c r="AB1353" s="257">
        <f>(((BetTable[O3]-1)*BetTable[S3])*(1-(BetTable[C% 3]))+BetTable[S3])</f>
        <v>0</v>
      </c>
      <c r="AC1353" s="258">
        <f>IFERROR(IF(BetTable[Sport]="","",BetTable[R1]/BetTable[TS]),"")</f>
        <v>0.87000000000000011</v>
      </c>
      <c r="AD1353" s="258" t="str">
        <f>IF(BetTable[O2]="","",#REF!/BetTable[TS])</f>
        <v/>
      </c>
      <c r="AE1353" s="258" t="str">
        <f>IFERROR(IF(BetTable[Sport]="","",#REF!/BetTable[TS]),"")</f>
        <v/>
      </c>
      <c r="AF1353" s="257">
        <f>IF(BetTable[Outcome]="Win",BetTable[WBA1-Commission],IF(BetTable[Outcome]="Win Half Stake",(BetTable[Stake]/2)+BetTable[WBA1-Commission]/2,IF(BetTable[Outcome]="Lose Half Stake",BetTable[Stake]/2,IF(BetTable[Outcome]="Lose",0,IF(BetTable[Outcome]="Void",BetTable[Stake],)))))</f>
        <v>0</v>
      </c>
      <c r="AG1353" s="257">
        <f>IF(BetTable[Outcome2]="Win",BetTable[WBA2-Commission],IF(BetTable[Outcome2]="Win Half Stake",(BetTable[S2]/2)+BetTable[WBA2-Commission]/2,IF(BetTable[Outcome2]="Lose Half Stake",BetTable[S2]/2,IF(BetTable[Outcome2]="Lose",0,IF(BetTable[Outcome2]="Void",BetTable[S2],)))))</f>
        <v>0</v>
      </c>
      <c r="AH1353" s="257">
        <f>IF(BetTable[Outcome3]="Win",BetTable[WBA3-Commission],IF(BetTable[Outcome3]="Win Half Stake",(BetTable[S3]/2)+BetTable[WBA3-Commission]/2,IF(BetTable[Outcome3]="Lose Half Stake",BetTable[S3]/2,IF(BetTable[Outcome3]="Lose",0,IF(BetTable[Outcome3]="Void",BetTable[S3],)))))</f>
        <v>0</v>
      </c>
      <c r="AI1353" s="261">
        <f>IF(BetTable[Outcome]="",AI1352,BetTable[Result]+AI1352)</f>
        <v>2496.2147500000001</v>
      </c>
      <c r="AJ1353" s="253"/>
    </row>
    <row r="1354" spans="1:36" x14ac:dyDescent="0.2">
      <c r="A1354" s="252" t="s">
        <v>3151</v>
      </c>
      <c r="B1354" s="253" t="s">
        <v>9</v>
      </c>
      <c r="C1354" s="254" t="s">
        <v>91</v>
      </c>
      <c r="D1354" s="254"/>
      <c r="E1354" s="254"/>
      <c r="F1354" s="255"/>
      <c r="G1354" s="255"/>
      <c r="H1354" s="255"/>
      <c r="I1354" s="253" t="s">
        <v>3228</v>
      </c>
      <c r="J1354" s="256">
        <v>1.91</v>
      </c>
      <c r="K1354" s="256"/>
      <c r="L1354" s="256"/>
      <c r="M1354" s="257">
        <v>64</v>
      </c>
      <c r="N1354" s="257"/>
      <c r="O1354" s="257"/>
      <c r="P1354" s="252" t="s">
        <v>453</v>
      </c>
      <c r="Q1354" s="252" t="s">
        <v>458</v>
      </c>
      <c r="R1354" s="252" t="s">
        <v>3266</v>
      </c>
      <c r="S1354" s="258">
        <v>6.3264667725400001E-2</v>
      </c>
      <c r="T1354" s="259" t="s">
        <v>382</v>
      </c>
      <c r="U1354" s="259"/>
      <c r="V1354" s="259"/>
      <c r="W1354" s="260">
        <f>IF(BetTable[Sport]="","",BetTable[Stake]+BetTable[S2]+BetTable[S3])</f>
        <v>64</v>
      </c>
      <c r="X1354" s="257">
        <f>IF(BetTable[Odds]="","",(BetTable[WBA1-Commission])-BetTable[TS])</f>
        <v>58.239999999999995</v>
      </c>
      <c r="Y1354" s="261">
        <f>IF(BetTable[Outcome]="","",BetTable[WBA1]+BetTable[WBA2]+BetTable[WBA3]-BetTable[TS])</f>
        <v>-64</v>
      </c>
      <c r="Z1354" s="257">
        <f>(((BetTable[Odds]-1)*BetTable[Stake])*(1-(BetTable[Comm %]))+BetTable[Stake])</f>
        <v>122.24</v>
      </c>
      <c r="AA1354" s="257">
        <f>(((BetTable[O2]-1)*BetTable[S2])*(1-(BetTable[C% 2]))+BetTable[S2])</f>
        <v>0</v>
      </c>
      <c r="AB1354" s="257">
        <f>(((BetTable[O3]-1)*BetTable[S3])*(1-(BetTable[C% 3]))+BetTable[S3])</f>
        <v>0</v>
      </c>
      <c r="AC1354" s="258">
        <f>IFERROR(IF(BetTable[Sport]="","",BetTable[R1]/BetTable[TS]),"")</f>
        <v>0.90999999999999992</v>
      </c>
      <c r="AD1354" s="258" t="str">
        <f>IF(BetTable[O2]="","",#REF!/BetTable[TS])</f>
        <v/>
      </c>
      <c r="AE1354" s="258" t="str">
        <f>IFERROR(IF(BetTable[Sport]="","",#REF!/BetTable[TS]),"")</f>
        <v/>
      </c>
      <c r="AF1354" s="257">
        <f>IF(BetTable[Outcome]="Win",BetTable[WBA1-Commission],IF(BetTable[Outcome]="Win Half Stake",(BetTable[Stake]/2)+BetTable[WBA1-Commission]/2,IF(BetTable[Outcome]="Lose Half Stake",BetTable[Stake]/2,IF(BetTable[Outcome]="Lose",0,IF(BetTable[Outcome]="Void",BetTable[Stake],)))))</f>
        <v>0</v>
      </c>
      <c r="AG1354" s="257">
        <f>IF(BetTable[Outcome2]="Win",BetTable[WBA2-Commission],IF(BetTable[Outcome2]="Win Half Stake",(BetTable[S2]/2)+BetTable[WBA2-Commission]/2,IF(BetTable[Outcome2]="Lose Half Stake",BetTable[S2]/2,IF(BetTable[Outcome2]="Lose",0,IF(BetTable[Outcome2]="Void",BetTable[S2],)))))</f>
        <v>0</v>
      </c>
      <c r="AH1354" s="257">
        <f>IF(BetTable[Outcome3]="Win",BetTable[WBA3-Commission],IF(BetTable[Outcome3]="Win Half Stake",(BetTable[S3]/2)+BetTable[WBA3-Commission]/2,IF(BetTable[Outcome3]="Lose Half Stake",BetTable[S3]/2,IF(BetTable[Outcome3]="Lose",0,IF(BetTable[Outcome3]="Void",BetTable[S3],)))))</f>
        <v>0</v>
      </c>
      <c r="AI1354" s="261">
        <f>IF(BetTable[Outcome]="",AI1353,BetTable[Result]+AI1353)</f>
        <v>2432.2147500000001</v>
      </c>
      <c r="AJ1354" s="253"/>
    </row>
    <row r="1355" spans="1:36" x14ac:dyDescent="0.2">
      <c r="A1355" s="252" t="s">
        <v>3151</v>
      </c>
      <c r="B1355" s="253" t="s">
        <v>200</v>
      </c>
      <c r="C1355" s="254" t="s">
        <v>216</v>
      </c>
      <c r="D1355" s="254"/>
      <c r="E1355" s="254"/>
      <c r="F1355" s="255"/>
      <c r="G1355" s="255"/>
      <c r="H1355" s="255"/>
      <c r="I1355" s="253" t="s">
        <v>3267</v>
      </c>
      <c r="J1355" s="256">
        <v>1.5620000000000001</v>
      </c>
      <c r="K1355" s="256"/>
      <c r="L1355" s="256"/>
      <c r="M1355" s="257">
        <v>86</v>
      </c>
      <c r="N1355" s="257"/>
      <c r="O1355" s="257"/>
      <c r="P1355" s="252" t="s">
        <v>1222</v>
      </c>
      <c r="Q1355" s="252" t="s">
        <v>432</v>
      </c>
      <c r="R1355" s="252" t="s">
        <v>3268</v>
      </c>
      <c r="S1355" s="258">
        <v>2.8495221793734499E-2</v>
      </c>
      <c r="T1355" s="259" t="s">
        <v>372</v>
      </c>
      <c r="U1355" s="259"/>
      <c r="V1355" s="259"/>
      <c r="W1355" s="260">
        <f>IF(BetTable[Sport]="","",BetTable[Stake]+BetTable[S2]+BetTable[S3])</f>
        <v>86</v>
      </c>
      <c r="X1355" s="257">
        <f>IF(BetTable[Odds]="","",(BetTable[WBA1-Commission])-BetTable[TS])</f>
        <v>48.331999999999994</v>
      </c>
      <c r="Y1355" s="261">
        <f>IF(BetTable[Outcome]="","",BetTable[WBA1]+BetTable[WBA2]+BetTable[WBA3]-BetTable[TS])</f>
        <v>48.331999999999994</v>
      </c>
      <c r="Z1355" s="257">
        <f>(((BetTable[Odds]-1)*BetTable[Stake])*(1-(BetTable[Comm %]))+BetTable[Stake])</f>
        <v>134.33199999999999</v>
      </c>
      <c r="AA1355" s="257">
        <f>(((BetTable[O2]-1)*BetTable[S2])*(1-(BetTable[C% 2]))+BetTable[S2])</f>
        <v>0</v>
      </c>
      <c r="AB1355" s="257">
        <f>(((BetTable[O3]-1)*BetTable[S3])*(1-(BetTable[C% 3]))+BetTable[S3])</f>
        <v>0</v>
      </c>
      <c r="AC1355" s="258">
        <f>IFERROR(IF(BetTable[Sport]="","",BetTable[R1]/BetTable[TS]),"")</f>
        <v>0.56199999999999994</v>
      </c>
      <c r="AD1355" s="258" t="str">
        <f>IF(BetTable[O2]="","",#REF!/BetTable[TS])</f>
        <v/>
      </c>
      <c r="AE1355" s="258" t="str">
        <f>IFERROR(IF(BetTable[Sport]="","",#REF!/BetTable[TS]),"")</f>
        <v/>
      </c>
      <c r="AF1355" s="257">
        <f>IF(BetTable[Outcome]="Win",BetTable[WBA1-Commission],IF(BetTable[Outcome]="Win Half Stake",(BetTable[Stake]/2)+BetTable[WBA1-Commission]/2,IF(BetTable[Outcome]="Lose Half Stake",BetTable[Stake]/2,IF(BetTable[Outcome]="Lose",0,IF(BetTable[Outcome]="Void",BetTable[Stake],)))))</f>
        <v>134.33199999999999</v>
      </c>
      <c r="AG1355" s="257">
        <f>IF(BetTable[Outcome2]="Win",BetTable[WBA2-Commission],IF(BetTable[Outcome2]="Win Half Stake",(BetTable[S2]/2)+BetTable[WBA2-Commission]/2,IF(BetTable[Outcome2]="Lose Half Stake",BetTable[S2]/2,IF(BetTable[Outcome2]="Lose",0,IF(BetTable[Outcome2]="Void",BetTable[S2],)))))</f>
        <v>0</v>
      </c>
      <c r="AH1355" s="257">
        <f>IF(BetTable[Outcome3]="Win",BetTable[WBA3-Commission],IF(BetTable[Outcome3]="Win Half Stake",(BetTable[S3]/2)+BetTable[WBA3-Commission]/2,IF(BetTable[Outcome3]="Lose Half Stake",BetTable[S3]/2,IF(BetTable[Outcome3]="Lose",0,IF(BetTable[Outcome3]="Void",BetTable[S3],)))))</f>
        <v>0</v>
      </c>
      <c r="AI1355" s="261">
        <f>IF(BetTable[Outcome]="",AI1354,BetTable[Result]+AI1354)</f>
        <v>2480.54675</v>
      </c>
      <c r="AJ1355" s="253"/>
    </row>
    <row r="1356" spans="1:36" x14ac:dyDescent="0.2">
      <c r="A1356" s="252" t="s">
        <v>3151</v>
      </c>
      <c r="B1356" s="253" t="s">
        <v>200</v>
      </c>
      <c r="C1356" s="254" t="s">
        <v>1714</v>
      </c>
      <c r="D1356" s="254"/>
      <c r="E1356" s="254"/>
      <c r="F1356" s="255"/>
      <c r="G1356" s="255"/>
      <c r="H1356" s="255"/>
      <c r="I1356" s="253" t="s">
        <v>3269</v>
      </c>
      <c r="J1356" s="256">
        <v>1.83</v>
      </c>
      <c r="K1356" s="256"/>
      <c r="L1356" s="256"/>
      <c r="M1356" s="257">
        <v>81</v>
      </c>
      <c r="N1356" s="257"/>
      <c r="O1356" s="257"/>
      <c r="P1356" s="252" t="s">
        <v>336</v>
      </c>
      <c r="Q1356" s="252" t="s">
        <v>752</v>
      </c>
      <c r="R1356" s="252" t="s">
        <v>3270</v>
      </c>
      <c r="S1356" s="258">
        <v>3.4438155030509003E-2</v>
      </c>
      <c r="T1356" s="259" t="s">
        <v>372</v>
      </c>
      <c r="U1356" s="259"/>
      <c r="V1356" s="259"/>
      <c r="W1356" s="260">
        <f>IF(BetTable[Sport]="","",BetTable[Stake]+BetTable[S2]+BetTable[S3])</f>
        <v>81</v>
      </c>
      <c r="X1356" s="257">
        <f>IF(BetTable[Odds]="","",(BetTable[WBA1-Commission])-BetTable[TS])</f>
        <v>67.230000000000018</v>
      </c>
      <c r="Y1356" s="261">
        <f>IF(BetTable[Outcome]="","",BetTable[WBA1]+BetTable[WBA2]+BetTable[WBA3]-BetTable[TS])</f>
        <v>67.230000000000018</v>
      </c>
      <c r="Z1356" s="257">
        <f>(((BetTable[Odds]-1)*BetTable[Stake])*(1-(BetTable[Comm %]))+BetTable[Stake])</f>
        <v>148.23000000000002</v>
      </c>
      <c r="AA1356" s="257">
        <f>(((BetTable[O2]-1)*BetTable[S2])*(1-(BetTable[C% 2]))+BetTable[S2])</f>
        <v>0</v>
      </c>
      <c r="AB1356" s="257">
        <f>(((BetTable[O3]-1)*BetTable[S3])*(1-(BetTable[C% 3]))+BetTable[S3])</f>
        <v>0</v>
      </c>
      <c r="AC1356" s="258">
        <f>IFERROR(IF(BetTable[Sport]="","",BetTable[R1]/BetTable[TS]),"")</f>
        <v>0.83000000000000018</v>
      </c>
      <c r="AD1356" s="258" t="str">
        <f>IF(BetTable[O2]="","",#REF!/BetTable[TS])</f>
        <v/>
      </c>
      <c r="AE1356" s="258" t="str">
        <f>IFERROR(IF(BetTable[Sport]="","",#REF!/BetTable[TS]),"")</f>
        <v/>
      </c>
      <c r="AF1356" s="257">
        <f>IF(BetTable[Outcome]="Win",BetTable[WBA1-Commission],IF(BetTable[Outcome]="Win Half Stake",(BetTable[Stake]/2)+BetTable[WBA1-Commission]/2,IF(BetTable[Outcome]="Lose Half Stake",BetTable[Stake]/2,IF(BetTable[Outcome]="Lose",0,IF(BetTable[Outcome]="Void",BetTable[Stake],)))))</f>
        <v>148.23000000000002</v>
      </c>
      <c r="AG1356" s="257">
        <f>IF(BetTable[Outcome2]="Win",BetTable[WBA2-Commission],IF(BetTable[Outcome2]="Win Half Stake",(BetTable[S2]/2)+BetTable[WBA2-Commission]/2,IF(BetTable[Outcome2]="Lose Half Stake",BetTable[S2]/2,IF(BetTable[Outcome2]="Lose",0,IF(BetTable[Outcome2]="Void",BetTable[S2],)))))</f>
        <v>0</v>
      </c>
      <c r="AH1356" s="257">
        <f>IF(BetTable[Outcome3]="Win",BetTable[WBA3-Commission],IF(BetTable[Outcome3]="Win Half Stake",(BetTable[S3]/2)+BetTable[WBA3-Commission]/2,IF(BetTable[Outcome3]="Lose Half Stake",BetTable[S3]/2,IF(BetTable[Outcome3]="Lose",0,IF(BetTable[Outcome3]="Void",BetTable[S3],)))))</f>
        <v>0</v>
      </c>
      <c r="AI1356" s="261">
        <f>IF(BetTable[Outcome]="",AI1355,BetTable[Result]+AI1355)</f>
        <v>2547.77675</v>
      </c>
      <c r="AJ1356" s="253" t="s">
        <v>3271</v>
      </c>
    </row>
    <row r="1357" spans="1:36" x14ac:dyDescent="0.2">
      <c r="A1357" s="252" t="s">
        <v>3151</v>
      </c>
      <c r="B1357" s="253" t="s">
        <v>7</v>
      </c>
      <c r="C1357" s="254" t="s">
        <v>91</v>
      </c>
      <c r="D1357" s="254"/>
      <c r="E1357" s="254"/>
      <c r="F1357" s="255"/>
      <c r="G1357" s="255"/>
      <c r="H1357" s="255"/>
      <c r="I1357" s="253" t="s">
        <v>3272</v>
      </c>
      <c r="J1357" s="256">
        <v>1.89</v>
      </c>
      <c r="K1357" s="256"/>
      <c r="L1357" s="256"/>
      <c r="M1357" s="257">
        <v>61</v>
      </c>
      <c r="N1357" s="257"/>
      <c r="O1357" s="257"/>
      <c r="P1357" s="252" t="s">
        <v>2949</v>
      </c>
      <c r="Q1357" s="252" t="s">
        <v>530</v>
      </c>
      <c r="R1357" s="252" t="s">
        <v>3273</v>
      </c>
      <c r="S1357" s="258">
        <v>2.76590172112746E-2</v>
      </c>
      <c r="T1357" s="259" t="s">
        <v>382</v>
      </c>
      <c r="U1357" s="259"/>
      <c r="V1357" s="259"/>
      <c r="W1357" s="260">
        <f>IF(BetTable[Sport]="","",BetTable[Stake]+BetTable[S2]+BetTable[S3])</f>
        <v>61</v>
      </c>
      <c r="X1357" s="257">
        <f>IF(BetTable[Odds]="","",(BetTable[WBA1-Commission])-BetTable[TS])</f>
        <v>54.289999999999992</v>
      </c>
      <c r="Y1357" s="261">
        <f>IF(BetTable[Outcome]="","",BetTable[WBA1]+BetTable[WBA2]+BetTable[WBA3]-BetTable[TS])</f>
        <v>-61</v>
      </c>
      <c r="Z1357" s="257">
        <f>(((BetTable[Odds]-1)*BetTable[Stake])*(1-(BetTable[Comm %]))+BetTable[Stake])</f>
        <v>115.28999999999999</v>
      </c>
      <c r="AA1357" s="257">
        <f>(((BetTable[O2]-1)*BetTable[S2])*(1-(BetTable[C% 2]))+BetTable[S2])</f>
        <v>0</v>
      </c>
      <c r="AB1357" s="257">
        <f>(((BetTable[O3]-1)*BetTable[S3])*(1-(BetTable[C% 3]))+BetTable[S3])</f>
        <v>0</v>
      </c>
      <c r="AC1357" s="258">
        <f>IFERROR(IF(BetTable[Sport]="","",BetTable[R1]/BetTable[TS]),"")</f>
        <v>0.8899999999999999</v>
      </c>
      <c r="AD1357" s="258" t="str">
        <f>IF(BetTable[O2]="","",#REF!/BetTable[TS])</f>
        <v/>
      </c>
      <c r="AE1357" s="258" t="str">
        <f>IFERROR(IF(BetTable[Sport]="","",#REF!/BetTable[TS]),"")</f>
        <v/>
      </c>
      <c r="AF1357" s="257">
        <f>IF(BetTable[Outcome]="Win",BetTable[WBA1-Commission],IF(BetTable[Outcome]="Win Half Stake",(BetTable[Stake]/2)+BetTable[WBA1-Commission]/2,IF(BetTable[Outcome]="Lose Half Stake",BetTable[Stake]/2,IF(BetTable[Outcome]="Lose",0,IF(BetTable[Outcome]="Void",BetTable[Stake],)))))</f>
        <v>0</v>
      </c>
      <c r="AG1357" s="257">
        <f>IF(BetTable[Outcome2]="Win",BetTable[WBA2-Commission],IF(BetTable[Outcome2]="Win Half Stake",(BetTable[S2]/2)+BetTable[WBA2-Commission]/2,IF(BetTable[Outcome2]="Lose Half Stake",BetTable[S2]/2,IF(BetTable[Outcome2]="Lose",0,IF(BetTable[Outcome2]="Void",BetTable[S2],)))))</f>
        <v>0</v>
      </c>
      <c r="AH1357" s="257">
        <f>IF(BetTable[Outcome3]="Win",BetTable[WBA3-Commission],IF(BetTable[Outcome3]="Win Half Stake",(BetTable[S3]/2)+BetTable[WBA3-Commission]/2,IF(BetTable[Outcome3]="Lose Half Stake",BetTable[S3]/2,IF(BetTable[Outcome3]="Lose",0,IF(BetTable[Outcome3]="Void",BetTable[S3],)))))</f>
        <v>0</v>
      </c>
      <c r="AI1357" s="261">
        <f>IF(BetTable[Outcome]="",AI1356,BetTable[Result]+AI1356)</f>
        <v>2486.77675</v>
      </c>
      <c r="AJ1357" s="253"/>
    </row>
    <row r="1358" spans="1:36" x14ac:dyDescent="0.2">
      <c r="A1358" s="252" t="s">
        <v>3151</v>
      </c>
      <c r="B1358" s="253" t="s">
        <v>200</v>
      </c>
      <c r="C1358" s="254" t="s">
        <v>1714</v>
      </c>
      <c r="D1358" s="254"/>
      <c r="E1358" s="254"/>
      <c r="F1358" s="255"/>
      <c r="G1358" s="255"/>
      <c r="H1358" s="255"/>
      <c r="I1358" s="253" t="s">
        <v>3274</v>
      </c>
      <c r="J1358" s="256">
        <v>1.81</v>
      </c>
      <c r="K1358" s="256"/>
      <c r="L1358" s="256"/>
      <c r="M1358" s="257">
        <v>67</v>
      </c>
      <c r="N1358" s="257"/>
      <c r="O1358" s="257"/>
      <c r="P1358" s="252" t="s">
        <v>688</v>
      </c>
      <c r="Q1358" s="252" t="s">
        <v>432</v>
      </c>
      <c r="R1358" s="252" t="s">
        <v>3275</v>
      </c>
      <c r="S1358" s="258">
        <v>2.7736125209508699E-2</v>
      </c>
      <c r="T1358" s="259" t="s">
        <v>382</v>
      </c>
      <c r="U1358" s="259"/>
      <c r="V1358" s="259"/>
      <c r="W1358" s="260">
        <f>IF(BetTable[Sport]="","",BetTable[Stake]+BetTable[S2]+BetTable[S3])</f>
        <v>67</v>
      </c>
      <c r="X1358" s="257">
        <f>IF(BetTable[Odds]="","",(BetTable[WBA1-Commission])-BetTable[TS])</f>
        <v>54.27000000000001</v>
      </c>
      <c r="Y1358" s="261">
        <f>IF(BetTable[Outcome]="","",BetTable[WBA1]+BetTable[WBA2]+BetTable[WBA3]-BetTable[TS])</f>
        <v>-67</v>
      </c>
      <c r="Z1358" s="257">
        <f>(((BetTable[Odds]-1)*BetTable[Stake])*(1-(BetTable[Comm %]))+BetTable[Stake])</f>
        <v>121.27000000000001</v>
      </c>
      <c r="AA1358" s="257">
        <f>(((BetTable[O2]-1)*BetTable[S2])*(1-(BetTable[C% 2]))+BetTable[S2])</f>
        <v>0</v>
      </c>
      <c r="AB1358" s="257">
        <f>(((BetTable[O3]-1)*BetTable[S3])*(1-(BetTable[C% 3]))+BetTable[S3])</f>
        <v>0</v>
      </c>
      <c r="AC1358" s="258">
        <f>IFERROR(IF(BetTable[Sport]="","",BetTable[R1]/BetTable[TS]),"")</f>
        <v>0.81000000000000016</v>
      </c>
      <c r="AD1358" s="258" t="str">
        <f>IF(BetTable[O2]="","",#REF!/BetTable[TS])</f>
        <v/>
      </c>
      <c r="AE1358" s="258" t="str">
        <f>IFERROR(IF(BetTable[Sport]="","",#REF!/BetTable[TS]),"")</f>
        <v/>
      </c>
      <c r="AF1358" s="257">
        <f>IF(BetTable[Outcome]="Win",BetTable[WBA1-Commission],IF(BetTable[Outcome]="Win Half Stake",(BetTable[Stake]/2)+BetTable[WBA1-Commission]/2,IF(BetTable[Outcome]="Lose Half Stake",BetTable[Stake]/2,IF(BetTable[Outcome]="Lose",0,IF(BetTable[Outcome]="Void",BetTable[Stake],)))))</f>
        <v>0</v>
      </c>
      <c r="AG1358" s="257">
        <f>IF(BetTable[Outcome2]="Win",BetTable[WBA2-Commission],IF(BetTable[Outcome2]="Win Half Stake",(BetTable[S2]/2)+BetTable[WBA2-Commission]/2,IF(BetTable[Outcome2]="Lose Half Stake",BetTable[S2]/2,IF(BetTable[Outcome2]="Lose",0,IF(BetTable[Outcome2]="Void",BetTable[S2],)))))</f>
        <v>0</v>
      </c>
      <c r="AH1358" s="257">
        <f>IF(BetTable[Outcome3]="Win",BetTable[WBA3-Commission],IF(BetTable[Outcome3]="Win Half Stake",(BetTable[S3]/2)+BetTable[WBA3-Commission]/2,IF(BetTable[Outcome3]="Lose Half Stake",BetTable[S3]/2,IF(BetTable[Outcome3]="Lose",0,IF(BetTable[Outcome3]="Void",BetTable[S3],)))))</f>
        <v>0</v>
      </c>
      <c r="AI1358" s="261">
        <f>IF(BetTable[Outcome]="",AI1357,BetTable[Result]+AI1357)</f>
        <v>2419.77675</v>
      </c>
      <c r="AJ1358" s="253"/>
    </row>
    <row r="1359" spans="1:36" x14ac:dyDescent="0.2">
      <c r="A1359" s="252" t="s">
        <v>3151</v>
      </c>
      <c r="B1359" s="253" t="s">
        <v>8</v>
      </c>
      <c r="C1359" s="254" t="s">
        <v>91</v>
      </c>
      <c r="D1359" s="254"/>
      <c r="E1359" s="254"/>
      <c r="F1359" s="255"/>
      <c r="G1359" s="255"/>
      <c r="H1359" s="255"/>
      <c r="I1359" s="253" t="s">
        <v>3276</v>
      </c>
      <c r="J1359" s="256">
        <v>1.99</v>
      </c>
      <c r="K1359" s="256"/>
      <c r="L1359" s="256"/>
      <c r="M1359" s="257">
        <v>35</v>
      </c>
      <c r="N1359" s="257"/>
      <c r="O1359" s="257"/>
      <c r="P1359" s="252" t="s">
        <v>435</v>
      </c>
      <c r="Q1359" s="252" t="s">
        <v>3277</v>
      </c>
      <c r="R1359" s="252" t="s">
        <v>3278</v>
      </c>
      <c r="S1359" s="258">
        <v>1.7573545919799798E-2</v>
      </c>
      <c r="T1359" s="259" t="s">
        <v>372</v>
      </c>
      <c r="U1359" s="259"/>
      <c r="V1359" s="259"/>
      <c r="W1359" s="260">
        <f>IF(BetTable[Sport]="","",BetTable[Stake]+BetTable[S2]+BetTable[S3])</f>
        <v>35</v>
      </c>
      <c r="X1359" s="257">
        <f>IF(BetTable[Odds]="","",(BetTable[WBA1-Commission])-BetTable[TS])</f>
        <v>34.650000000000006</v>
      </c>
      <c r="Y1359" s="261">
        <f>IF(BetTable[Outcome]="","",BetTable[WBA1]+BetTable[WBA2]+BetTable[WBA3]-BetTable[TS])</f>
        <v>34.650000000000006</v>
      </c>
      <c r="Z1359" s="257">
        <f>(((BetTable[Odds]-1)*BetTable[Stake])*(1-(BetTable[Comm %]))+BetTable[Stake])</f>
        <v>69.650000000000006</v>
      </c>
      <c r="AA1359" s="257">
        <f>(((BetTable[O2]-1)*BetTable[S2])*(1-(BetTable[C% 2]))+BetTable[S2])</f>
        <v>0</v>
      </c>
      <c r="AB1359" s="257">
        <f>(((BetTable[O3]-1)*BetTable[S3])*(1-(BetTable[C% 3]))+BetTable[S3])</f>
        <v>0</v>
      </c>
      <c r="AC1359" s="258">
        <f>IFERROR(IF(BetTable[Sport]="","",BetTable[R1]/BetTable[TS]),"")</f>
        <v>0.99000000000000021</v>
      </c>
      <c r="AD1359" s="258" t="str">
        <f>IF(BetTable[O2]="","",#REF!/BetTable[TS])</f>
        <v/>
      </c>
      <c r="AE1359" s="258" t="str">
        <f>IFERROR(IF(BetTable[Sport]="","",#REF!/BetTable[TS]),"")</f>
        <v/>
      </c>
      <c r="AF1359" s="257">
        <f>IF(BetTable[Outcome]="Win",BetTable[WBA1-Commission],IF(BetTable[Outcome]="Win Half Stake",(BetTable[Stake]/2)+BetTable[WBA1-Commission]/2,IF(BetTable[Outcome]="Lose Half Stake",BetTable[Stake]/2,IF(BetTable[Outcome]="Lose",0,IF(BetTable[Outcome]="Void",BetTable[Stake],)))))</f>
        <v>69.650000000000006</v>
      </c>
      <c r="AG1359" s="257">
        <f>IF(BetTable[Outcome2]="Win",BetTable[WBA2-Commission],IF(BetTable[Outcome2]="Win Half Stake",(BetTable[S2]/2)+BetTable[WBA2-Commission]/2,IF(BetTable[Outcome2]="Lose Half Stake",BetTable[S2]/2,IF(BetTable[Outcome2]="Lose",0,IF(BetTable[Outcome2]="Void",BetTable[S2],)))))</f>
        <v>0</v>
      </c>
      <c r="AH1359" s="257">
        <f>IF(BetTable[Outcome3]="Win",BetTable[WBA3-Commission],IF(BetTable[Outcome3]="Win Half Stake",(BetTable[S3]/2)+BetTable[WBA3-Commission]/2,IF(BetTable[Outcome3]="Lose Half Stake",BetTable[S3]/2,IF(BetTable[Outcome3]="Lose",0,IF(BetTable[Outcome3]="Void",BetTable[S3],)))))</f>
        <v>0</v>
      </c>
      <c r="AI1359" s="261">
        <f>IF(BetTable[Outcome]="",AI1358,BetTable[Result]+AI1358)</f>
        <v>2454.4267500000001</v>
      </c>
      <c r="AJ1359" s="253"/>
    </row>
    <row r="1360" spans="1:36" x14ac:dyDescent="0.2">
      <c r="A1360" s="252" t="s">
        <v>3151</v>
      </c>
      <c r="B1360" s="253" t="s">
        <v>7</v>
      </c>
      <c r="C1360" s="254" t="s">
        <v>91</v>
      </c>
      <c r="D1360" s="254"/>
      <c r="E1360" s="254"/>
      <c r="F1360" s="255"/>
      <c r="G1360" s="255"/>
      <c r="H1360" s="255"/>
      <c r="I1360" s="253" t="s">
        <v>3203</v>
      </c>
      <c r="J1360" s="256">
        <v>2.23</v>
      </c>
      <c r="K1360" s="256"/>
      <c r="L1360" s="256"/>
      <c r="M1360" s="257">
        <v>39</v>
      </c>
      <c r="N1360" s="257"/>
      <c r="O1360" s="257"/>
      <c r="P1360" s="252" t="s">
        <v>1268</v>
      </c>
      <c r="Q1360" s="252" t="s">
        <v>488</v>
      </c>
      <c r="R1360" s="252" t="s">
        <v>3279</v>
      </c>
      <c r="S1360" s="258">
        <v>2.4436300458011099E-2</v>
      </c>
      <c r="T1360" s="259" t="s">
        <v>372</v>
      </c>
      <c r="U1360" s="259"/>
      <c r="V1360" s="259"/>
      <c r="W1360" s="260">
        <f>IF(BetTable[Sport]="","",BetTable[Stake]+BetTable[S2]+BetTable[S3])</f>
        <v>39</v>
      </c>
      <c r="X1360" s="257">
        <f>IF(BetTable[Odds]="","",(BetTable[WBA1-Commission])-BetTable[TS])</f>
        <v>47.97</v>
      </c>
      <c r="Y1360" s="261">
        <f>IF(BetTable[Outcome]="","",BetTable[WBA1]+BetTable[WBA2]+BetTable[WBA3]-BetTable[TS])</f>
        <v>47.97</v>
      </c>
      <c r="Z1360" s="257">
        <f>(((BetTable[Odds]-1)*BetTable[Stake])*(1-(BetTable[Comm %]))+BetTable[Stake])</f>
        <v>86.97</v>
      </c>
      <c r="AA1360" s="257">
        <f>(((BetTable[O2]-1)*BetTable[S2])*(1-(BetTable[C% 2]))+BetTable[S2])</f>
        <v>0</v>
      </c>
      <c r="AB1360" s="257">
        <f>(((BetTable[O3]-1)*BetTable[S3])*(1-(BetTable[C% 3]))+BetTable[S3])</f>
        <v>0</v>
      </c>
      <c r="AC1360" s="258">
        <f>IFERROR(IF(BetTable[Sport]="","",BetTable[R1]/BetTable[TS]),"")</f>
        <v>1.23</v>
      </c>
      <c r="AD1360" s="258" t="str">
        <f>IF(BetTable[O2]="","",#REF!/BetTable[TS])</f>
        <v/>
      </c>
      <c r="AE1360" s="258" t="str">
        <f>IFERROR(IF(BetTable[Sport]="","",#REF!/BetTable[TS]),"")</f>
        <v/>
      </c>
      <c r="AF1360" s="257">
        <f>IF(BetTable[Outcome]="Win",BetTable[WBA1-Commission],IF(BetTable[Outcome]="Win Half Stake",(BetTable[Stake]/2)+BetTable[WBA1-Commission]/2,IF(BetTable[Outcome]="Lose Half Stake",BetTable[Stake]/2,IF(BetTable[Outcome]="Lose",0,IF(BetTable[Outcome]="Void",BetTable[Stake],)))))</f>
        <v>86.97</v>
      </c>
      <c r="AG1360" s="257">
        <f>IF(BetTable[Outcome2]="Win",BetTable[WBA2-Commission],IF(BetTable[Outcome2]="Win Half Stake",(BetTable[S2]/2)+BetTable[WBA2-Commission]/2,IF(BetTable[Outcome2]="Lose Half Stake",BetTable[S2]/2,IF(BetTable[Outcome2]="Lose",0,IF(BetTable[Outcome2]="Void",BetTable[S2],)))))</f>
        <v>0</v>
      </c>
      <c r="AH1360" s="257">
        <f>IF(BetTable[Outcome3]="Win",BetTable[WBA3-Commission],IF(BetTable[Outcome3]="Win Half Stake",(BetTable[S3]/2)+BetTable[WBA3-Commission]/2,IF(BetTable[Outcome3]="Lose Half Stake",BetTable[S3]/2,IF(BetTable[Outcome3]="Lose",0,IF(BetTable[Outcome3]="Void",BetTable[S3],)))))</f>
        <v>0</v>
      </c>
      <c r="AI1360" s="261">
        <f>IF(BetTable[Outcome]="",AI1359,BetTable[Result]+AI1359)</f>
        <v>2502.3967499999999</v>
      </c>
      <c r="AJ1360" s="253"/>
    </row>
    <row r="1361" spans="1:36" x14ac:dyDescent="0.2">
      <c r="A1361" s="252" t="s">
        <v>3151</v>
      </c>
      <c r="B1361" s="253" t="s">
        <v>9</v>
      </c>
      <c r="C1361" s="254" t="s">
        <v>91</v>
      </c>
      <c r="D1361" s="254"/>
      <c r="E1361" s="254"/>
      <c r="F1361" s="255"/>
      <c r="G1361" s="255"/>
      <c r="H1361" s="255"/>
      <c r="I1361" s="253" t="s">
        <v>3280</v>
      </c>
      <c r="J1361" s="256">
        <v>1.74</v>
      </c>
      <c r="K1361" s="256"/>
      <c r="L1361" s="256"/>
      <c r="M1361" s="257">
        <v>64</v>
      </c>
      <c r="N1361" s="257"/>
      <c r="O1361" s="257"/>
      <c r="P1361" s="252" t="s">
        <v>498</v>
      </c>
      <c r="Q1361" s="252" t="s">
        <v>482</v>
      </c>
      <c r="R1361" s="252" t="s">
        <v>3281</v>
      </c>
      <c r="S1361" s="258">
        <v>3.7405624021676E-2</v>
      </c>
      <c r="T1361" s="259" t="s">
        <v>372</v>
      </c>
      <c r="U1361" s="259"/>
      <c r="V1361" s="259"/>
      <c r="W1361" s="260">
        <f>IF(BetTable[Sport]="","",BetTable[Stake]+BetTable[S2]+BetTable[S3])</f>
        <v>64</v>
      </c>
      <c r="X1361" s="257">
        <f>IF(BetTable[Odds]="","",(BetTable[WBA1-Commission])-BetTable[TS])</f>
        <v>47.36</v>
      </c>
      <c r="Y1361" s="261">
        <f>IF(BetTable[Outcome]="","",BetTable[WBA1]+BetTable[WBA2]+BetTable[WBA3]-BetTable[TS])</f>
        <v>47.36</v>
      </c>
      <c r="Z1361" s="257">
        <f>(((BetTable[Odds]-1)*BetTable[Stake])*(1-(BetTable[Comm %]))+BetTable[Stake])</f>
        <v>111.36</v>
      </c>
      <c r="AA1361" s="257">
        <f>(((BetTable[O2]-1)*BetTable[S2])*(1-(BetTable[C% 2]))+BetTable[S2])</f>
        <v>0</v>
      </c>
      <c r="AB1361" s="257">
        <f>(((BetTable[O3]-1)*BetTable[S3])*(1-(BetTable[C% 3]))+BetTable[S3])</f>
        <v>0</v>
      </c>
      <c r="AC1361" s="258">
        <f>IFERROR(IF(BetTable[Sport]="","",BetTable[R1]/BetTable[TS]),"")</f>
        <v>0.74</v>
      </c>
      <c r="AD1361" s="258" t="str">
        <f>IF(BetTable[O2]="","",#REF!/BetTable[TS])</f>
        <v/>
      </c>
      <c r="AE1361" s="258" t="str">
        <f>IFERROR(IF(BetTable[Sport]="","",#REF!/BetTable[TS]),"")</f>
        <v/>
      </c>
      <c r="AF1361" s="257">
        <f>IF(BetTable[Outcome]="Win",BetTable[WBA1-Commission],IF(BetTable[Outcome]="Win Half Stake",(BetTable[Stake]/2)+BetTable[WBA1-Commission]/2,IF(BetTable[Outcome]="Lose Half Stake",BetTable[Stake]/2,IF(BetTable[Outcome]="Lose",0,IF(BetTable[Outcome]="Void",BetTable[Stake],)))))</f>
        <v>111.36</v>
      </c>
      <c r="AG1361" s="257">
        <f>IF(BetTable[Outcome2]="Win",BetTable[WBA2-Commission],IF(BetTable[Outcome2]="Win Half Stake",(BetTable[S2]/2)+BetTable[WBA2-Commission]/2,IF(BetTable[Outcome2]="Lose Half Stake",BetTable[S2]/2,IF(BetTable[Outcome2]="Lose",0,IF(BetTable[Outcome2]="Void",BetTable[S2],)))))</f>
        <v>0</v>
      </c>
      <c r="AH1361" s="257">
        <f>IF(BetTable[Outcome3]="Win",BetTable[WBA3-Commission],IF(BetTable[Outcome3]="Win Half Stake",(BetTable[S3]/2)+BetTable[WBA3-Commission]/2,IF(BetTable[Outcome3]="Lose Half Stake",BetTable[S3]/2,IF(BetTable[Outcome3]="Lose",0,IF(BetTable[Outcome3]="Void",BetTable[S3],)))))</f>
        <v>0</v>
      </c>
      <c r="AI1361" s="261">
        <f>IF(BetTable[Outcome]="",AI1360,BetTable[Result]+AI1360)</f>
        <v>2549.75675</v>
      </c>
      <c r="AJ1361" s="253"/>
    </row>
    <row r="1362" spans="1:36" x14ac:dyDescent="0.2">
      <c r="A1362" s="252" t="s">
        <v>3151</v>
      </c>
      <c r="B1362" s="253" t="s">
        <v>200</v>
      </c>
      <c r="C1362" s="254" t="s">
        <v>1714</v>
      </c>
      <c r="D1362" s="254"/>
      <c r="E1362" s="254"/>
      <c r="F1362" s="255"/>
      <c r="G1362" s="255"/>
      <c r="H1362" s="255"/>
      <c r="I1362" s="253" t="s">
        <v>3282</v>
      </c>
      <c r="J1362" s="256">
        <v>1.67</v>
      </c>
      <c r="K1362" s="256"/>
      <c r="L1362" s="256"/>
      <c r="M1362" s="257">
        <v>48</v>
      </c>
      <c r="N1362" s="257"/>
      <c r="O1362" s="257"/>
      <c r="P1362" s="252" t="s">
        <v>368</v>
      </c>
      <c r="Q1362" s="252" t="s">
        <v>470</v>
      </c>
      <c r="R1362" s="252" t="s">
        <v>3283</v>
      </c>
      <c r="S1362" s="258">
        <v>1.6624049331500301E-2</v>
      </c>
      <c r="T1362" s="259" t="s">
        <v>372</v>
      </c>
      <c r="U1362" s="259"/>
      <c r="V1362" s="259"/>
      <c r="W1362" s="260">
        <f>IF(BetTable[Sport]="","",BetTable[Stake]+BetTable[S2]+BetTable[S3])</f>
        <v>48</v>
      </c>
      <c r="X1362" s="257">
        <f>IF(BetTable[Odds]="","",(BetTable[WBA1-Commission])-BetTable[TS])</f>
        <v>32.159999999999997</v>
      </c>
      <c r="Y1362" s="261">
        <f>IF(BetTable[Outcome]="","",BetTable[WBA1]+BetTable[WBA2]+BetTable[WBA3]-BetTable[TS])</f>
        <v>32.159999999999997</v>
      </c>
      <c r="Z1362" s="257">
        <f>(((BetTable[Odds]-1)*BetTable[Stake])*(1-(BetTable[Comm %]))+BetTable[Stake])</f>
        <v>80.16</v>
      </c>
      <c r="AA1362" s="257">
        <f>(((BetTable[O2]-1)*BetTable[S2])*(1-(BetTable[C% 2]))+BetTable[S2])</f>
        <v>0</v>
      </c>
      <c r="AB1362" s="257">
        <f>(((BetTable[O3]-1)*BetTable[S3])*(1-(BetTable[C% 3]))+BetTable[S3])</f>
        <v>0</v>
      </c>
      <c r="AC1362" s="258">
        <f>IFERROR(IF(BetTable[Sport]="","",BetTable[R1]/BetTable[TS]),"")</f>
        <v>0.66999999999999993</v>
      </c>
      <c r="AD1362" s="258" t="str">
        <f>IF(BetTable[O2]="","",#REF!/BetTable[TS])</f>
        <v/>
      </c>
      <c r="AE1362" s="258" t="str">
        <f>IFERROR(IF(BetTable[Sport]="","",#REF!/BetTable[TS]),"")</f>
        <v/>
      </c>
      <c r="AF1362" s="257">
        <f>IF(BetTable[Outcome]="Win",BetTable[WBA1-Commission],IF(BetTable[Outcome]="Win Half Stake",(BetTable[Stake]/2)+BetTable[WBA1-Commission]/2,IF(BetTable[Outcome]="Lose Half Stake",BetTable[Stake]/2,IF(BetTable[Outcome]="Lose",0,IF(BetTable[Outcome]="Void",BetTable[Stake],)))))</f>
        <v>80.16</v>
      </c>
      <c r="AG1362" s="257">
        <f>IF(BetTable[Outcome2]="Win",BetTable[WBA2-Commission],IF(BetTable[Outcome2]="Win Half Stake",(BetTable[S2]/2)+BetTable[WBA2-Commission]/2,IF(BetTable[Outcome2]="Lose Half Stake",BetTable[S2]/2,IF(BetTable[Outcome2]="Lose",0,IF(BetTable[Outcome2]="Void",BetTable[S2],)))))</f>
        <v>0</v>
      </c>
      <c r="AH1362" s="257">
        <f>IF(BetTable[Outcome3]="Win",BetTable[WBA3-Commission],IF(BetTable[Outcome3]="Win Half Stake",(BetTable[S3]/2)+BetTable[WBA3-Commission]/2,IF(BetTable[Outcome3]="Lose Half Stake",BetTable[S3]/2,IF(BetTable[Outcome3]="Lose",0,IF(BetTable[Outcome3]="Void",BetTable[S3],)))))</f>
        <v>0</v>
      </c>
      <c r="AI1362" s="261">
        <f>IF(BetTable[Outcome]="",AI1361,BetTable[Result]+AI1361)</f>
        <v>2581.9167499999999</v>
      </c>
      <c r="AJ1362" s="253"/>
    </row>
    <row r="1363" spans="1:36" x14ac:dyDescent="0.2">
      <c r="A1363" s="252" t="s">
        <v>3151</v>
      </c>
      <c r="B1363" s="253" t="s">
        <v>200</v>
      </c>
      <c r="C1363" s="254" t="s">
        <v>1714</v>
      </c>
      <c r="D1363" s="254"/>
      <c r="E1363" s="254"/>
      <c r="F1363" s="255"/>
      <c r="G1363" s="255"/>
      <c r="H1363" s="255"/>
      <c r="I1363" s="253" t="s">
        <v>3284</v>
      </c>
      <c r="J1363" s="256">
        <v>1.49</v>
      </c>
      <c r="K1363" s="256"/>
      <c r="L1363" s="256"/>
      <c r="M1363" s="257">
        <v>84</v>
      </c>
      <c r="N1363" s="257"/>
      <c r="O1363" s="257"/>
      <c r="P1363" s="252" t="s">
        <v>435</v>
      </c>
      <c r="Q1363" s="252" t="s">
        <v>581</v>
      </c>
      <c r="R1363" s="252" t="s">
        <v>3285</v>
      </c>
      <c r="S1363" s="258">
        <v>2.1028302758671201E-2</v>
      </c>
      <c r="T1363" s="259" t="s">
        <v>372</v>
      </c>
      <c r="U1363" s="259"/>
      <c r="V1363" s="259"/>
      <c r="W1363" s="260">
        <f>IF(BetTable[Sport]="","",BetTable[Stake]+BetTable[S2]+BetTable[S3])</f>
        <v>84</v>
      </c>
      <c r="X1363" s="257">
        <f>IF(BetTable[Odds]="","",(BetTable[WBA1-Commission])-BetTable[TS])</f>
        <v>41.16</v>
      </c>
      <c r="Y1363" s="261">
        <f>IF(BetTable[Outcome]="","",BetTable[WBA1]+BetTable[WBA2]+BetTable[WBA3]-BetTable[TS])</f>
        <v>41.16</v>
      </c>
      <c r="Z1363" s="257">
        <f>(((BetTable[Odds]-1)*BetTable[Stake])*(1-(BetTable[Comm %]))+BetTable[Stake])</f>
        <v>125.16</v>
      </c>
      <c r="AA1363" s="257">
        <f>(((BetTable[O2]-1)*BetTable[S2])*(1-(BetTable[C% 2]))+BetTable[S2])</f>
        <v>0</v>
      </c>
      <c r="AB1363" s="257">
        <f>(((BetTable[O3]-1)*BetTable[S3])*(1-(BetTable[C% 3]))+BetTable[S3])</f>
        <v>0</v>
      </c>
      <c r="AC1363" s="258">
        <f>IFERROR(IF(BetTable[Sport]="","",BetTable[R1]/BetTable[TS]),"")</f>
        <v>0.48999999999999994</v>
      </c>
      <c r="AD1363" s="258" t="str">
        <f>IF(BetTable[O2]="","",#REF!/BetTable[TS])</f>
        <v/>
      </c>
      <c r="AE1363" s="258" t="str">
        <f>IFERROR(IF(BetTable[Sport]="","",#REF!/BetTable[TS]),"")</f>
        <v/>
      </c>
      <c r="AF1363" s="257">
        <f>IF(BetTable[Outcome]="Win",BetTable[WBA1-Commission],IF(BetTable[Outcome]="Win Half Stake",(BetTable[Stake]/2)+BetTable[WBA1-Commission]/2,IF(BetTable[Outcome]="Lose Half Stake",BetTable[Stake]/2,IF(BetTable[Outcome]="Lose",0,IF(BetTable[Outcome]="Void",BetTable[Stake],)))))</f>
        <v>125.16</v>
      </c>
      <c r="AG1363" s="257">
        <f>IF(BetTable[Outcome2]="Win",BetTable[WBA2-Commission],IF(BetTable[Outcome2]="Win Half Stake",(BetTable[S2]/2)+BetTable[WBA2-Commission]/2,IF(BetTable[Outcome2]="Lose Half Stake",BetTable[S2]/2,IF(BetTable[Outcome2]="Lose",0,IF(BetTable[Outcome2]="Void",BetTable[S2],)))))</f>
        <v>0</v>
      </c>
      <c r="AH1363" s="257">
        <f>IF(BetTable[Outcome3]="Win",BetTable[WBA3-Commission],IF(BetTable[Outcome3]="Win Half Stake",(BetTable[S3]/2)+BetTable[WBA3-Commission]/2,IF(BetTable[Outcome3]="Lose Half Stake",BetTable[S3]/2,IF(BetTable[Outcome3]="Lose",0,IF(BetTable[Outcome3]="Void",BetTable[S3],)))))</f>
        <v>0</v>
      </c>
      <c r="AI1363" s="261">
        <f>IF(BetTable[Outcome]="",AI1362,BetTable[Result]+AI1362)</f>
        <v>2623.0767499999997</v>
      </c>
      <c r="AJ1363" s="253"/>
    </row>
    <row r="1364" spans="1:36" x14ac:dyDescent="0.2">
      <c r="A1364" s="252" t="s">
        <v>3151</v>
      </c>
      <c r="B1364" s="253" t="s">
        <v>7</v>
      </c>
      <c r="C1364" s="254" t="s">
        <v>91</v>
      </c>
      <c r="D1364" s="254"/>
      <c r="E1364" s="254"/>
      <c r="F1364" s="255"/>
      <c r="G1364" s="255"/>
      <c r="H1364" s="255"/>
      <c r="I1364" s="253" t="s">
        <v>3203</v>
      </c>
      <c r="J1364" s="256">
        <v>1.8</v>
      </c>
      <c r="K1364" s="256"/>
      <c r="L1364" s="256"/>
      <c r="M1364" s="257">
        <v>46</v>
      </c>
      <c r="N1364" s="257"/>
      <c r="O1364" s="257"/>
      <c r="P1364" s="252" t="s">
        <v>1257</v>
      </c>
      <c r="Q1364" s="252" t="s">
        <v>488</v>
      </c>
      <c r="R1364" s="252" t="s">
        <v>3286</v>
      </c>
      <c r="S1364" s="258">
        <v>1.8899590958292901E-2</v>
      </c>
      <c r="T1364" s="259" t="s">
        <v>382</v>
      </c>
      <c r="U1364" s="259"/>
      <c r="V1364" s="259"/>
      <c r="W1364" s="260">
        <f>IF(BetTable[Sport]="","",BetTable[Stake]+BetTable[S2]+BetTable[S3])</f>
        <v>46</v>
      </c>
      <c r="X1364" s="257">
        <f>IF(BetTable[Odds]="","",(BetTable[WBA1-Commission])-BetTable[TS])</f>
        <v>36.800000000000011</v>
      </c>
      <c r="Y1364" s="261">
        <f>IF(BetTable[Outcome]="","",BetTable[WBA1]+BetTable[WBA2]+BetTable[WBA3]-BetTable[TS])</f>
        <v>-46</v>
      </c>
      <c r="Z1364" s="257">
        <f>(((BetTable[Odds]-1)*BetTable[Stake])*(1-(BetTable[Comm %]))+BetTable[Stake])</f>
        <v>82.800000000000011</v>
      </c>
      <c r="AA1364" s="257">
        <f>(((BetTable[O2]-1)*BetTable[S2])*(1-(BetTable[C% 2]))+BetTable[S2])</f>
        <v>0</v>
      </c>
      <c r="AB1364" s="257">
        <f>(((BetTable[O3]-1)*BetTable[S3])*(1-(BetTable[C% 3]))+BetTable[S3])</f>
        <v>0</v>
      </c>
      <c r="AC1364" s="258">
        <f>IFERROR(IF(BetTable[Sport]="","",BetTable[R1]/BetTable[TS]),"")</f>
        <v>0.80000000000000027</v>
      </c>
      <c r="AD1364" s="258" t="str">
        <f>IF(BetTable[O2]="","",#REF!/BetTable[TS])</f>
        <v/>
      </c>
      <c r="AE1364" s="258" t="str">
        <f>IFERROR(IF(BetTable[Sport]="","",#REF!/BetTable[TS]),"")</f>
        <v/>
      </c>
      <c r="AF1364" s="257">
        <f>IF(BetTable[Outcome]="Win",BetTable[WBA1-Commission],IF(BetTable[Outcome]="Win Half Stake",(BetTable[Stake]/2)+BetTable[WBA1-Commission]/2,IF(BetTable[Outcome]="Lose Half Stake",BetTable[Stake]/2,IF(BetTable[Outcome]="Lose",0,IF(BetTable[Outcome]="Void",BetTable[Stake],)))))</f>
        <v>0</v>
      </c>
      <c r="AG1364" s="257">
        <f>IF(BetTable[Outcome2]="Win",BetTable[WBA2-Commission],IF(BetTable[Outcome2]="Win Half Stake",(BetTable[S2]/2)+BetTable[WBA2-Commission]/2,IF(BetTable[Outcome2]="Lose Half Stake",BetTable[S2]/2,IF(BetTable[Outcome2]="Lose",0,IF(BetTable[Outcome2]="Void",BetTable[S2],)))))</f>
        <v>0</v>
      </c>
      <c r="AH1364" s="257">
        <f>IF(BetTable[Outcome3]="Win",BetTable[WBA3-Commission],IF(BetTable[Outcome3]="Win Half Stake",(BetTable[S3]/2)+BetTable[WBA3-Commission]/2,IF(BetTable[Outcome3]="Lose Half Stake",BetTable[S3]/2,IF(BetTable[Outcome3]="Lose",0,IF(BetTable[Outcome3]="Void",BetTable[S3],)))))</f>
        <v>0</v>
      </c>
      <c r="AI1364" s="261">
        <f>IF(BetTable[Outcome]="",AI1363,BetTable[Result]+AI1363)</f>
        <v>2577.0767499999997</v>
      </c>
      <c r="AJ1364" s="253"/>
    </row>
    <row r="1365" spans="1:36" x14ac:dyDescent="0.2">
      <c r="A1365" s="252" t="s">
        <v>3151</v>
      </c>
      <c r="B1365" s="253" t="s">
        <v>200</v>
      </c>
      <c r="C1365" s="254" t="s">
        <v>1714</v>
      </c>
      <c r="D1365" s="254"/>
      <c r="E1365" s="254"/>
      <c r="F1365" s="255"/>
      <c r="G1365" s="255"/>
      <c r="H1365" s="255"/>
      <c r="I1365" s="253" t="s">
        <v>3287</v>
      </c>
      <c r="J1365" s="256">
        <v>1.8</v>
      </c>
      <c r="K1365" s="256"/>
      <c r="L1365" s="256"/>
      <c r="M1365" s="257">
        <v>43</v>
      </c>
      <c r="N1365" s="257"/>
      <c r="O1365" s="257"/>
      <c r="P1365" s="252" t="s">
        <v>385</v>
      </c>
      <c r="Q1365" s="252" t="s">
        <v>432</v>
      </c>
      <c r="R1365" s="252" t="s">
        <v>3288</v>
      </c>
      <c r="S1365" s="258">
        <v>1.7465063809010101E-2</v>
      </c>
      <c r="T1365" s="259" t="s">
        <v>372</v>
      </c>
      <c r="U1365" s="259"/>
      <c r="V1365" s="259"/>
      <c r="W1365" s="260">
        <f>IF(BetTable[Sport]="","",BetTable[Stake]+BetTable[S2]+BetTable[S3])</f>
        <v>43</v>
      </c>
      <c r="X1365" s="257">
        <f>IF(BetTable[Odds]="","",(BetTable[WBA1-Commission])-BetTable[TS])</f>
        <v>34.400000000000006</v>
      </c>
      <c r="Y1365" s="261">
        <f>IF(BetTable[Outcome]="","",BetTable[WBA1]+BetTable[WBA2]+BetTable[WBA3]-BetTable[TS])</f>
        <v>34.400000000000006</v>
      </c>
      <c r="Z1365" s="257">
        <f>(((BetTable[Odds]-1)*BetTable[Stake])*(1-(BetTable[Comm %]))+BetTable[Stake])</f>
        <v>77.400000000000006</v>
      </c>
      <c r="AA1365" s="257">
        <f>(((BetTable[O2]-1)*BetTable[S2])*(1-(BetTable[C% 2]))+BetTable[S2])</f>
        <v>0</v>
      </c>
      <c r="AB1365" s="257">
        <f>(((BetTable[O3]-1)*BetTable[S3])*(1-(BetTable[C% 3]))+BetTable[S3])</f>
        <v>0</v>
      </c>
      <c r="AC1365" s="258">
        <f>IFERROR(IF(BetTable[Sport]="","",BetTable[R1]/BetTable[TS]),"")</f>
        <v>0.80000000000000016</v>
      </c>
      <c r="AD1365" s="258" t="str">
        <f>IF(BetTable[O2]="","",#REF!/BetTable[TS])</f>
        <v/>
      </c>
      <c r="AE1365" s="258" t="str">
        <f>IFERROR(IF(BetTable[Sport]="","",#REF!/BetTable[TS]),"")</f>
        <v/>
      </c>
      <c r="AF1365" s="257">
        <f>IF(BetTable[Outcome]="Win",BetTable[WBA1-Commission],IF(BetTable[Outcome]="Win Half Stake",(BetTable[Stake]/2)+BetTable[WBA1-Commission]/2,IF(BetTable[Outcome]="Lose Half Stake",BetTable[Stake]/2,IF(BetTable[Outcome]="Lose",0,IF(BetTable[Outcome]="Void",BetTable[Stake],)))))</f>
        <v>77.400000000000006</v>
      </c>
      <c r="AG1365" s="257">
        <f>IF(BetTable[Outcome2]="Win",BetTable[WBA2-Commission],IF(BetTable[Outcome2]="Win Half Stake",(BetTable[S2]/2)+BetTable[WBA2-Commission]/2,IF(BetTable[Outcome2]="Lose Half Stake",BetTable[S2]/2,IF(BetTable[Outcome2]="Lose",0,IF(BetTable[Outcome2]="Void",BetTable[S2],)))))</f>
        <v>0</v>
      </c>
      <c r="AH1365" s="257">
        <f>IF(BetTable[Outcome3]="Win",BetTable[WBA3-Commission],IF(BetTable[Outcome3]="Win Half Stake",(BetTable[S3]/2)+BetTable[WBA3-Commission]/2,IF(BetTable[Outcome3]="Lose Half Stake",BetTable[S3]/2,IF(BetTable[Outcome3]="Lose",0,IF(BetTable[Outcome3]="Void",BetTable[S3],)))))</f>
        <v>0</v>
      </c>
      <c r="AI1365" s="261">
        <f>IF(BetTable[Outcome]="",AI1364,BetTable[Result]+AI1364)</f>
        <v>2611.4767499999998</v>
      </c>
      <c r="AJ1365" s="253"/>
    </row>
    <row r="1366" spans="1:36" x14ac:dyDescent="0.2">
      <c r="A1366" s="252" t="s">
        <v>3151</v>
      </c>
      <c r="B1366" s="253" t="s">
        <v>7</v>
      </c>
      <c r="C1366" s="254" t="s">
        <v>91</v>
      </c>
      <c r="D1366" s="254"/>
      <c r="E1366" s="254"/>
      <c r="F1366" s="255"/>
      <c r="G1366" s="255"/>
      <c r="H1366" s="255"/>
      <c r="I1366" s="253" t="s">
        <v>3289</v>
      </c>
      <c r="J1366" s="256">
        <v>1.92</v>
      </c>
      <c r="K1366" s="256"/>
      <c r="L1366" s="256"/>
      <c r="M1366" s="257">
        <v>45</v>
      </c>
      <c r="N1366" s="257"/>
      <c r="O1366" s="257"/>
      <c r="P1366" s="252" t="s">
        <v>3290</v>
      </c>
      <c r="Q1366" s="252" t="s">
        <v>485</v>
      </c>
      <c r="R1366" s="252" t="s">
        <v>3291</v>
      </c>
      <c r="S1366" s="258">
        <v>2.1213497403119199E-2</v>
      </c>
      <c r="T1366" s="259" t="s">
        <v>372</v>
      </c>
      <c r="U1366" s="259"/>
      <c r="V1366" s="259"/>
      <c r="W1366" s="260">
        <f>IF(BetTable[Sport]="","",BetTable[Stake]+BetTable[S2]+BetTable[S3])</f>
        <v>45</v>
      </c>
      <c r="X1366" s="257">
        <f>IF(BetTable[Odds]="","",(BetTable[WBA1-Commission])-BetTable[TS])</f>
        <v>41.400000000000006</v>
      </c>
      <c r="Y1366" s="261">
        <f>IF(BetTable[Outcome]="","",BetTable[WBA1]+BetTable[WBA2]+BetTable[WBA3]-BetTable[TS])</f>
        <v>41.400000000000006</v>
      </c>
      <c r="Z1366" s="257">
        <f>(((BetTable[Odds]-1)*BetTable[Stake])*(1-(BetTable[Comm %]))+BetTable[Stake])</f>
        <v>86.4</v>
      </c>
      <c r="AA1366" s="257">
        <f>(((BetTable[O2]-1)*BetTable[S2])*(1-(BetTable[C% 2]))+BetTable[S2])</f>
        <v>0</v>
      </c>
      <c r="AB1366" s="257">
        <f>(((BetTable[O3]-1)*BetTable[S3])*(1-(BetTable[C% 3]))+BetTable[S3])</f>
        <v>0</v>
      </c>
      <c r="AC1366" s="258">
        <f>IFERROR(IF(BetTable[Sport]="","",BetTable[R1]/BetTable[TS]),"")</f>
        <v>0.92000000000000015</v>
      </c>
      <c r="AD1366" s="258" t="str">
        <f>IF(BetTable[O2]="","",#REF!/BetTable[TS])</f>
        <v/>
      </c>
      <c r="AE1366" s="258" t="str">
        <f>IFERROR(IF(BetTable[Sport]="","",#REF!/BetTable[TS]),"")</f>
        <v/>
      </c>
      <c r="AF1366" s="257">
        <f>IF(BetTable[Outcome]="Win",BetTable[WBA1-Commission],IF(BetTable[Outcome]="Win Half Stake",(BetTable[Stake]/2)+BetTable[WBA1-Commission]/2,IF(BetTable[Outcome]="Lose Half Stake",BetTable[Stake]/2,IF(BetTable[Outcome]="Lose",0,IF(BetTable[Outcome]="Void",BetTable[Stake],)))))</f>
        <v>86.4</v>
      </c>
      <c r="AG1366" s="257">
        <f>IF(BetTable[Outcome2]="Win",BetTable[WBA2-Commission],IF(BetTable[Outcome2]="Win Half Stake",(BetTable[S2]/2)+BetTable[WBA2-Commission]/2,IF(BetTable[Outcome2]="Lose Half Stake",BetTable[S2]/2,IF(BetTable[Outcome2]="Lose",0,IF(BetTable[Outcome2]="Void",BetTable[S2],)))))</f>
        <v>0</v>
      </c>
      <c r="AH1366" s="257">
        <f>IF(BetTable[Outcome3]="Win",BetTable[WBA3-Commission],IF(BetTable[Outcome3]="Win Half Stake",(BetTable[S3]/2)+BetTable[WBA3-Commission]/2,IF(BetTable[Outcome3]="Lose Half Stake",BetTable[S3]/2,IF(BetTable[Outcome3]="Lose",0,IF(BetTable[Outcome3]="Void",BetTable[S3],)))))</f>
        <v>0</v>
      </c>
      <c r="AI1366" s="261">
        <f>IF(BetTable[Outcome]="",AI1365,BetTable[Result]+AI1365)</f>
        <v>2652.8767499999999</v>
      </c>
      <c r="AJ1366" s="253"/>
    </row>
    <row r="1367" spans="1:36" x14ac:dyDescent="0.2">
      <c r="A1367" s="252" t="s">
        <v>3151</v>
      </c>
      <c r="B1367" s="253" t="s">
        <v>7</v>
      </c>
      <c r="C1367" s="254" t="s">
        <v>91</v>
      </c>
      <c r="D1367" s="254"/>
      <c r="E1367" s="254"/>
      <c r="F1367" s="255"/>
      <c r="G1367" s="255"/>
      <c r="H1367" s="255"/>
      <c r="I1367" s="253" t="s">
        <v>3203</v>
      </c>
      <c r="J1367" s="256">
        <v>1.89</v>
      </c>
      <c r="K1367" s="256"/>
      <c r="L1367" s="256"/>
      <c r="M1367" s="257">
        <v>53</v>
      </c>
      <c r="N1367" s="257"/>
      <c r="O1367" s="257"/>
      <c r="P1367" s="252" t="s">
        <v>3056</v>
      </c>
      <c r="Q1367" s="252" t="s">
        <v>488</v>
      </c>
      <c r="R1367" s="252" t="s">
        <v>3292</v>
      </c>
      <c r="S1367" s="258">
        <v>2.40603220250773E-2</v>
      </c>
      <c r="T1367" s="259" t="s">
        <v>382</v>
      </c>
      <c r="U1367" s="259"/>
      <c r="V1367" s="259"/>
      <c r="W1367" s="260">
        <f>IF(BetTable[Sport]="","",BetTable[Stake]+BetTable[S2]+BetTable[S3])</f>
        <v>53</v>
      </c>
      <c r="X1367" s="257">
        <f>IF(BetTable[Odds]="","",(BetTable[WBA1-Commission])-BetTable[TS])</f>
        <v>47.169999999999987</v>
      </c>
      <c r="Y1367" s="261">
        <f>IF(BetTable[Outcome]="","",BetTable[WBA1]+BetTable[WBA2]+BetTable[WBA3]-BetTable[TS])</f>
        <v>-53</v>
      </c>
      <c r="Z1367" s="257">
        <f>(((BetTable[Odds]-1)*BetTable[Stake])*(1-(BetTable[Comm %]))+BetTable[Stake])</f>
        <v>100.16999999999999</v>
      </c>
      <c r="AA1367" s="257">
        <f>(((BetTable[O2]-1)*BetTable[S2])*(1-(BetTable[C% 2]))+BetTable[S2])</f>
        <v>0</v>
      </c>
      <c r="AB1367" s="257">
        <f>(((BetTable[O3]-1)*BetTable[S3])*(1-(BetTable[C% 3]))+BetTable[S3])</f>
        <v>0</v>
      </c>
      <c r="AC1367" s="258">
        <f>IFERROR(IF(BetTable[Sport]="","",BetTable[R1]/BetTable[TS]),"")</f>
        <v>0.88999999999999979</v>
      </c>
      <c r="AD1367" s="258" t="str">
        <f>IF(BetTable[O2]="","",#REF!/BetTable[TS])</f>
        <v/>
      </c>
      <c r="AE1367" s="258" t="str">
        <f>IFERROR(IF(BetTable[Sport]="","",#REF!/BetTable[TS]),"")</f>
        <v/>
      </c>
      <c r="AF1367" s="257">
        <f>IF(BetTable[Outcome]="Win",BetTable[WBA1-Commission],IF(BetTable[Outcome]="Win Half Stake",(BetTable[Stake]/2)+BetTable[WBA1-Commission]/2,IF(BetTable[Outcome]="Lose Half Stake",BetTable[Stake]/2,IF(BetTable[Outcome]="Lose",0,IF(BetTable[Outcome]="Void",BetTable[Stake],)))))</f>
        <v>0</v>
      </c>
      <c r="AG1367" s="257">
        <f>IF(BetTable[Outcome2]="Win",BetTable[WBA2-Commission],IF(BetTable[Outcome2]="Win Half Stake",(BetTable[S2]/2)+BetTable[WBA2-Commission]/2,IF(BetTable[Outcome2]="Lose Half Stake",BetTable[S2]/2,IF(BetTable[Outcome2]="Lose",0,IF(BetTable[Outcome2]="Void",BetTable[S2],)))))</f>
        <v>0</v>
      </c>
      <c r="AH1367" s="257">
        <f>IF(BetTable[Outcome3]="Win",BetTable[WBA3-Commission],IF(BetTable[Outcome3]="Win Half Stake",(BetTable[S3]/2)+BetTable[WBA3-Commission]/2,IF(BetTable[Outcome3]="Lose Half Stake",BetTable[S3]/2,IF(BetTable[Outcome3]="Lose",0,IF(BetTable[Outcome3]="Void",BetTable[S3],)))))</f>
        <v>0</v>
      </c>
      <c r="AI1367" s="261">
        <f>IF(BetTable[Outcome]="",AI1366,BetTable[Result]+AI1366)</f>
        <v>2599.8767499999999</v>
      </c>
      <c r="AJ1367" s="253"/>
    </row>
    <row r="1368" spans="1:36" x14ac:dyDescent="0.2">
      <c r="A1368" s="252" t="s">
        <v>3151</v>
      </c>
      <c r="B1368" s="253" t="s">
        <v>200</v>
      </c>
      <c r="C1368" s="254" t="s">
        <v>1714</v>
      </c>
      <c r="D1368" s="254"/>
      <c r="E1368" s="254"/>
      <c r="F1368" s="255"/>
      <c r="G1368" s="255"/>
      <c r="H1368" s="255"/>
      <c r="I1368" s="253" t="s">
        <v>3209</v>
      </c>
      <c r="J1368" s="256">
        <v>1.96</v>
      </c>
      <c r="K1368" s="256"/>
      <c r="L1368" s="256"/>
      <c r="M1368" s="257">
        <v>42</v>
      </c>
      <c r="N1368" s="257"/>
      <c r="O1368" s="257"/>
      <c r="P1368" s="252" t="s">
        <v>368</v>
      </c>
      <c r="Q1368" s="252" t="s">
        <v>432</v>
      </c>
      <c r="R1368" s="252" t="s">
        <v>3293</v>
      </c>
      <c r="S1368" s="258">
        <v>2.0825151215937299E-2</v>
      </c>
      <c r="T1368" s="259" t="s">
        <v>372</v>
      </c>
      <c r="U1368" s="259"/>
      <c r="V1368" s="259"/>
      <c r="W1368" s="260">
        <f>IF(BetTable[Sport]="","",BetTable[Stake]+BetTable[S2]+BetTable[S3])</f>
        <v>42</v>
      </c>
      <c r="X1368" s="257">
        <f>IF(BetTable[Odds]="","",(BetTable[WBA1-Commission])-BetTable[TS])</f>
        <v>40.319999999999993</v>
      </c>
      <c r="Y1368" s="261">
        <f>IF(BetTable[Outcome]="","",BetTable[WBA1]+BetTable[WBA2]+BetTable[WBA3]-BetTable[TS])</f>
        <v>40.319999999999993</v>
      </c>
      <c r="Z1368" s="257">
        <f>(((BetTable[Odds]-1)*BetTable[Stake])*(1-(BetTable[Comm %]))+BetTable[Stake])</f>
        <v>82.32</v>
      </c>
      <c r="AA1368" s="257">
        <f>(((BetTable[O2]-1)*BetTable[S2])*(1-(BetTable[C% 2]))+BetTable[S2])</f>
        <v>0</v>
      </c>
      <c r="AB1368" s="257">
        <f>(((BetTable[O3]-1)*BetTable[S3])*(1-(BetTable[C% 3]))+BetTable[S3])</f>
        <v>0</v>
      </c>
      <c r="AC1368" s="258">
        <f>IFERROR(IF(BetTable[Sport]="","",BetTable[R1]/BetTable[TS]),"")</f>
        <v>0.95999999999999985</v>
      </c>
      <c r="AD1368" s="258" t="str">
        <f>IF(BetTable[O2]="","",#REF!/BetTable[TS])</f>
        <v/>
      </c>
      <c r="AE1368" s="258" t="str">
        <f>IFERROR(IF(BetTable[Sport]="","",#REF!/BetTable[TS]),"")</f>
        <v/>
      </c>
      <c r="AF1368" s="257">
        <f>IF(BetTable[Outcome]="Win",BetTable[WBA1-Commission],IF(BetTable[Outcome]="Win Half Stake",(BetTable[Stake]/2)+BetTable[WBA1-Commission]/2,IF(BetTable[Outcome]="Lose Half Stake",BetTable[Stake]/2,IF(BetTable[Outcome]="Lose",0,IF(BetTable[Outcome]="Void",BetTable[Stake],)))))</f>
        <v>82.32</v>
      </c>
      <c r="AG1368" s="257">
        <f>IF(BetTable[Outcome2]="Win",BetTable[WBA2-Commission],IF(BetTable[Outcome2]="Win Half Stake",(BetTable[S2]/2)+BetTable[WBA2-Commission]/2,IF(BetTable[Outcome2]="Lose Half Stake",BetTable[S2]/2,IF(BetTable[Outcome2]="Lose",0,IF(BetTable[Outcome2]="Void",BetTable[S2],)))))</f>
        <v>0</v>
      </c>
      <c r="AH1368" s="257">
        <f>IF(BetTable[Outcome3]="Win",BetTable[WBA3-Commission],IF(BetTable[Outcome3]="Win Half Stake",(BetTable[S3]/2)+BetTable[WBA3-Commission]/2,IF(BetTable[Outcome3]="Lose Half Stake",BetTable[S3]/2,IF(BetTable[Outcome3]="Lose",0,IF(BetTable[Outcome3]="Void",BetTable[S3],)))))</f>
        <v>0</v>
      </c>
      <c r="AI1368" s="261">
        <f>IF(BetTable[Outcome]="",AI1367,BetTable[Result]+AI1367)</f>
        <v>2640.1967500000001</v>
      </c>
      <c r="AJ1368" s="253"/>
    </row>
    <row r="1369" spans="1:36" x14ac:dyDescent="0.2">
      <c r="A1369" s="252" t="s">
        <v>3151</v>
      </c>
      <c r="B1369" s="253" t="s">
        <v>200</v>
      </c>
      <c r="C1369" s="254" t="s">
        <v>1714</v>
      </c>
      <c r="D1369" s="254"/>
      <c r="E1369" s="254"/>
      <c r="F1369" s="255"/>
      <c r="G1369" s="255"/>
      <c r="H1369" s="255"/>
      <c r="I1369" s="253" t="s">
        <v>3294</v>
      </c>
      <c r="J1369" s="256">
        <v>1.9</v>
      </c>
      <c r="K1369" s="256"/>
      <c r="L1369" s="256"/>
      <c r="M1369" s="257">
        <v>40</v>
      </c>
      <c r="N1369" s="257"/>
      <c r="O1369" s="257"/>
      <c r="P1369" s="252" t="s">
        <v>635</v>
      </c>
      <c r="Q1369" s="252" t="s">
        <v>506</v>
      </c>
      <c r="R1369" s="252" t="s">
        <v>3295</v>
      </c>
      <c r="S1369" s="258">
        <v>1.84471858854518E-2</v>
      </c>
      <c r="T1369" s="259" t="s">
        <v>382</v>
      </c>
      <c r="U1369" s="259"/>
      <c r="V1369" s="259"/>
      <c r="W1369" s="260">
        <f>IF(BetTable[Sport]="","",BetTable[Stake]+BetTable[S2]+BetTable[S3])</f>
        <v>40</v>
      </c>
      <c r="X1369" s="257">
        <f>IF(BetTable[Odds]="","",(BetTable[WBA1-Commission])-BetTable[TS])</f>
        <v>36</v>
      </c>
      <c r="Y1369" s="261">
        <f>IF(BetTable[Outcome]="","",BetTable[WBA1]+BetTable[WBA2]+BetTable[WBA3]-BetTable[TS])</f>
        <v>-40</v>
      </c>
      <c r="Z1369" s="257">
        <f>(((BetTable[Odds]-1)*BetTable[Stake])*(1-(BetTable[Comm %]))+BetTable[Stake])</f>
        <v>76</v>
      </c>
      <c r="AA1369" s="257">
        <f>(((BetTable[O2]-1)*BetTable[S2])*(1-(BetTable[C% 2]))+BetTable[S2])</f>
        <v>0</v>
      </c>
      <c r="AB1369" s="257">
        <f>(((BetTable[O3]-1)*BetTable[S3])*(1-(BetTable[C% 3]))+BetTable[S3])</f>
        <v>0</v>
      </c>
      <c r="AC1369" s="258">
        <f>IFERROR(IF(BetTable[Sport]="","",BetTable[R1]/BetTable[TS]),"")</f>
        <v>0.9</v>
      </c>
      <c r="AD1369" s="258" t="str">
        <f>IF(BetTable[O2]="","",#REF!/BetTable[TS])</f>
        <v/>
      </c>
      <c r="AE1369" s="258" t="str">
        <f>IFERROR(IF(BetTable[Sport]="","",#REF!/BetTable[TS]),"")</f>
        <v/>
      </c>
      <c r="AF1369" s="257">
        <f>IF(BetTable[Outcome]="Win",BetTable[WBA1-Commission],IF(BetTable[Outcome]="Win Half Stake",(BetTable[Stake]/2)+BetTable[WBA1-Commission]/2,IF(BetTable[Outcome]="Lose Half Stake",BetTable[Stake]/2,IF(BetTable[Outcome]="Lose",0,IF(BetTable[Outcome]="Void",BetTable[Stake],)))))</f>
        <v>0</v>
      </c>
      <c r="AG1369" s="257">
        <f>IF(BetTable[Outcome2]="Win",BetTable[WBA2-Commission],IF(BetTable[Outcome2]="Win Half Stake",(BetTable[S2]/2)+BetTable[WBA2-Commission]/2,IF(BetTable[Outcome2]="Lose Half Stake",BetTable[S2]/2,IF(BetTable[Outcome2]="Lose",0,IF(BetTable[Outcome2]="Void",BetTable[S2],)))))</f>
        <v>0</v>
      </c>
      <c r="AH1369" s="257">
        <f>IF(BetTable[Outcome3]="Win",BetTable[WBA3-Commission],IF(BetTable[Outcome3]="Win Half Stake",(BetTable[S3]/2)+BetTable[WBA3-Commission]/2,IF(BetTable[Outcome3]="Lose Half Stake",BetTable[S3]/2,IF(BetTable[Outcome3]="Lose",0,IF(BetTable[Outcome3]="Void",BetTable[S3],)))))</f>
        <v>0</v>
      </c>
      <c r="AI1369" s="261">
        <f>IF(BetTable[Outcome]="",AI1368,BetTable[Result]+AI1368)</f>
        <v>2600.1967500000001</v>
      </c>
      <c r="AJ1369" s="253"/>
    </row>
    <row r="1370" spans="1:36" x14ac:dyDescent="0.2">
      <c r="A1370" s="252" t="s">
        <v>3151</v>
      </c>
      <c r="B1370" s="253" t="s">
        <v>7</v>
      </c>
      <c r="C1370" s="254" t="s">
        <v>216</v>
      </c>
      <c r="D1370" s="254"/>
      <c r="E1370" s="254"/>
      <c r="F1370" s="255"/>
      <c r="G1370" s="255"/>
      <c r="H1370" s="255"/>
      <c r="I1370" s="253" t="s">
        <v>3296</v>
      </c>
      <c r="J1370" s="256">
        <v>1.909</v>
      </c>
      <c r="K1370" s="256"/>
      <c r="L1370" s="256"/>
      <c r="M1370" s="257">
        <v>55</v>
      </c>
      <c r="N1370" s="257"/>
      <c r="O1370" s="257"/>
      <c r="P1370" s="252" t="s">
        <v>3156</v>
      </c>
      <c r="Q1370" s="252" t="s">
        <v>488</v>
      </c>
      <c r="R1370" s="252" t="s">
        <v>3297</v>
      </c>
      <c r="S1370" s="258">
        <v>3.1817324407481799E-2</v>
      </c>
      <c r="T1370" s="259" t="s">
        <v>382</v>
      </c>
      <c r="U1370" s="259"/>
      <c r="V1370" s="259"/>
      <c r="W1370" s="260">
        <f>IF(BetTable[Sport]="","",BetTable[Stake]+BetTable[S2]+BetTable[S3])</f>
        <v>55</v>
      </c>
      <c r="X1370" s="257">
        <f>IF(BetTable[Odds]="","",(BetTable[WBA1-Commission])-BetTable[TS])</f>
        <v>49.995000000000005</v>
      </c>
      <c r="Y1370" s="261">
        <f>IF(BetTable[Outcome]="","",BetTable[WBA1]+BetTable[WBA2]+BetTable[WBA3]-BetTable[TS])</f>
        <v>-55</v>
      </c>
      <c r="Z1370" s="257">
        <f>(((BetTable[Odds]-1)*BetTable[Stake])*(1-(BetTable[Comm %]))+BetTable[Stake])</f>
        <v>104.995</v>
      </c>
      <c r="AA1370" s="257">
        <f>(((BetTable[O2]-1)*BetTable[S2])*(1-(BetTable[C% 2]))+BetTable[S2])</f>
        <v>0</v>
      </c>
      <c r="AB1370" s="257">
        <f>(((BetTable[O3]-1)*BetTable[S3])*(1-(BetTable[C% 3]))+BetTable[S3])</f>
        <v>0</v>
      </c>
      <c r="AC1370" s="258">
        <f>IFERROR(IF(BetTable[Sport]="","",BetTable[R1]/BetTable[TS]),"")</f>
        <v>0.90900000000000003</v>
      </c>
      <c r="AD1370" s="258" t="str">
        <f>IF(BetTable[O2]="","",#REF!/BetTable[TS])</f>
        <v/>
      </c>
      <c r="AE1370" s="258" t="str">
        <f>IFERROR(IF(BetTable[Sport]="","",#REF!/BetTable[TS]),"")</f>
        <v/>
      </c>
      <c r="AF1370" s="257">
        <f>IF(BetTable[Outcome]="Win",BetTable[WBA1-Commission],IF(BetTable[Outcome]="Win Half Stake",(BetTable[Stake]/2)+BetTable[WBA1-Commission]/2,IF(BetTable[Outcome]="Lose Half Stake",BetTable[Stake]/2,IF(BetTable[Outcome]="Lose",0,IF(BetTable[Outcome]="Void",BetTable[Stake],)))))</f>
        <v>0</v>
      </c>
      <c r="AG1370" s="257">
        <f>IF(BetTable[Outcome2]="Win",BetTable[WBA2-Commission],IF(BetTable[Outcome2]="Win Half Stake",(BetTable[S2]/2)+BetTable[WBA2-Commission]/2,IF(BetTable[Outcome2]="Lose Half Stake",BetTable[S2]/2,IF(BetTable[Outcome2]="Lose",0,IF(BetTable[Outcome2]="Void",BetTable[S2],)))))</f>
        <v>0</v>
      </c>
      <c r="AH1370" s="257">
        <f>IF(BetTable[Outcome3]="Win",BetTable[WBA3-Commission],IF(BetTable[Outcome3]="Win Half Stake",(BetTable[S3]/2)+BetTable[WBA3-Commission]/2,IF(BetTable[Outcome3]="Lose Half Stake",BetTable[S3]/2,IF(BetTable[Outcome3]="Lose",0,IF(BetTable[Outcome3]="Void",BetTable[S3],)))))</f>
        <v>0</v>
      </c>
      <c r="AI1370" s="261">
        <f>IF(BetTable[Outcome]="",AI1369,BetTable[Result]+AI1369)</f>
        <v>2545.1967500000001</v>
      </c>
      <c r="AJ1370" s="253"/>
    </row>
    <row r="1371" spans="1:36" x14ac:dyDescent="0.2">
      <c r="A1371" s="252" t="s">
        <v>3151</v>
      </c>
      <c r="B1371" s="253" t="s">
        <v>200</v>
      </c>
      <c r="C1371" s="254" t="s">
        <v>1714</v>
      </c>
      <c r="D1371" s="254"/>
      <c r="E1371" s="254"/>
      <c r="F1371" s="255"/>
      <c r="G1371" s="255"/>
      <c r="H1371" s="255"/>
      <c r="I1371" s="253" t="s">
        <v>3298</v>
      </c>
      <c r="J1371" s="256">
        <v>1.76</v>
      </c>
      <c r="K1371" s="256"/>
      <c r="L1371" s="256"/>
      <c r="M1371" s="257">
        <v>47</v>
      </c>
      <c r="N1371" s="257"/>
      <c r="O1371" s="257"/>
      <c r="P1371" s="252" t="s">
        <v>360</v>
      </c>
      <c r="Q1371" s="252" t="s">
        <v>506</v>
      </c>
      <c r="R1371" s="252" t="s">
        <v>3299</v>
      </c>
      <c r="S1371" s="258">
        <v>1.8291806620878599E-2</v>
      </c>
      <c r="T1371" s="259" t="s">
        <v>383</v>
      </c>
      <c r="U1371" s="259"/>
      <c r="V1371" s="259"/>
      <c r="W1371" s="260">
        <f>IF(BetTable[Sport]="","",BetTable[Stake]+BetTable[S2]+BetTable[S3])</f>
        <v>47</v>
      </c>
      <c r="X1371" s="257">
        <f>IF(BetTable[Odds]="","",(BetTable[WBA1-Commission])-BetTable[TS])</f>
        <v>35.72</v>
      </c>
      <c r="Y1371" s="261">
        <f>IF(BetTable[Outcome]="","",BetTable[WBA1]+BetTable[WBA2]+BetTable[WBA3]-BetTable[TS])</f>
        <v>0</v>
      </c>
      <c r="Z1371" s="257">
        <f>(((BetTable[Odds]-1)*BetTable[Stake])*(1-(BetTable[Comm %]))+BetTable[Stake])</f>
        <v>82.72</v>
      </c>
      <c r="AA1371" s="257">
        <f>(((BetTable[O2]-1)*BetTable[S2])*(1-(BetTable[C% 2]))+BetTable[S2])</f>
        <v>0</v>
      </c>
      <c r="AB1371" s="257">
        <f>(((BetTable[O3]-1)*BetTable[S3])*(1-(BetTable[C% 3]))+BetTable[S3])</f>
        <v>0</v>
      </c>
      <c r="AC1371" s="258">
        <f>IFERROR(IF(BetTable[Sport]="","",BetTable[R1]/BetTable[TS]),"")</f>
        <v>0.76</v>
      </c>
      <c r="AD1371" s="258" t="str">
        <f>IF(BetTable[O2]="","",#REF!/BetTable[TS])</f>
        <v/>
      </c>
      <c r="AE1371" s="258" t="str">
        <f>IFERROR(IF(BetTable[Sport]="","",#REF!/BetTable[TS]),"")</f>
        <v/>
      </c>
      <c r="AF1371" s="257">
        <f>IF(BetTable[Outcome]="Win",BetTable[WBA1-Commission],IF(BetTable[Outcome]="Win Half Stake",(BetTable[Stake]/2)+BetTable[WBA1-Commission]/2,IF(BetTable[Outcome]="Lose Half Stake",BetTable[Stake]/2,IF(BetTable[Outcome]="Lose",0,IF(BetTable[Outcome]="Void",BetTable[Stake],)))))</f>
        <v>47</v>
      </c>
      <c r="AG1371" s="257">
        <f>IF(BetTable[Outcome2]="Win",BetTable[WBA2-Commission],IF(BetTable[Outcome2]="Win Half Stake",(BetTable[S2]/2)+BetTable[WBA2-Commission]/2,IF(BetTable[Outcome2]="Lose Half Stake",BetTable[S2]/2,IF(BetTable[Outcome2]="Lose",0,IF(BetTable[Outcome2]="Void",BetTable[S2],)))))</f>
        <v>0</v>
      </c>
      <c r="AH1371" s="257">
        <f>IF(BetTable[Outcome3]="Win",BetTable[WBA3-Commission],IF(BetTable[Outcome3]="Win Half Stake",(BetTable[S3]/2)+BetTable[WBA3-Commission]/2,IF(BetTable[Outcome3]="Lose Half Stake",BetTable[S3]/2,IF(BetTable[Outcome3]="Lose",0,IF(BetTable[Outcome3]="Void",BetTable[S3],)))))</f>
        <v>0</v>
      </c>
      <c r="AI1371" s="261">
        <f>IF(BetTable[Outcome]="",AI1370,BetTable[Result]+AI1370)</f>
        <v>2545.1967500000001</v>
      </c>
      <c r="AJ1371" s="253"/>
    </row>
    <row r="1372" spans="1:36" x14ac:dyDescent="0.2">
      <c r="A1372" s="252" t="s">
        <v>3151</v>
      </c>
      <c r="B1372" s="253" t="s">
        <v>200</v>
      </c>
      <c r="C1372" s="254" t="s">
        <v>1714</v>
      </c>
      <c r="D1372" s="254"/>
      <c r="E1372" s="254"/>
      <c r="F1372" s="255"/>
      <c r="G1372" s="255"/>
      <c r="H1372" s="255"/>
      <c r="I1372" s="253" t="s">
        <v>3300</v>
      </c>
      <c r="J1372" s="256">
        <v>1.8</v>
      </c>
      <c r="K1372" s="256"/>
      <c r="L1372" s="256"/>
      <c r="M1372" s="257">
        <v>43</v>
      </c>
      <c r="N1372" s="257"/>
      <c r="O1372" s="257"/>
      <c r="P1372" s="252" t="s">
        <v>646</v>
      </c>
      <c r="Q1372" s="252" t="s">
        <v>506</v>
      </c>
      <c r="R1372" s="252" t="s">
        <v>3301</v>
      </c>
      <c r="S1372" s="258">
        <v>1.7465063809010101E-2</v>
      </c>
      <c r="T1372" s="259" t="s">
        <v>372</v>
      </c>
      <c r="U1372" s="259"/>
      <c r="V1372" s="259"/>
      <c r="W1372" s="260">
        <f>IF(BetTable[Sport]="","",BetTable[Stake]+BetTable[S2]+BetTable[S3])</f>
        <v>43</v>
      </c>
      <c r="X1372" s="257">
        <f>IF(BetTable[Odds]="","",(BetTable[WBA1-Commission])-BetTable[TS])</f>
        <v>34.400000000000006</v>
      </c>
      <c r="Y1372" s="261">
        <f>IF(BetTable[Outcome]="","",BetTable[WBA1]+BetTable[WBA2]+BetTable[WBA3]-BetTable[TS])</f>
        <v>34.400000000000006</v>
      </c>
      <c r="Z1372" s="257">
        <f>(((BetTable[Odds]-1)*BetTable[Stake])*(1-(BetTable[Comm %]))+BetTable[Stake])</f>
        <v>77.400000000000006</v>
      </c>
      <c r="AA1372" s="257">
        <f>(((BetTable[O2]-1)*BetTable[S2])*(1-(BetTable[C% 2]))+BetTable[S2])</f>
        <v>0</v>
      </c>
      <c r="AB1372" s="257">
        <f>(((BetTable[O3]-1)*BetTable[S3])*(1-(BetTable[C% 3]))+BetTable[S3])</f>
        <v>0</v>
      </c>
      <c r="AC1372" s="258">
        <f>IFERROR(IF(BetTable[Sport]="","",BetTable[R1]/BetTable[TS]),"")</f>
        <v>0.80000000000000016</v>
      </c>
      <c r="AD1372" s="258" t="str">
        <f>IF(BetTable[O2]="","",#REF!/BetTable[TS])</f>
        <v/>
      </c>
      <c r="AE1372" s="258" t="str">
        <f>IFERROR(IF(BetTable[Sport]="","",#REF!/BetTable[TS]),"")</f>
        <v/>
      </c>
      <c r="AF1372" s="257">
        <f>IF(BetTable[Outcome]="Win",BetTable[WBA1-Commission],IF(BetTable[Outcome]="Win Half Stake",(BetTable[Stake]/2)+BetTable[WBA1-Commission]/2,IF(BetTable[Outcome]="Lose Half Stake",BetTable[Stake]/2,IF(BetTable[Outcome]="Lose",0,IF(BetTable[Outcome]="Void",BetTable[Stake],)))))</f>
        <v>77.400000000000006</v>
      </c>
      <c r="AG1372" s="257">
        <f>IF(BetTable[Outcome2]="Win",BetTable[WBA2-Commission],IF(BetTable[Outcome2]="Win Half Stake",(BetTable[S2]/2)+BetTable[WBA2-Commission]/2,IF(BetTable[Outcome2]="Lose Half Stake",BetTable[S2]/2,IF(BetTable[Outcome2]="Lose",0,IF(BetTable[Outcome2]="Void",BetTable[S2],)))))</f>
        <v>0</v>
      </c>
      <c r="AH1372" s="257">
        <f>IF(BetTable[Outcome3]="Win",BetTable[WBA3-Commission],IF(BetTable[Outcome3]="Win Half Stake",(BetTable[S3]/2)+BetTable[WBA3-Commission]/2,IF(BetTable[Outcome3]="Lose Half Stake",BetTable[S3]/2,IF(BetTable[Outcome3]="Lose",0,IF(BetTable[Outcome3]="Void",BetTable[S3],)))))</f>
        <v>0</v>
      </c>
      <c r="AI1372" s="261">
        <f>IF(BetTable[Outcome]="",AI1371,BetTable[Result]+AI1371)</f>
        <v>2579.5967500000002</v>
      </c>
      <c r="AJ1372" s="253"/>
    </row>
    <row r="1373" spans="1:36" x14ac:dyDescent="0.2">
      <c r="A1373" s="252" t="s">
        <v>3151</v>
      </c>
      <c r="B1373" s="253" t="s">
        <v>200</v>
      </c>
      <c r="C1373" s="254" t="s">
        <v>1714</v>
      </c>
      <c r="D1373" s="254"/>
      <c r="E1373" s="254"/>
      <c r="F1373" s="255"/>
      <c r="G1373" s="255"/>
      <c r="H1373" s="255"/>
      <c r="I1373" s="253" t="s">
        <v>3302</v>
      </c>
      <c r="J1373" s="256">
        <v>2.2050000000000001</v>
      </c>
      <c r="K1373" s="256"/>
      <c r="L1373" s="256"/>
      <c r="M1373" s="257">
        <v>38</v>
      </c>
      <c r="N1373" s="257"/>
      <c r="O1373" s="257"/>
      <c r="P1373" s="252" t="s">
        <v>354</v>
      </c>
      <c r="Q1373" s="252" t="s">
        <v>506</v>
      </c>
      <c r="R1373" s="252" t="s">
        <v>3303</v>
      </c>
      <c r="S1373" s="258">
        <v>2.3487153980301101E-2</v>
      </c>
      <c r="T1373" s="259" t="s">
        <v>372</v>
      </c>
      <c r="U1373" s="259"/>
      <c r="V1373" s="259"/>
      <c r="W1373" s="260">
        <f>IF(BetTable[Sport]="","",BetTable[Stake]+BetTable[S2]+BetTable[S3])</f>
        <v>38</v>
      </c>
      <c r="X1373" s="257">
        <f>IF(BetTable[Odds]="","",(BetTable[WBA1-Commission])-BetTable[TS])</f>
        <v>45.790000000000006</v>
      </c>
      <c r="Y1373" s="261">
        <f>IF(BetTable[Outcome]="","",BetTable[WBA1]+BetTable[WBA2]+BetTable[WBA3]-BetTable[TS])</f>
        <v>45.790000000000006</v>
      </c>
      <c r="Z1373" s="257">
        <f>(((BetTable[Odds]-1)*BetTable[Stake])*(1-(BetTable[Comm %]))+BetTable[Stake])</f>
        <v>83.79</v>
      </c>
      <c r="AA1373" s="257">
        <f>(((BetTable[O2]-1)*BetTable[S2])*(1-(BetTable[C% 2]))+BetTable[S2])</f>
        <v>0</v>
      </c>
      <c r="AB1373" s="257">
        <f>(((BetTable[O3]-1)*BetTable[S3])*(1-(BetTable[C% 3]))+BetTable[S3])</f>
        <v>0</v>
      </c>
      <c r="AC1373" s="258">
        <f>IFERROR(IF(BetTable[Sport]="","",BetTable[R1]/BetTable[TS]),"")</f>
        <v>1.2050000000000001</v>
      </c>
      <c r="AD1373" s="258" t="str">
        <f>IF(BetTable[O2]="","",#REF!/BetTable[TS])</f>
        <v/>
      </c>
      <c r="AE1373" s="258" t="str">
        <f>IFERROR(IF(BetTable[Sport]="","",#REF!/BetTable[TS]),"")</f>
        <v/>
      </c>
      <c r="AF1373" s="257">
        <f>IF(BetTable[Outcome]="Win",BetTable[WBA1-Commission],IF(BetTable[Outcome]="Win Half Stake",(BetTable[Stake]/2)+BetTable[WBA1-Commission]/2,IF(BetTable[Outcome]="Lose Half Stake",BetTable[Stake]/2,IF(BetTable[Outcome]="Lose",0,IF(BetTable[Outcome]="Void",BetTable[Stake],)))))</f>
        <v>83.79</v>
      </c>
      <c r="AG1373" s="257">
        <f>IF(BetTable[Outcome2]="Win",BetTable[WBA2-Commission],IF(BetTable[Outcome2]="Win Half Stake",(BetTable[S2]/2)+BetTable[WBA2-Commission]/2,IF(BetTable[Outcome2]="Lose Half Stake",BetTable[S2]/2,IF(BetTable[Outcome2]="Lose",0,IF(BetTable[Outcome2]="Void",BetTable[S2],)))))</f>
        <v>0</v>
      </c>
      <c r="AH1373" s="257">
        <f>IF(BetTable[Outcome3]="Win",BetTable[WBA3-Commission],IF(BetTable[Outcome3]="Win Half Stake",(BetTable[S3]/2)+BetTable[WBA3-Commission]/2,IF(BetTable[Outcome3]="Lose Half Stake",BetTable[S3]/2,IF(BetTable[Outcome3]="Lose",0,IF(BetTable[Outcome3]="Void",BetTable[S3],)))))</f>
        <v>0</v>
      </c>
      <c r="AI1373" s="261">
        <f>IF(BetTable[Outcome]="",AI1372,BetTable[Result]+AI1372)</f>
        <v>2625.3867500000001</v>
      </c>
      <c r="AJ1373" s="253"/>
    </row>
    <row r="1374" spans="1:36" x14ac:dyDescent="0.2">
      <c r="A1374" s="252" t="s">
        <v>3151</v>
      </c>
      <c r="B1374" s="253" t="s">
        <v>200</v>
      </c>
      <c r="C1374" s="254" t="s">
        <v>1714</v>
      </c>
      <c r="D1374" s="254"/>
      <c r="E1374" s="254"/>
      <c r="F1374" s="255"/>
      <c r="G1374" s="255"/>
      <c r="H1374" s="255"/>
      <c r="I1374" s="253" t="s">
        <v>3304</v>
      </c>
      <c r="J1374" s="256">
        <v>3.85</v>
      </c>
      <c r="K1374" s="256"/>
      <c r="L1374" s="256"/>
      <c r="M1374" s="257">
        <v>15</v>
      </c>
      <c r="N1374" s="257"/>
      <c r="O1374" s="257"/>
      <c r="P1374" s="252" t="s">
        <v>494</v>
      </c>
      <c r="Q1374" s="252" t="s">
        <v>506</v>
      </c>
      <c r="R1374" s="252" t="s">
        <v>3305</v>
      </c>
      <c r="S1374" s="258">
        <v>2.1834650699553201E-2</v>
      </c>
      <c r="T1374" s="259" t="s">
        <v>382</v>
      </c>
      <c r="U1374" s="259"/>
      <c r="V1374" s="259"/>
      <c r="W1374" s="260">
        <f>IF(BetTable[Sport]="","",BetTable[Stake]+BetTable[S2]+BetTable[S3])</f>
        <v>15</v>
      </c>
      <c r="X1374" s="257">
        <f>IF(BetTable[Odds]="","",(BetTable[WBA1-Commission])-BetTable[TS])</f>
        <v>42.75</v>
      </c>
      <c r="Y1374" s="261">
        <f>IF(BetTable[Outcome]="","",BetTable[WBA1]+BetTable[WBA2]+BetTable[WBA3]-BetTable[TS])</f>
        <v>-15</v>
      </c>
      <c r="Z1374" s="257">
        <f>(((BetTable[Odds]-1)*BetTable[Stake])*(1-(BetTable[Comm %]))+BetTable[Stake])</f>
        <v>57.75</v>
      </c>
      <c r="AA1374" s="257">
        <f>(((BetTable[O2]-1)*BetTable[S2])*(1-(BetTable[C% 2]))+BetTable[S2])</f>
        <v>0</v>
      </c>
      <c r="AB1374" s="257">
        <f>(((BetTable[O3]-1)*BetTable[S3])*(1-(BetTable[C% 3]))+BetTable[S3])</f>
        <v>0</v>
      </c>
      <c r="AC1374" s="258">
        <f>IFERROR(IF(BetTable[Sport]="","",BetTable[R1]/BetTable[TS]),"")</f>
        <v>2.85</v>
      </c>
      <c r="AD1374" s="258" t="str">
        <f>IF(BetTable[O2]="","",#REF!/BetTable[TS])</f>
        <v/>
      </c>
      <c r="AE1374" s="258" t="str">
        <f>IFERROR(IF(BetTable[Sport]="","",#REF!/BetTable[TS]),"")</f>
        <v/>
      </c>
      <c r="AF1374" s="257">
        <f>IF(BetTable[Outcome]="Win",BetTable[WBA1-Commission],IF(BetTable[Outcome]="Win Half Stake",(BetTable[Stake]/2)+BetTable[WBA1-Commission]/2,IF(BetTable[Outcome]="Lose Half Stake",BetTable[Stake]/2,IF(BetTable[Outcome]="Lose",0,IF(BetTable[Outcome]="Void",BetTable[Stake],)))))</f>
        <v>0</v>
      </c>
      <c r="AG1374" s="257">
        <f>IF(BetTable[Outcome2]="Win",BetTable[WBA2-Commission],IF(BetTable[Outcome2]="Win Half Stake",(BetTable[S2]/2)+BetTable[WBA2-Commission]/2,IF(BetTable[Outcome2]="Lose Half Stake",BetTable[S2]/2,IF(BetTable[Outcome2]="Lose",0,IF(BetTable[Outcome2]="Void",BetTable[S2],)))))</f>
        <v>0</v>
      </c>
      <c r="AH1374" s="257">
        <f>IF(BetTable[Outcome3]="Win",BetTable[WBA3-Commission],IF(BetTable[Outcome3]="Win Half Stake",(BetTable[S3]/2)+BetTable[WBA3-Commission]/2,IF(BetTable[Outcome3]="Lose Half Stake",BetTable[S3]/2,IF(BetTable[Outcome3]="Lose",0,IF(BetTable[Outcome3]="Void",BetTable[S3],)))))</f>
        <v>0</v>
      </c>
      <c r="AI1374" s="261">
        <f>IF(BetTable[Outcome]="",AI1373,BetTable[Result]+AI1373)</f>
        <v>2610.3867500000001</v>
      </c>
      <c r="AJ1374" s="253"/>
    </row>
    <row r="1375" spans="1:36" x14ac:dyDescent="0.2">
      <c r="A1375" s="252" t="s">
        <v>3151</v>
      </c>
      <c r="B1375" s="253" t="s">
        <v>200</v>
      </c>
      <c r="C1375" s="254" t="s">
        <v>1714</v>
      </c>
      <c r="D1375" s="254"/>
      <c r="E1375" s="254"/>
      <c r="F1375" s="255"/>
      <c r="G1375" s="255"/>
      <c r="H1375" s="255"/>
      <c r="I1375" s="253" t="s">
        <v>3306</v>
      </c>
      <c r="J1375" s="256">
        <v>2.0409999999999999</v>
      </c>
      <c r="K1375" s="256"/>
      <c r="L1375" s="256"/>
      <c r="M1375" s="257">
        <v>34</v>
      </c>
      <c r="N1375" s="257"/>
      <c r="O1375" s="257"/>
      <c r="P1375" s="252" t="s">
        <v>351</v>
      </c>
      <c r="Q1375" s="252" t="s">
        <v>506</v>
      </c>
      <c r="R1375" s="252" t="s">
        <v>3307</v>
      </c>
      <c r="S1375" s="258">
        <v>1.8130798905019601E-2</v>
      </c>
      <c r="T1375" s="259" t="s">
        <v>549</v>
      </c>
      <c r="U1375" s="259"/>
      <c r="V1375" s="259"/>
      <c r="W1375" s="260">
        <f>IF(BetTable[Sport]="","",BetTable[Stake]+BetTable[S2]+BetTable[S3])</f>
        <v>34</v>
      </c>
      <c r="X1375" s="257">
        <f>IF(BetTable[Odds]="","",(BetTable[WBA1-Commission])-BetTable[TS])</f>
        <v>35.394000000000005</v>
      </c>
      <c r="Y1375" s="261">
        <f>IF(BetTable[Outcome]="","",BetTable[WBA1]+BetTable[WBA2]+BetTable[WBA3]-BetTable[TS])</f>
        <v>-17</v>
      </c>
      <c r="Z1375" s="257">
        <f>(((BetTable[Odds]-1)*BetTable[Stake])*(1-(BetTable[Comm %]))+BetTable[Stake])</f>
        <v>69.394000000000005</v>
      </c>
      <c r="AA1375" s="257">
        <f>(((BetTable[O2]-1)*BetTable[S2])*(1-(BetTable[C% 2]))+BetTable[S2])</f>
        <v>0</v>
      </c>
      <c r="AB1375" s="257">
        <f>(((BetTable[O3]-1)*BetTable[S3])*(1-(BetTable[C% 3]))+BetTable[S3])</f>
        <v>0</v>
      </c>
      <c r="AC1375" s="258">
        <f>IFERROR(IF(BetTable[Sport]="","",BetTable[R1]/BetTable[TS]),"")</f>
        <v>1.0410000000000001</v>
      </c>
      <c r="AD1375" s="258" t="str">
        <f>IF(BetTable[O2]="","",#REF!/BetTable[TS])</f>
        <v/>
      </c>
      <c r="AE1375" s="258" t="str">
        <f>IFERROR(IF(BetTable[Sport]="","",#REF!/BetTable[TS]),"")</f>
        <v/>
      </c>
      <c r="AF1375" s="257">
        <f>IF(BetTable[Outcome]="Win",BetTable[WBA1-Commission],IF(BetTable[Outcome]="Win Half Stake",(BetTable[Stake]/2)+BetTable[WBA1-Commission]/2,IF(BetTable[Outcome]="Lose Half Stake",BetTable[Stake]/2,IF(BetTable[Outcome]="Lose",0,IF(BetTable[Outcome]="Void",BetTable[Stake],)))))</f>
        <v>17</v>
      </c>
      <c r="AG1375" s="257">
        <f>IF(BetTable[Outcome2]="Win",BetTable[WBA2-Commission],IF(BetTable[Outcome2]="Win Half Stake",(BetTable[S2]/2)+BetTable[WBA2-Commission]/2,IF(BetTable[Outcome2]="Lose Half Stake",BetTable[S2]/2,IF(BetTable[Outcome2]="Lose",0,IF(BetTable[Outcome2]="Void",BetTable[S2],)))))</f>
        <v>0</v>
      </c>
      <c r="AH1375" s="257">
        <f>IF(BetTable[Outcome3]="Win",BetTable[WBA3-Commission],IF(BetTable[Outcome3]="Win Half Stake",(BetTable[S3]/2)+BetTable[WBA3-Commission]/2,IF(BetTable[Outcome3]="Lose Half Stake",BetTable[S3]/2,IF(BetTable[Outcome3]="Lose",0,IF(BetTable[Outcome3]="Void",BetTable[S3],)))))</f>
        <v>0</v>
      </c>
      <c r="AI1375" s="261">
        <f>IF(BetTable[Outcome]="",AI1374,BetTable[Result]+AI1374)</f>
        <v>2593.3867500000001</v>
      </c>
      <c r="AJ1375" s="253"/>
    </row>
    <row r="1376" spans="1:36" x14ac:dyDescent="0.2">
      <c r="A1376" s="252" t="s">
        <v>3151</v>
      </c>
      <c r="B1376" s="253" t="s">
        <v>200</v>
      </c>
      <c r="C1376" s="254" t="s">
        <v>1714</v>
      </c>
      <c r="D1376" s="254"/>
      <c r="E1376" s="254"/>
      <c r="F1376" s="255"/>
      <c r="G1376" s="255"/>
      <c r="H1376" s="255"/>
      <c r="I1376" s="253" t="s">
        <v>3308</v>
      </c>
      <c r="J1376" s="256">
        <v>1.99</v>
      </c>
      <c r="K1376" s="256"/>
      <c r="L1376" s="256"/>
      <c r="M1376" s="257">
        <v>32</v>
      </c>
      <c r="N1376" s="257"/>
      <c r="O1376" s="257"/>
      <c r="P1376" s="252" t="s">
        <v>498</v>
      </c>
      <c r="Q1376" s="252" t="s">
        <v>581</v>
      </c>
      <c r="R1376" s="252" t="s">
        <v>3309</v>
      </c>
      <c r="S1376" s="258">
        <v>1.6009977260199398E-2</v>
      </c>
      <c r="T1376" s="259" t="s">
        <v>372</v>
      </c>
      <c r="U1376" s="259"/>
      <c r="V1376" s="259"/>
      <c r="W1376" s="260">
        <f>IF(BetTable[Sport]="","",BetTable[Stake]+BetTable[S2]+BetTable[S3])</f>
        <v>32</v>
      </c>
      <c r="X1376" s="257">
        <f>IF(BetTable[Odds]="","",(BetTable[WBA1-Commission])-BetTable[TS])</f>
        <v>31.68</v>
      </c>
      <c r="Y1376" s="261">
        <f>IF(BetTable[Outcome]="","",BetTable[WBA1]+BetTable[WBA2]+BetTable[WBA3]-BetTable[TS])</f>
        <v>31.68</v>
      </c>
      <c r="Z1376" s="257">
        <f>(((BetTable[Odds]-1)*BetTable[Stake])*(1-(BetTable[Comm %]))+BetTable[Stake])</f>
        <v>63.68</v>
      </c>
      <c r="AA1376" s="257">
        <f>(((BetTable[O2]-1)*BetTable[S2])*(1-(BetTable[C% 2]))+BetTable[S2])</f>
        <v>0</v>
      </c>
      <c r="AB1376" s="257">
        <f>(((BetTable[O3]-1)*BetTable[S3])*(1-(BetTable[C% 3]))+BetTable[S3])</f>
        <v>0</v>
      </c>
      <c r="AC1376" s="258">
        <f>IFERROR(IF(BetTable[Sport]="","",BetTable[R1]/BetTable[TS]),"")</f>
        <v>0.99</v>
      </c>
      <c r="AD1376" s="258" t="str">
        <f>IF(BetTable[O2]="","",#REF!/BetTable[TS])</f>
        <v/>
      </c>
      <c r="AE1376" s="258" t="str">
        <f>IFERROR(IF(BetTable[Sport]="","",#REF!/BetTable[TS]),"")</f>
        <v/>
      </c>
      <c r="AF1376" s="257">
        <f>IF(BetTable[Outcome]="Win",BetTable[WBA1-Commission],IF(BetTable[Outcome]="Win Half Stake",(BetTable[Stake]/2)+BetTable[WBA1-Commission]/2,IF(BetTable[Outcome]="Lose Half Stake",BetTable[Stake]/2,IF(BetTable[Outcome]="Lose",0,IF(BetTable[Outcome]="Void",BetTable[Stake],)))))</f>
        <v>63.68</v>
      </c>
      <c r="AG1376" s="257">
        <f>IF(BetTable[Outcome2]="Win",BetTable[WBA2-Commission],IF(BetTable[Outcome2]="Win Half Stake",(BetTable[S2]/2)+BetTable[WBA2-Commission]/2,IF(BetTable[Outcome2]="Lose Half Stake",BetTable[S2]/2,IF(BetTable[Outcome2]="Lose",0,IF(BetTable[Outcome2]="Void",BetTable[S2],)))))</f>
        <v>0</v>
      </c>
      <c r="AH1376" s="257">
        <f>IF(BetTable[Outcome3]="Win",BetTable[WBA3-Commission],IF(BetTable[Outcome3]="Win Half Stake",(BetTable[S3]/2)+BetTable[WBA3-Commission]/2,IF(BetTable[Outcome3]="Lose Half Stake",BetTable[S3]/2,IF(BetTable[Outcome3]="Lose",0,IF(BetTable[Outcome3]="Void",BetTable[S3],)))))</f>
        <v>0</v>
      </c>
      <c r="AI1376" s="261">
        <f>IF(BetTable[Outcome]="",AI1375,BetTable[Result]+AI1375)</f>
        <v>2625.06675</v>
      </c>
      <c r="AJ1376" s="253"/>
    </row>
    <row r="1377" spans="1:36" x14ac:dyDescent="0.2">
      <c r="A1377" s="252" t="s">
        <v>3151</v>
      </c>
      <c r="B1377" s="253" t="s">
        <v>7</v>
      </c>
      <c r="C1377" s="254" t="s">
        <v>91</v>
      </c>
      <c r="D1377" s="254"/>
      <c r="E1377" s="254"/>
      <c r="F1377" s="255"/>
      <c r="G1377" s="255"/>
      <c r="H1377" s="255"/>
      <c r="I1377" s="253" t="s">
        <v>3310</v>
      </c>
      <c r="J1377" s="256">
        <v>1.84</v>
      </c>
      <c r="K1377" s="256"/>
      <c r="L1377" s="256"/>
      <c r="M1377" s="257">
        <v>63</v>
      </c>
      <c r="N1377" s="257"/>
      <c r="O1377" s="257"/>
      <c r="P1377" s="252" t="s">
        <v>2446</v>
      </c>
      <c r="Q1377" s="252" t="s">
        <v>488</v>
      </c>
      <c r="R1377" s="252" t="s">
        <v>3311</v>
      </c>
      <c r="S1377" s="258">
        <v>2.7157172794611901E-2</v>
      </c>
      <c r="T1377" s="259" t="s">
        <v>382</v>
      </c>
      <c r="U1377" s="259"/>
      <c r="V1377" s="259"/>
      <c r="W1377" s="260">
        <f>IF(BetTable[Sport]="","",BetTable[Stake]+BetTable[S2]+BetTable[S3])</f>
        <v>63</v>
      </c>
      <c r="X1377" s="257">
        <f>IF(BetTable[Odds]="","",(BetTable[WBA1-Commission])-BetTable[TS])</f>
        <v>52.92</v>
      </c>
      <c r="Y1377" s="261">
        <f>IF(BetTable[Outcome]="","",BetTable[WBA1]+BetTable[WBA2]+BetTable[WBA3]-BetTable[TS])</f>
        <v>-63</v>
      </c>
      <c r="Z1377" s="257">
        <f>(((BetTable[Odds]-1)*BetTable[Stake])*(1-(BetTable[Comm %]))+BetTable[Stake])</f>
        <v>115.92</v>
      </c>
      <c r="AA1377" s="257">
        <f>(((BetTable[O2]-1)*BetTable[S2])*(1-(BetTable[C% 2]))+BetTable[S2])</f>
        <v>0</v>
      </c>
      <c r="AB1377" s="257">
        <f>(((BetTable[O3]-1)*BetTable[S3])*(1-(BetTable[C% 3]))+BetTable[S3])</f>
        <v>0</v>
      </c>
      <c r="AC1377" s="258">
        <f>IFERROR(IF(BetTable[Sport]="","",BetTable[R1]/BetTable[TS]),"")</f>
        <v>0.84000000000000008</v>
      </c>
      <c r="AD1377" s="258" t="str">
        <f>IF(BetTable[O2]="","",#REF!/BetTable[TS])</f>
        <v/>
      </c>
      <c r="AE1377" s="258" t="str">
        <f>IFERROR(IF(BetTable[Sport]="","",#REF!/BetTable[TS]),"")</f>
        <v/>
      </c>
      <c r="AF1377" s="257">
        <f>IF(BetTable[Outcome]="Win",BetTable[WBA1-Commission],IF(BetTable[Outcome]="Win Half Stake",(BetTable[Stake]/2)+BetTable[WBA1-Commission]/2,IF(BetTable[Outcome]="Lose Half Stake",BetTable[Stake]/2,IF(BetTable[Outcome]="Lose",0,IF(BetTable[Outcome]="Void",BetTable[Stake],)))))</f>
        <v>0</v>
      </c>
      <c r="AG1377" s="257">
        <f>IF(BetTable[Outcome2]="Win",BetTable[WBA2-Commission],IF(BetTable[Outcome2]="Win Half Stake",(BetTable[S2]/2)+BetTable[WBA2-Commission]/2,IF(BetTable[Outcome2]="Lose Half Stake",BetTable[S2]/2,IF(BetTable[Outcome2]="Lose",0,IF(BetTable[Outcome2]="Void",BetTable[S2],)))))</f>
        <v>0</v>
      </c>
      <c r="AH1377" s="257">
        <f>IF(BetTable[Outcome3]="Win",BetTable[WBA3-Commission],IF(BetTable[Outcome3]="Win Half Stake",(BetTable[S3]/2)+BetTable[WBA3-Commission]/2,IF(BetTable[Outcome3]="Lose Half Stake",BetTable[S3]/2,IF(BetTable[Outcome3]="Lose",0,IF(BetTable[Outcome3]="Void",BetTable[S3],)))))</f>
        <v>0</v>
      </c>
      <c r="AI1377" s="261">
        <f>IF(BetTable[Outcome]="",AI1376,BetTable[Result]+AI1376)</f>
        <v>2562.06675</v>
      </c>
      <c r="AJ1377" s="253"/>
    </row>
    <row r="1378" spans="1:36" x14ac:dyDescent="0.2">
      <c r="A1378" s="252" t="s">
        <v>3151</v>
      </c>
      <c r="B1378" s="253" t="s">
        <v>7</v>
      </c>
      <c r="C1378" s="254" t="s">
        <v>91</v>
      </c>
      <c r="D1378" s="254"/>
      <c r="E1378" s="254"/>
      <c r="F1378" s="255"/>
      <c r="G1378" s="255"/>
      <c r="H1378" s="255"/>
      <c r="I1378" s="253" t="s">
        <v>3289</v>
      </c>
      <c r="J1378" s="256">
        <v>2.0099999999999998</v>
      </c>
      <c r="K1378" s="256"/>
      <c r="L1378" s="256"/>
      <c r="M1378" s="257">
        <v>64</v>
      </c>
      <c r="N1378" s="257"/>
      <c r="O1378" s="257"/>
      <c r="P1378" s="252" t="s">
        <v>2753</v>
      </c>
      <c r="Q1378" s="252" t="s">
        <v>485</v>
      </c>
      <c r="R1378" s="252" t="s">
        <v>3312</v>
      </c>
      <c r="S1378" s="258">
        <v>3.2898882149822103E-2</v>
      </c>
      <c r="T1378" s="259" t="s">
        <v>382</v>
      </c>
      <c r="U1378" s="259"/>
      <c r="V1378" s="259"/>
      <c r="W1378" s="260">
        <f>IF(BetTable[Sport]="","",BetTable[Stake]+BetTable[S2]+BetTable[S3])</f>
        <v>64</v>
      </c>
      <c r="X1378" s="257">
        <f>IF(BetTable[Odds]="","",(BetTable[WBA1-Commission])-BetTable[TS])</f>
        <v>64.639999999999986</v>
      </c>
      <c r="Y1378" s="261">
        <f>IF(BetTable[Outcome]="","",BetTable[WBA1]+BetTable[WBA2]+BetTable[WBA3]-BetTable[TS])</f>
        <v>-64</v>
      </c>
      <c r="Z1378" s="257">
        <f>(((BetTable[Odds]-1)*BetTable[Stake])*(1-(BetTable[Comm %]))+BetTable[Stake])</f>
        <v>128.63999999999999</v>
      </c>
      <c r="AA1378" s="257">
        <f>(((BetTable[O2]-1)*BetTable[S2])*(1-(BetTable[C% 2]))+BetTable[S2])</f>
        <v>0</v>
      </c>
      <c r="AB1378" s="257">
        <f>(((BetTable[O3]-1)*BetTable[S3])*(1-(BetTable[C% 3]))+BetTable[S3])</f>
        <v>0</v>
      </c>
      <c r="AC1378" s="258">
        <f>IFERROR(IF(BetTable[Sport]="","",BetTable[R1]/BetTable[TS]),"")</f>
        <v>1.0099999999999998</v>
      </c>
      <c r="AD1378" s="258" t="str">
        <f>IF(BetTable[O2]="","",#REF!/BetTable[TS])</f>
        <v/>
      </c>
      <c r="AE1378" s="258" t="str">
        <f>IFERROR(IF(BetTable[Sport]="","",#REF!/BetTable[TS]),"")</f>
        <v/>
      </c>
      <c r="AF1378" s="257">
        <f>IF(BetTable[Outcome]="Win",BetTable[WBA1-Commission],IF(BetTable[Outcome]="Win Half Stake",(BetTable[Stake]/2)+BetTable[WBA1-Commission]/2,IF(BetTable[Outcome]="Lose Half Stake",BetTable[Stake]/2,IF(BetTable[Outcome]="Lose",0,IF(BetTable[Outcome]="Void",BetTable[Stake],)))))</f>
        <v>0</v>
      </c>
      <c r="AG1378" s="257">
        <f>IF(BetTable[Outcome2]="Win",BetTable[WBA2-Commission],IF(BetTable[Outcome2]="Win Half Stake",(BetTable[S2]/2)+BetTable[WBA2-Commission]/2,IF(BetTable[Outcome2]="Lose Half Stake",BetTable[S2]/2,IF(BetTable[Outcome2]="Lose",0,IF(BetTable[Outcome2]="Void",BetTable[S2],)))))</f>
        <v>0</v>
      </c>
      <c r="AH1378" s="257">
        <f>IF(BetTable[Outcome3]="Win",BetTable[WBA3-Commission],IF(BetTable[Outcome3]="Win Half Stake",(BetTable[S3]/2)+BetTable[WBA3-Commission]/2,IF(BetTable[Outcome3]="Lose Half Stake",BetTable[S3]/2,IF(BetTable[Outcome3]="Lose",0,IF(BetTable[Outcome3]="Void",BetTable[S3],)))))</f>
        <v>0</v>
      </c>
      <c r="AI1378" s="261">
        <f>IF(BetTable[Outcome]="",AI1377,BetTable[Result]+AI1377)</f>
        <v>2498.06675</v>
      </c>
      <c r="AJ1378" s="253"/>
    </row>
    <row r="1379" spans="1:36" x14ac:dyDescent="0.2">
      <c r="A1379" s="252" t="s">
        <v>3151</v>
      </c>
      <c r="B1379" s="253" t="s">
        <v>7</v>
      </c>
      <c r="C1379" s="254" t="s">
        <v>91</v>
      </c>
      <c r="D1379" s="254"/>
      <c r="E1379" s="254"/>
      <c r="F1379" s="255"/>
      <c r="G1379" s="255"/>
      <c r="H1379" s="255"/>
      <c r="I1379" s="253" t="s">
        <v>3313</v>
      </c>
      <c r="J1379" s="256">
        <v>1.92</v>
      </c>
      <c r="K1379" s="256"/>
      <c r="L1379" s="256"/>
      <c r="M1379" s="257">
        <v>45</v>
      </c>
      <c r="N1379" s="257"/>
      <c r="O1379" s="257"/>
      <c r="P1379" s="252" t="s">
        <v>453</v>
      </c>
      <c r="Q1379" s="252" t="s">
        <v>506</v>
      </c>
      <c r="R1379" s="252" t="s">
        <v>3314</v>
      </c>
      <c r="S1379" s="258">
        <v>2.1213497403119199E-2</v>
      </c>
      <c r="T1379" s="259" t="s">
        <v>382</v>
      </c>
      <c r="U1379" s="259"/>
      <c r="V1379" s="259"/>
      <c r="W1379" s="260">
        <f>IF(BetTable[Sport]="","",BetTable[Stake]+BetTable[S2]+BetTable[S3])</f>
        <v>45</v>
      </c>
      <c r="X1379" s="257">
        <f>IF(BetTable[Odds]="","",(BetTable[WBA1-Commission])-BetTable[TS])</f>
        <v>41.400000000000006</v>
      </c>
      <c r="Y1379" s="261">
        <f>IF(BetTable[Outcome]="","",BetTable[WBA1]+BetTable[WBA2]+BetTable[WBA3]-BetTable[TS])</f>
        <v>-45</v>
      </c>
      <c r="Z1379" s="257">
        <f>(((BetTable[Odds]-1)*BetTable[Stake])*(1-(BetTable[Comm %]))+BetTable[Stake])</f>
        <v>86.4</v>
      </c>
      <c r="AA1379" s="257">
        <f>(((BetTable[O2]-1)*BetTable[S2])*(1-(BetTable[C% 2]))+BetTable[S2])</f>
        <v>0</v>
      </c>
      <c r="AB1379" s="257">
        <f>(((BetTable[O3]-1)*BetTable[S3])*(1-(BetTable[C% 3]))+BetTable[S3])</f>
        <v>0</v>
      </c>
      <c r="AC1379" s="258">
        <f>IFERROR(IF(BetTable[Sport]="","",BetTable[R1]/BetTable[TS]),"")</f>
        <v>0.92000000000000015</v>
      </c>
      <c r="AD1379" s="258" t="str">
        <f>IF(BetTable[O2]="","",#REF!/BetTable[TS])</f>
        <v/>
      </c>
      <c r="AE1379" s="258" t="str">
        <f>IFERROR(IF(BetTable[Sport]="","",#REF!/BetTable[TS]),"")</f>
        <v/>
      </c>
      <c r="AF1379" s="257">
        <f>IF(BetTable[Outcome]="Win",BetTable[WBA1-Commission],IF(BetTable[Outcome]="Win Half Stake",(BetTable[Stake]/2)+BetTable[WBA1-Commission]/2,IF(BetTable[Outcome]="Lose Half Stake",BetTable[Stake]/2,IF(BetTable[Outcome]="Lose",0,IF(BetTable[Outcome]="Void",BetTable[Stake],)))))</f>
        <v>0</v>
      </c>
      <c r="AG1379" s="257">
        <f>IF(BetTable[Outcome2]="Win",BetTable[WBA2-Commission],IF(BetTable[Outcome2]="Win Half Stake",(BetTable[S2]/2)+BetTable[WBA2-Commission]/2,IF(BetTable[Outcome2]="Lose Half Stake",BetTable[S2]/2,IF(BetTable[Outcome2]="Lose",0,IF(BetTable[Outcome2]="Void",BetTable[S2],)))))</f>
        <v>0</v>
      </c>
      <c r="AH1379" s="257">
        <f>IF(BetTable[Outcome3]="Win",BetTable[WBA3-Commission],IF(BetTable[Outcome3]="Win Half Stake",(BetTable[S3]/2)+BetTable[WBA3-Commission]/2,IF(BetTable[Outcome3]="Lose Half Stake",BetTable[S3]/2,IF(BetTable[Outcome3]="Lose",0,IF(BetTable[Outcome3]="Void",BetTable[S3],)))))</f>
        <v>0</v>
      </c>
      <c r="AI1379" s="261">
        <f>IF(BetTable[Outcome]="",AI1378,BetTable[Result]+AI1378)</f>
        <v>2453.06675</v>
      </c>
      <c r="AJ1379" s="253"/>
    </row>
    <row r="1380" spans="1:36" x14ac:dyDescent="0.2">
      <c r="A1380" s="252" t="s">
        <v>3151</v>
      </c>
      <c r="B1380" s="253" t="s">
        <v>7</v>
      </c>
      <c r="C1380" s="254" t="s">
        <v>91</v>
      </c>
      <c r="D1380" s="254"/>
      <c r="E1380" s="254"/>
      <c r="F1380" s="255"/>
      <c r="G1380" s="255"/>
      <c r="H1380" s="255"/>
      <c r="I1380" s="253" t="s">
        <v>3315</v>
      </c>
      <c r="J1380" s="256">
        <v>2.02</v>
      </c>
      <c r="K1380" s="256"/>
      <c r="L1380" s="256"/>
      <c r="M1380" s="257">
        <v>37</v>
      </c>
      <c r="N1380" s="257"/>
      <c r="O1380" s="257"/>
      <c r="P1380" s="252" t="s">
        <v>754</v>
      </c>
      <c r="Q1380" s="252" t="s">
        <v>547</v>
      </c>
      <c r="R1380" s="252" t="s">
        <v>3316</v>
      </c>
      <c r="S1380" s="258">
        <v>1.91621326814999E-2</v>
      </c>
      <c r="T1380" s="259" t="s">
        <v>372</v>
      </c>
      <c r="U1380" s="259"/>
      <c r="V1380" s="259"/>
      <c r="W1380" s="260">
        <f>IF(BetTable[Sport]="","",BetTable[Stake]+BetTable[S2]+BetTable[S3])</f>
        <v>37</v>
      </c>
      <c r="X1380" s="257">
        <f>IF(BetTable[Odds]="","",(BetTable[WBA1-Commission])-BetTable[TS])</f>
        <v>37.740000000000009</v>
      </c>
      <c r="Y1380" s="261">
        <f>IF(BetTable[Outcome]="","",BetTable[WBA1]+BetTable[WBA2]+BetTable[WBA3]-BetTable[TS])</f>
        <v>37.740000000000009</v>
      </c>
      <c r="Z1380" s="257">
        <f>(((BetTable[Odds]-1)*BetTable[Stake])*(1-(BetTable[Comm %]))+BetTable[Stake])</f>
        <v>74.740000000000009</v>
      </c>
      <c r="AA1380" s="257">
        <f>(((BetTable[O2]-1)*BetTable[S2])*(1-(BetTable[C% 2]))+BetTable[S2])</f>
        <v>0</v>
      </c>
      <c r="AB1380" s="257">
        <f>(((BetTable[O3]-1)*BetTable[S3])*(1-(BetTable[C% 3]))+BetTable[S3])</f>
        <v>0</v>
      </c>
      <c r="AC1380" s="258">
        <f>IFERROR(IF(BetTable[Sport]="","",BetTable[R1]/BetTable[TS]),"")</f>
        <v>1.0200000000000002</v>
      </c>
      <c r="AD1380" s="258" t="str">
        <f>IF(BetTable[O2]="","",#REF!/BetTable[TS])</f>
        <v/>
      </c>
      <c r="AE1380" s="258" t="str">
        <f>IFERROR(IF(BetTable[Sport]="","",#REF!/BetTable[TS]),"")</f>
        <v/>
      </c>
      <c r="AF1380" s="257">
        <f>IF(BetTable[Outcome]="Win",BetTable[WBA1-Commission],IF(BetTable[Outcome]="Win Half Stake",(BetTable[Stake]/2)+BetTable[WBA1-Commission]/2,IF(BetTable[Outcome]="Lose Half Stake",BetTable[Stake]/2,IF(BetTable[Outcome]="Lose",0,IF(BetTable[Outcome]="Void",BetTable[Stake],)))))</f>
        <v>74.740000000000009</v>
      </c>
      <c r="AG1380" s="257">
        <f>IF(BetTable[Outcome2]="Win",BetTable[WBA2-Commission],IF(BetTable[Outcome2]="Win Half Stake",(BetTable[S2]/2)+BetTable[WBA2-Commission]/2,IF(BetTable[Outcome2]="Lose Half Stake",BetTable[S2]/2,IF(BetTable[Outcome2]="Lose",0,IF(BetTable[Outcome2]="Void",BetTable[S2],)))))</f>
        <v>0</v>
      </c>
      <c r="AH1380" s="257">
        <f>IF(BetTable[Outcome3]="Win",BetTable[WBA3-Commission],IF(BetTable[Outcome3]="Win Half Stake",(BetTable[S3]/2)+BetTable[WBA3-Commission]/2,IF(BetTable[Outcome3]="Lose Half Stake",BetTable[S3]/2,IF(BetTable[Outcome3]="Lose",0,IF(BetTable[Outcome3]="Void",BetTable[S3],)))))</f>
        <v>0</v>
      </c>
      <c r="AI1380" s="261">
        <f>IF(BetTable[Outcome]="",AI1379,BetTable[Result]+AI1379)</f>
        <v>2490.8067499999997</v>
      </c>
      <c r="AJ1380" s="253"/>
    </row>
    <row r="1381" spans="1:36" x14ac:dyDescent="0.2">
      <c r="A1381" s="252" t="s">
        <v>3151</v>
      </c>
      <c r="B1381" s="253" t="s">
        <v>200</v>
      </c>
      <c r="C1381" s="254" t="s">
        <v>1714</v>
      </c>
      <c r="D1381" s="254"/>
      <c r="E1381" s="254"/>
      <c r="F1381" s="255"/>
      <c r="G1381" s="255"/>
      <c r="H1381" s="255"/>
      <c r="I1381" s="253" t="s">
        <v>3317</v>
      </c>
      <c r="J1381" s="256">
        <v>1.58</v>
      </c>
      <c r="K1381" s="256"/>
      <c r="L1381" s="256"/>
      <c r="M1381" s="257">
        <v>57</v>
      </c>
      <c r="N1381" s="257"/>
      <c r="O1381" s="257"/>
      <c r="P1381" s="252" t="s">
        <v>3318</v>
      </c>
      <c r="Q1381" s="252" t="s">
        <v>439</v>
      </c>
      <c r="R1381" s="252" t="s">
        <v>3319</v>
      </c>
      <c r="S1381" s="258">
        <v>1.6943175744385398E-2</v>
      </c>
      <c r="T1381" s="259" t="s">
        <v>372</v>
      </c>
      <c r="U1381" s="259"/>
      <c r="V1381" s="259"/>
      <c r="W1381" s="260">
        <f>IF(BetTable[Sport]="","",BetTable[Stake]+BetTable[S2]+BetTable[S3])</f>
        <v>57</v>
      </c>
      <c r="X1381" s="257">
        <f>IF(BetTable[Odds]="","",(BetTable[WBA1-Commission])-BetTable[TS])</f>
        <v>33.06</v>
      </c>
      <c r="Y1381" s="261">
        <f>IF(BetTable[Outcome]="","",BetTable[WBA1]+BetTable[WBA2]+BetTable[WBA3]-BetTable[TS])</f>
        <v>33.06</v>
      </c>
      <c r="Z1381" s="257">
        <f>(((BetTable[Odds]-1)*BetTable[Stake])*(1-(BetTable[Comm %]))+BetTable[Stake])</f>
        <v>90.06</v>
      </c>
      <c r="AA1381" s="257">
        <f>(((BetTable[O2]-1)*BetTable[S2])*(1-(BetTable[C% 2]))+BetTable[S2])</f>
        <v>0</v>
      </c>
      <c r="AB1381" s="257">
        <f>(((BetTable[O3]-1)*BetTable[S3])*(1-(BetTable[C% 3]))+BetTable[S3])</f>
        <v>0</v>
      </c>
      <c r="AC1381" s="258">
        <f>IFERROR(IF(BetTable[Sport]="","",BetTable[R1]/BetTable[TS]),"")</f>
        <v>0.58000000000000007</v>
      </c>
      <c r="AD1381" s="258" t="str">
        <f>IF(BetTable[O2]="","",#REF!/BetTable[TS])</f>
        <v/>
      </c>
      <c r="AE1381" s="258" t="str">
        <f>IFERROR(IF(BetTable[Sport]="","",#REF!/BetTable[TS]),"")</f>
        <v/>
      </c>
      <c r="AF1381" s="257">
        <f>IF(BetTable[Outcome]="Win",BetTable[WBA1-Commission],IF(BetTable[Outcome]="Win Half Stake",(BetTable[Stake]/2)+BetTable[WBA1-Commission]/2,IF(BetTable[Outcome]="Lose Half Stake",BetTable[Stake]/2,IF(BetTable[Outcome]="Lose",0,IF(BetTable[Outcome]="Void",BetTable[Stake],)))))</f>
        <v>90.06</v>
      </c>
      <c r="AG1381" s="257">
        <f>IF(BetTable[Outcome2]="Win",BetTable[WBA2-Commission],IF(BetTable[Outcome2]="Win Half Stake",(BetTable[S2]/2)+BetTable[WBA2-Commission]/2,IF(BetTable[Outcome2]="Lose Half Stake",BetTable[S2]/2,IF(BetTable[Outcome2]="Lose",0,IF(BetTable[Outcome2]="Void",BetTable[S2],)))))</f>
        <v>0</v>
      </c>
      <c r="AH1381" s="257">
        <f>IF(BetTable[Outcome3]="Win",BetTable[WBA3-Commission],IF(BetTable[Outcome3]="Win Half Stake",(BetTable[S3]/2)+BetTable[WBA3-Commission]/2,IF(BetTable[Outcome3]="Lose Half Stake",BetTable[S3]/2,IF(BetTable[Outcome3]="Lose",0,IF(BetTable[Outcome3]="Void",BetTable[S3],)))))</f>
        <v>0</v>
      </c>
      <c r="AI1381" s="261">
        <f>IF(BetTable[Outcome]="",AI1380,BetTable[Result]+AI1380)</f>
        <v>2523.8667499999997</v>
      </c>
      <c r="AJ1381" s="253"/>
    </row>
    <row r="1382" spans="1:36" x14ac:dyDescent="0.2">
      <c r="A1382" s="252" t="s">
        <v>3151</v>
      </c>
      <c r="B1382" s="253" t="s">
        <v>7</v>
      </c>
      <c r="C1382" s="254" t="s">
        <v>91</v>
      </c>
      <c r="D1382" s="254"/>
      <c r="E1382" s="254"/>
      <c r="F1382" s="255"/>
      <c r="G1382" s="255"/>
      <c r="H1382" s="255"/>
      <c r="I1382" s="253" t="s">
        <v>3320</v>
      </c>
      <c r="J1382" s="256">
        <v>1.93</v>
      </c>
      <c r="K1382" s="256"/>
      <c r="L1382" s="256"/>
      <c r="M1382" s="257">
        <v>64</v>
      </c>
      <c r="N1382" s="257"/>
      <c r="O1382" s="257"/>
      <c r="P1382" s="252" t="s">
        <v>551</v>
      </c>
      <c r="Q1382" s="252" t="s">
        <v>506</v>
      </c>
      <c r="R1382" s="252" t="s">
        <v>3321</v>
      </c>
      <c r="S1382" s="258">
        <v>4.6492712062048698E-2</v>
      </c>
      <c r="T1382" s="259" t="s">
        <v>372</v>
      </c>
      <c r="U1382" s="259"/>
      <c r="V1382" s="259"/>
      <c r="W1382" s="260">
        <f>IF(BetTable[Sport]="","",BetTable[Stake]+BetTable[S2]+BetTable[S3])</f>
        <v>64</v>
      </c>
      <c r="X1382" s="257">
        <f>IF(BetTable[Odds]="","",(BetTable[WBA1-Commission])-BetTable[TS])</f>
        <v>59.519999999999996</v>
      </c>
      <c r="Y1382" s="261">
        <f>IF(BetTable[Outcome]="","",BetTable[WBA1]+BetTable[WBA2]+BetTable[WBA3]-BetTable[TS])</f>
        <v>59.519999999999996</v>
      </c>
      <c r="Z1382" s="257">
        <f>(((BetTable[Odds]-1)*BetTable[Stake])*(1-(BetTable[Comm %]))+BetTable[Stake])</f>
        <v>123.52</v>
      </c>
      <c r="AA1382" s="257">
        <f>(((BetTable[O2]-1)*BetTable[S2])*(1-(BetTable[C% 2]))+BetTable[S2])</f>
        <v>0</v>
      </c>
      <c r="AB1382" s="257">
        <f>(((BetTable[O3]-1)*BetTable[S3])*(1-(BetTable[C% 3]))+BetTable[S3])</f>
        <v>0</v>
      </c>
      <c r="AC1382" s="258">
        <f>IFERROR(IF(BetTable[Sport]="","",BetTable[R1]/BetTable[TS]),"")</f>
        <v>0.92999999999999994</v>
      </c>
      <c r="AD1382" s="258" t="str">
        <f>IF(BetTable[O2]="","",#REF!/BetTable[TS])</f>
        <v/>
      </c>
      <c r="AE1382" s="258" t="str">
        <f>IFERROR(IF(BetTable[Sport]="","",#REF!/BetTable[TS]),"")</f>
        <v/>
      </c>
      <c r="AF1382" s="257">
        <f>IF(BetTable[Outcome]="Win",BetTable[WBA1-Commission],IF(BetTable[Outcome]="Win Half Stake",(BetTable[Stake]/2)+BetTable[WBA1-Commission]/2,IF(BetTable[Outcome]="Lose Half Stake",BetTable[Stake]/2,IF(BetTable[Outcome]="Lose",0,IF(BetTable[Outcome]="Void",BetTable[Stake],)))))</f>
        <v>123.52</v>
      </c>
      <c r="AG1382" s="257">
        <f>IF(BetTable[Outcome2]="Win",BetTable[WBA2-Commission],IF(BetTable[Outcome2]="Win Half Stake",(BetTable[S2]/2)+BetTable[WBA2-Commission]/2,IF(BetTable[Outcome2]="Lose Half Stake",BetTable[S2]/2,IF(BetTable[Outcome2]="Lose",0,IF(BetTable[Outcome2]="Void",BetTable[S2],)))))</f>
        <v>0</v>
      </c>
      <c r="AH1382" s="257">
        <f>IF(BetTable[Outcome3]="Win",BetTable[WBA3-Commission],IF(BetTable[Outcome3]="Win Half Stake",(BetTable[S3]/2)+BetTable[WBA3-Commission]/2,IF(BetTable[Outcome3]="Lose Half Stake",BetTable[S3]/2,IF(BetTable[Outcome3]="Lose",0,IF(BetTable[Outcome3]="Void",BetTable[S3],)))))</f>
        <v>0</v>
      </c>
      <c r="AI1382" s="261">
        <f>IF(BetTable[Outcome]="",AI1381,BetTable[Result]+AI1381)</f>
        <v>2583.3867499999997</v>
      </c>
      <c r="AJ1382" s="253"/>
    </row>
    <row r="1383" spans="1:36" x14ac:dyDescent="0.2">
      <c r="A1383" s="252" t="s">
        <v>3151</v>
      </c>
      <c r="B1383" s="253" t="s">
        <v>200</v>
      </c>
      <c r="C1383" s="254" t="s">
        <v>1714</v>
      </c>
      <c r="D1383" s="254"/>
      <c r="E1383" s="254"/>
      <c r="F1383" s="255"/>
      <c r="G1383" s="255"/>
      <c r="H1383" s="255"/>
      <c r="I1383" s="253" t="s">
        <v>3322</v>
      </c>
      <c r="J1383" s="256">
        <v>2.21</v>
      </c>
      <c r="K1383" s="256"/>
      <c r="L1383" s="256"/>
      <c r="M1383" s="257">
        <v>32</v>
      </c>
      <c r="N1383" s="257"/>
      <c r="O1383" s="257"/>
      <c r="P1383" s="252" t="s">
        <v>688</v>
      </c>
      <c r="Q1383" s="252" t="s">
        <v>1768</v>
      </c>
      <c r="R1383" s="252" t="s">
        <v>3323</v>
      </c>
      <c r="S1383" s="258">
        <v>1.98192450824029E-2</v>
      </c>
      <c r="T1383" s="259" t="s">
        <v>382</v>
      </c>
      <c r="U1383" s="259"/>
      <c r="V1383" s="259"/>
      <c r="W1383" s="260">
        <f>IF(BetTable[Sport]="","",BetTable[Stake]+BetTable[S2]+BetTable[S3])</f>
        <v>32</v>
      </c>
      <c r="X1383" s="257">
        <f>IF(BetTable[Odds]="","",(BetTable[WBA1-Commission])-BetTable[TS])</f>
        <v>38.72</v>
      </c>
      <c r="Y1383" s="261">
        <f>IF(BetTable[Outcome]="","",BetTable[WBA1]+BetTable[WBA2]+BetTable[WBA3]-BetTable[TS])</f>
        <v>-32</v>
      </c>
      <c r="Z1383" s="257">
        <f>(((BetTable[Odds]-1)*BetTable[Stake])*(1-(BetTable[Comm %]))+BetTable[Stake])</f>
        <v>70.72</v>
      </c>
      <c r="AA1383" s="257">
        <f>(((BetTable[O2]-1)*BetTable[S2])*(1-(BetTable[C% 2]))+BetTable[S2])</f>
        <v>0</v>
      </c>
      <c r="AB1383" s="257">
        <f>(((BetTable[O3]-1)*BetTable[S3])*(1-(BetTable[C% 3]))+BetTable[S3])</f>
        <v>0</v>
      </c>
      <c r="AC1383" s="258">
        <f>IFERROR(IF(BetTable[Sport]="","",BetTable[R1]/BetTable[TS]),"")</f>
        <v>1.21</v>
      </c>
      <c r="AD1383" s="258" t="str">
        <f>IF(BetTable[O2]="","",#REF!/BetTable[TS])</f>
        <v/>
      </c>
      <c r="AE1383" s="258" t="str">
        <f>IFERROR(IF(BetTable[Sport]="","",#REF!/BetTable[TS]),"")</f>
        <v/>
      </c>
      <c r="AF1383" s="257">
        <f>IF(BetTable[Outcome]="Win",BetTable[WBA1-Commission],IF(BetTable[Outcome]="Win Half Stake",(BetTable[Stake]/2)+BetTable[WBA1-Commission]/2,IF(BetTable[Outcome]="Lose Half Stake",BetTable[Stake]/2,IF(BetTable[Outcome]="Lose",0,IF(BetTable[Outcome]="Void",BetTable[Stake],)))))</f>
        <v>0</v>
      </c>
      <c r="AG1383" s="257">
        <f>IF(BetTable[Outcome2]="Win",BetTable[WBA2-Commission],IF(BetTable[Outcome2]="Win Half Stake",(BetTable[S2]/2)+BetTable[WBA2-Commission]/2,IF(BetTable[Outcome2]="Lose Half Stake",BetTable[S2]/2,IF(BetTable[Outcome2]="Lose",0,IF(BetTable[Outcome2]="Void",BetTable[S2],)))))</f>
        <v>0</v>
      </c>
      <c r="AH1383" s="257">
        <f>IF(BetTable[Outcome3]="Win",BetTable[WBA3-Commission],IF(BetTable[Outcome3]="Win Half Stake",(BetTable[S3]/2)+BetTable[WBA3-Commission]/2,IF(BetTable[Outcome3]="Lose Half Stake",BetTable[S3]/2,IF(BetTable[Outcome3]="Lose",0,IF(BetTable[Outcome3]="Void",BetTable[S3],)))))</f>
        <v>0</v>
      </c>
      <c r="AI1383" s="261">
        <f>IF(BetTable[Outcome]="",AI1382,BetTable[Result]+AI1382)</f>
        <v>2551.3867499999997</v>
      </c>
      <c r="AJ1383" s="253"/>
    </row>
    <row r="1384" spans="1:36" x14ac:dyDescent="0.2">
      <c r="A1384" s="252" t="s">
        <v>3324</v>
      </c>
      <c r="B1384" s="253" t="s">
        <v>200</v>
      </c>
      <c r="C1384" s="254" t="s">
        <v>1714</v>
      </c>
      <c r="D1384" s="254"/>
      <c r="E1384" s="254"/>
      <c r="F1384" s="255"/>
      <c r="G1384" s="255"/>
      <c r="H1384" s="255"/>
      <c r="I1384" s="253" t="s">
        <v>3325</v>
      </c>
      <c r="J1384" s="256">
        <v>3.2</v>
      </c>
      <c r="K1384" s="256"/>
      <c r="L1384" s="256"/>
      <c r="M1384" s="257">
        <v>29</v>
      </c>
      <c r="N1384" s="257"/>
      <c r="O1384" s="257"/>
      <c r="P1384" s="252" t="s">
        <v>494</v>
      </c>
      <c r="Q1384" s="252" t="s">
        <v>506</v>
      </c>
      <c r="R1384" s="252" t="s">
        <v>3326</v>
      </c>
      <c r="S1384" s="258">
        <v>3.28555858757201E-2</v>
      </c>
      <c r="T1384" s="259" t="s">
        <v>382</v>
      </c>
      <c r="U1384" s="259"/>
      <c r="V1384" s="259"/>
      <c r="W1384" s="260">
        <f>IF(BetTable[Sport]="","",BetTable[Stake]+BetTable[S2]+BetTable[S3])</f>
        <v>29</v>
      </c>
      <c r="X1384" s="257">
        <f>IF(BetTable[Odds]="","",(BetTable[WBA1-Commission])-BetTable[TS])</f>
        <v>63.800000000000011</v>
      </c>
      <c r="Y1384" s="261">
        <f>IF(BetTable[Outcome]="","",BetTable[WBA1]+BetTable[WBA2]+BetTable[WBA3]-BetTable[TS])</f>
        <v>-29</v>
      </c>
      <c r="Z1384" s="257">
        <f>(((BetTable[Odds]-1)*BetTable[Stake])*(1-(BetTable[Comm %]))+BetTable[Stake])</f>
        <v>92.800000000000011</v>
      </c>
      <c r="AA1384" s="257">
        <f>(((BetTable[O2]-1)*BetTable[S2])*(1-(BetTable[C% 2]))+BetTable[S2])</f>
        <v>0</v>
      </c>
      <c r="AB1384" s="257">
        <f>(((BetTable[O3]-1)*BetTable[S3])*(1-(BetTable[C% 3]))+BetTable[S3])</f>
        <v>0</v>
      </c>
      <c r="AC1384" s="258">
        <f>IFERROR(IF(BetTable[Sport]="","",BetTable[R1]/BetTable[TS]),"")</f>
        <v>2.2000000000000002</v>
      </c>
      <c r="AD1384" s="258" t="str">
        <f>IF(BetTable[O2]="","",#REF!/BetTable[TS])</f>
        <v/>
      </c>
      <c r="AE1384" s="258" t="str">
        <f>IFERROR(IF(BetTable[Sport]="","",#REF!/BetTable[TS]),"")</f>
        <v/>
      </c>
      <c r="AF1384" s="257">
        <f>IF(BetTable[Outcome]="Win",BetTable[WBA1-Commission],IF(BetTable[Outcome]="Win Half Stake",(BetTable[Stake]/2)+BetTable[WBA1-Commission]/2,IF(BetTable[Outcome]="Lose Half Stake",BetTable[Stake]/2,IF(BetTable[Outcome]="Lose",0,IF(BetTable[Outcome]="Void",BetTable[Stake],)))))</f>
        <v>0</v>
      </c>
      <c r="AG1384" s="257">
        <f>IF(BetTable[Outcome2]="Win",BetTable[WBA2-Commission],IF(BetTable[Outcome2]="Win Half Stake",(BetTable[S2]/2)+BetTable[WBA2-Commission]/2,IF(BetTable[Outcome2]="Lose Half Stake",BetTable[S2]/2,IF(BetTable[Outcome2]="Lose",0,IF(BetTable[Outcome2]="Void",BetTable[S2],)))))</f>
        <v>0</v>
      </c>
      <c r="AH1384" s="257">
        <f>IF(BetTable[Outcome3]="Win",BetTable[WBA3-Commission],IF(BetTable[Outcome3]="Win Half Stake",(BetTable[S3]/2)+BetTable[WBA3-Commission]/2,IF(BetTable[Outcome3]="Lose Half Stake",BetTable[S3]/2,IF(BetTable[Outcome3]="Lose",0,IF(BetTable[Outcome3]="Void",BetTable[S3],)))))</f>
        <v>0</v>
      </c>
      <c r="AI1384" s="261">
        <f>IF(BetTable[Outcome]="",AI1383,BetTable[Result]+AI1383)</f>
        <v>2522.3867499999997</v>
      </c>
      <c r="AJ1384" s="253"/>
    </row>
    <row r="1385" spans="1:36" x14ac:dyDescent="0.2">
      <c r="A1385" s="252" t="s">
        <v>3324</v>
      </c>
      <c r="B1385" s="253" t="s">
        <v>7</v>
      </c>
      <c r="C1385" s="254" t="s">
        <v>216</v>
      </c>
      <c r="D1385" s="254"/>
      <c r="E1385" s="254"/>
      <c r="F1385" s="255"/>
      <c r="G1385" s="255"/>
      <c r="H1385" s="255"/>
      <c r="I1385" s="253" t="s">
        <v>3327</v>
      </c>
      <c r="J1385" s="256">
        <v>1.909</v>
      </c>
      <c r="K1385" s="256"/>
      <c r="L1385" s="256"/>
      <c r="M1385" s="257">
        <v>55</v>
      </c>
      <c r="N1385" s="257"/>
      <c r="O1385" s="257"/>
      <c r="P1385" s="252" t="s">
        <v>3328</v>
      </c>
      <c r="Q1385" s="252" t="s">
        <v>482</v>
      </c>
      <c r="R1385" s="252" t="s">
        <v>3329</v>
      </c>
      <c r="S1385" s="258">
        <v>3.9819255192735603E-2</v>
      </c>
      <c r="T1385" s="259" t="s">
        <v>372</v>
      </c>
      <c r="U1385" s="259"/>
      <c r="V1385" s="259"/>
      <c r="W1385" s="260">
        <f>IF(BetTable[Sport]="","",BetTable[Stake]+BetTable[S2]+BetTable[S3])</f>
        <v>55</v>
      </c>
      <c r="X1385" s="257">
        <f>IF(BetTable[Odds]="","",(BetTable[WBA1-Commission])-BetTable[TS])</f>
        <v>49.995000000000005</v>
      </c>
      <c r="Y1385" s="261">
        <f>IF(BetTable[Outcome]="","",BetTable[WBA1]+BetTable[WBA2]+BetTable[WBA3]-BetTable[TS])</f>
        <v>49.995000000000005</v>
      </c>
      <c r="Z1385" s="257">
        <f>(((BetTable[Odds]-1)*BetTable[Stake])*(1-(BetTable[Comm %]))+BetTable[Stake])</f>
        <v>104.995</v>
      </c>
      <c r="AA1385" s="257">
        <f>(((BetTable[O2]-1)*BetTable[S2])*(1-(BetTable[C% 2]))+BetTable[S2])</f>
        <v>0</v>
      </c>
      <c r="AB1385" s="257">
        <f>(((BetTable[O3]-1)*BetTable[S3])*(1-(BetTable[C% 3]))+BetTable[S3])</f>
        <v>0</v>
      </c>
      <c r="AC1385" s="258">
        <f>IFERROR(IF(BetTable[Sport]="","",BetTable[R1]/BetTable[TS]),"")</f>
        <v>0.90900000000000003</v>
      </c>
      <c r="AD1385" s="258" t="str">
        <f>IF(BetTable[O2]="","",#REF!/BetTable[TS])</f>
        <v/>
      </c>
      <c r="AE1385" s="258" t="str">
        <f>IFERROR(IF(BetTable[Sport]="","",#REF!/BetTable[TS]),"")</f>
        <v/>
      </c>
      <c r="AF1385" s="257">
        <f>IF(BetTable[Outcome]="Win",BetTable[WBA1-Commission],IF(BetTable[Outcome]="Win Half Stake",(BetTable[Stake]/2)+BetTable[WBA1-Commission]/2,IF(BetTable[Outcome]="Lose Half Stake",BetTable[Stake]/2,IF(BetTable[Outcome]="Lose",0,IF(BetTable[Outcome]="Void",BetTable[Stake],)))))</f>
        <v>104.995</v>
      </c>
      <c r="AG1385" s="257">
        <f>IF(BetTable[Outcome2]="Win",BetTable[WBA2-Commission],IF(BetTable[Outcome2]="Win Half Stake",(BetTable[S2]/2)+BetTable[WBA2-Commission]/2,IF(BetTable[Outcome2]="Lose Half Stake",BetTable[S2]/2,IF(BetTable[Outcome2]="Lose",0,IF(BetTable[Outcome2]="Void",BetTable[S2],)))))</f>
        <v>0</v>
      </c>
      <c r="AH1385" s="257">
        <f>IF(BetTable[Outcome3]="Win",BetTable[WBA3-Commission],IF(BetTable[Outcome3]="Win Half Stake",(BetTable[S3]/2)+BetTable[WBA3-Commission]/2,IF(BetTable[Outcome3]="Lose Half Stake",BetTable[S3]/2,IF(BetTable[Outcome3]="Lose",0,IF(BetTable[Outcome3]="Void",BetTable[S3],)))))</f>
        <v>0</v>
      </c>
      <c r="AI1385" s="261">
        <f>IF(BetTable[Outcome]="",AI1384,BetTable[Result]+AI1384)</f>
        <v>2572.3817499999996</v>
      </c>
      <c r="AJ1385" s="253"/>
    </row>
    <row r="1386" spans="1:36" x14ac:dyDescent="0.2">
      <c r="A1386" s="252" t="s">
        <v>3324</v>
      </c>
      <c r="B1386" s="253" t="s">
        <v>201</v>
      </c>
      <c r="C1386" s="254" t="s">
        <v>216</v>
      </c>
      <c r="D1386" s="254"/>
      <c r="E1386" s="254"/>
      <c r="F1386" s="255"/>
      <c r="G1386" s="255"/>
      <c r="H1386" s="255"/>
      <c r="I1386" s="253" t="s">
        <v>3330</v>
      </c>
      <c r="J1386" s="256">
        <v>2.2000000000000002</v>
      </c>
      <c r="K1386" s="256"/>
      <c r="L1386" s="256"/>
      <c r="M1386" s="257">
        <v>52</v>
      </c>
      <c r="N1386" s="257"/>
      <c r="O1386" s="257"/>
      <c r="P1386" s="252" t="s">
        <v>3167</v>
      </c>
      <c r="Q1386" s="252" t="s">
        <v>540</v>
      </c>
      <c r="R1386" s="252" t="s">
        <v>3331</v>
      </c>
      <c r="S1386" s="258">
        <v>3.1719365409103001E-2</v>
      </c>
      <c r="T1386" s="259" t="s">
        <v>382</v>
      </c>
      <c r="U1386" s="259"/>
      <c r="V1386" s="259"/>
      <c r="W1386" s="260">
        <f>IF(BetTable[Sport]="","",BetTable[Stake]+BetTable[S2]+BetTable[S3])</f>
        <v>52</v>
      </c>
      <c r="X1386" s="257">
        <f>IF(BetTable[Odds]="","",(BetTable[WBA1-Commission])-BetTable[TS])</f>
        <v>62.400000000000006</v>
      </c>
      <c r="Y1386" s="261">
        <f>IF(BetTable[Outcome]="","",BetTable[WBA1]+BetTable[WBA2]+BetTable[WBA3]-BetTable[TS])</f>
        <v>-52</v>
      </c>
      <c r="Z1386" s="257">
        <f>(((BetTable[Odds]-1)*BetTable[Stake])*(1-(BetTable[Comm %]))+BetTable[Stake])</f>
        <v>114.4</v>
      </c>
      <c r="AA1386" s="257">
        <f>(((BetTable[O2]-1)*BetTable[S2])*(1-(BetTable[C% 2]))+BetTable[S2])</f>
        <v>0</v>
      </c>
      <c r="AB1386" s="257">
        <f>(((BetTable[O3]-1)*BetTable[S3])*(1-(BetTable[C% 3]))+BetTable[S3])</f>
        <v>0</v>
      </c>
      <c r="AC1386" s="258">
        <f>IFERROR(IF(BetTable[Sport]="","",BetTable[R1]/BetTable[TS]),"")</f>
        <v>1.2000000000000002</v>
      </c>
      <c r="AD1386" s="258" t="str">
        <f>IF(BetTable[O2]="","",#REF!/BetTable[TS])</f>
        <v/>
      </c>
      <c r="AE1386" s="258" t="str">
        <f>IFERROR(IF(BetTable[Sport]="","",#REF!/BetTable[TS]),"")</f>
        <v/>
      </c>
      <c r="AF1386" s="257">
        <f>IF(BetTable[Outcome]="Win",BetTable[WBA1-Commission],IF(BetTable[Outcome]="Win Half Stake",(BetTable[Stake]/2)+BetTable[WBA1-Commission]/2,IF(BetTable[Outcome]="Lose Half Stake",BetTable[Stake]/2,IF(BetTable[Outcome]="Lose",0,IF(BetTable[Outcome]="Void",BetTable[Stake],)))))</f>
        <v>0</v>
      </c>
      <c r="AG1386" s="257">
        <f>IF(BetTable[Outcome2]="Win",BetTable[WBA2-Commission],IF(BetTable[Outcome2]="Win Half Stake",(BetTable[S2]/2)+BetTable[WBA2-Commission]/2,IF(BetTable[Outcome2]="Lose Half Stake",BetTable[S2]/2,IF(BetTable[Outcome2]="Lose",0,IF(BetTable[Outcome2]="Void",BetTable[S2],)))))</f>
        <v>0</v>
      </c>
      <c r="AH1386" s="257">
        <f>IF(BetTable[Outcome3]="Win",BetTable[WBA3-Commission],IF(BetTable[Outcome3]="Win Half Stake",(BetTable[S3]/2)+BetTable[WBA3-Commission]/2,IF(BetTable[Outcome3]="Lose Half Stake",BetTable[S3]/2,IF(BetTable[Outcome3]="Lose",0,IF(BetTable[Outcome3]="Void",BetTable[S3],)))))</f>
        <v>0</v>
      </c>
      <c r="AI1386" s="261">
        <f>IF(BetTable[Outcome]="",AI1385,BetTable[Result]+AI1385)</f>
        <v>2520.3817499999996</v>
      </c>
      <c r="AJ1386" s="253"/>
    </row>
    <row r="1387" spans="1:36" x14ac:dyDescent="0.2">
      <c r="A1387" s="252" t="s">
        <v>3324</v>
      </c>
      <c r="B1387" s="253" t="s">
        <v>9</v>
      </c>
      <c r="C1387" s="254" t="s">
        <v>216</v>
      </c>
      <c r="D1387" s="254"/>
      <c r="E1387" s="254"/>
      <c r="F1387" s="255"/>
      <c r="G1387" s="255"/>
      <c r="H1387" s="255"/>
      <c r="I1387" s="253" t="s">
        <v>3332</v>
      </c>
      <c r="J1387" s="256">
        <v>2.58</v>
      </c>
      <c r="K1387" s="256"/>
      <c r="L1387" s="256"/>
      <c r="M1387" s="257">
        <v>30</v>
      </c>
      <c r="N1387" s="257"/>
      <c r="O1387" s="257"/>
      <c r="P1387" s="252" t="s">
        <v>1044</v>
      </c>
      <c r="Q1387" s="252" t="s">
        <v>773</v>
      </c>
      <c r="R1387" s="252" t="s">
        <v>3333</v>
      </c>
      <c r="S1387" s="258">
        <v>2.7995816547877202E-2</v>
      </c>
      <c r="T1387" s="259" t="s">
        <v>382</v>
      </c>
      <c r="U1387" s="259"/>
      <c r="V1387" s="259"/>
      <c r="W1387" s="260">
        <f>IF(BetTable[Sport]="","",BetTable[Stake]+BetTable[S2]+BetTable[S3])</f>
        <v>30</v>
      </c>
      <c r="X1387" s="257">
        <f>IF(BetTable[Odds]="","",(BetTable[WBA1-Commission])-BetTable[TS])</f>
        <v>47.400000000000006</v>
      </c>
      <c r="Y1387" s="261">
        <f>IF(BetTable[Outcome]="","",BetTable[WBA1]+BetTable[WBA2]+BetTable[WBA3]-BetTable[TS])</f>
        <v>-30</v>
      </c>
      <c r="Z1387" s="257">
        <f>(((BetTable[Odds]-1)*BetTable[Stake])*(1-(BetTable[Comm %]))+BetTable[Stake])</f>
        <v>77.400000000000006</v>
      </c>
      <c r="AA1387" s="257">
        <f>(((BetTable[O2]-1)*BetTable[S2])*(1-(BetTable[C% 2]))+BetTable[S2])</f>
        <v>0</v>
      </c>
      <c r="AB1387" s="257">
        <f>(((BetTable[O3]-1)*BetTable[S3])*(1-(BetTable[C% 3]))+BetTable[S3])</f>
        <v>0</v>
      </c>
      <c r="AC1387" s="258">
        <f>IFERROR(IF(BetTable[Sport]="","",BetTable[R1]/BetTable[TS]),"")</f>
        <v>1.5800000000000003</v>
      </c>
      <c r="AD1387" s="258" t="str">
        <f>IF(BetTable[O2]="","",#REF!/BetTable[TS])</f>
        <v/>
      </c>
      <c r="AE1387" s="258" t="str">
        <f>IFERROR(IF(BetTable[Sport]="","",#REF!/BetTable[TS]),"")</f>
        <v/>
      </c>
      <c r="AF1387" s="257">
        <f>IF(BetTable[Outcome]="Win",BetTable[WBA1-Commission],IF(BetTable[Outcome]="Win Half Stake",(BetTable[Stake]/2)+BetTable[WBA1-Commission]/2,IF(BetTable[Outcome]="Lose Half Stake",BetTable[Stake]/2,IF(BetTable[Outcome]="Lose",0,IF(BetTable[Outcome]="Void",BetTable[Stake],)))))</f>
        <v>0</v>
      </c>
      <c r="AG1387" s="257">
        <f>IF(BetTable[Outcome2]="Win",BetTable[WBA2-Commission],IF(BetTable[Outcome2]="Win Half Stake",(BetTable[S2]/2)+BetTable[WBA2-Commission]/2,IF(BetTable[Outcome2]="Lose Half Stake",BetTable[S2]/2,IF(BetTable[Outcome2]="Lose",0,IF(BetTable[Outcome2]="Void",BetTable[S2],)))))</f>
        <v>0</v>
      </c>
      <c r="AH1387" s="257">
        <f>IF(BetTable[Outcome3]="Win",BetTable[WBA3-Commission],IF(BetTable[Outcome3]="Win Half Stake",(BetTable[S3]/2)+BetTable[WBA3-Commission]/2,IF(BetTable[Outcome3]="Lose Half Stake",BetTable[S3]/2,IF(BetTable[Outcome3]="Lose",0,IF(BetTable[Outcome3]="Void",BetTable[S3],)))))</f>
        <v>0</v>
      </c>
      <c r="AI1387" s="261">
        <f>IF(BetTable[Outcome]="",AI1386,BetTable[Result]+AI1386)</f>
        <v>2490.3817499999996</v>
      </c>
      <c r="AJ1387" s="253"/>
    </row>
    <row r="1388" spans="1:36" x14ac:dyDescent="0.2">
      <c r="A1388" s="252" t="s">
        <v>3324</v>
      </c>
      <c r="B1388" s="253" t="s">
        <v>7</v>
      </c>
      <c r="C1388" s="254" t="s">
        <v>91</v>
      </c>
      <c r="D1388" s="254"/>
      <c r="E1388" s="254"/>
      <c r="F1388" s="255"/>
      <c r="G1388" s="255"/>
      <c r="H1388" s="255"/>
      <c r="I1388" s="253" t="s">
        <v>3232</v>
      </c>
      <c r="J1388" s="256">
        <v>2.17</v>
      </c>
      <c r="K1388" s="256"/>
      <c r="L1388" s="256"/>
      <c r="M1388" s="257">
        <v>36</v>
      </c>
      <c r="N1388" s="257"/>
      <c r="O1388" s="257"/>
      <c r="P1388" s="252" t="s">
        <v>2317</v>
      </c>
      <c r="Q1388" s="252" t="s">
        <v>540</v>
      </c>
      <c r="R1388" s="252" t="s">
        <v>3334</v>
      </c>
      <c r="S1388" s="258">
        <v>2.1503176598486801E-2</v>
      </c>
      <c r="T1388" s="259" t="s">
        <v>372</v>
      </c>
      <c r="U1388" s="259"/>
      <c r="V1388" s="259"/>
      <c r="W1388" s="260">
        <f>IF(BetTable[Sport]="","",BetTable[Stake]+BetTable[S2]+BetTable[S3])</f>
        <v>36</v>
      </c>
      <c r="X1388" s="257">
        <f>IF(BetTable[Odds]="","",(BetTable[WBA1-Commission])-BetTable[TS])</f>
        <v>42.120000000000005</v>
      </c>
      <c r="Y1388" s="261">
        <f>IF(BetTable[Outcome]="","",BetTable[WBA1]+BetTable[WBA2]+BetTable[WBA3]-BetTable[TS])</f>
        <v>42.120000000000005</v>
      </c>
      <c r="Z1388" s="257">
        <f>(((BetTable[Odds]-1)*BetTable[Stake])*(1-(BetTable[Comm %]))+BetTable[Stake])</f>
        <v>78.12</v>
      </c>
      <c r="AA1388" s="257">
        <f>(((BetTable[O2]-1)*BetTable[S2])*(1-(BetTable[C% 2]))+BetTable[S2])</f>
        <v>0</v>
      </c>
      <c r="AB1388" s="257">
        <f>(((BetTable[O3]-1)*BetTable[S3])*(1-(BetTable[C% 3]))+BetTable[S3])</f>
        <v>0</v>
      </c>
      <c r="AC1388" s="258">
        <f>IFERROR(IF(BetTable[Sport]="","",BetTable[R1]/BetTable[TS]),"")</f>
        <v>1.1700000000000002</v>
      </c>
      <c r="AD1388" s="258" t="str">
        <f>IF(BetTable[O2]="","",#REF!/BetTable[TS])</f>
        <v/>
      </c>
      <c r="AE1388" s="258" t="str">
        <f>IFERROR(IF(BetTable[Sport]="","",#REF!/BetTable[TS]),"")</f>
        <v/>
      </c>
      <c r="AF1388" s="257">
        <f>IF(BetTable[Outcome]="Win",BetTable[WBA1-Commission],IF(BetTable[Outcome]="Win Half Stake",(BetTable[Stake]/2)+BetTable[WBA1-Commission]/2,IF(BetTable[Outcome]="Lose Half Stake",BetTable[Stake]/2,IF(BetTable[Outcome]="Lose",0,IF(BetTable[Outcome]="Void",BetTable[Stake],)))))</f>
        <v>78.12</v>
      </c>
      <c r="AG1388" s="257">
        <f>IF(BetTable[Outcome2]="Win",BetTable[WBA2-Commission],IF(BetTable[Outcome2]="Win Half Stake",(BetTable[S2]/2)+BetTable[WBA2-Commission]/2,IF(BetTable[Outcome2]="Lose Half Stake",BetTable[S2]/2,IF(BetTable[Outcome2]="Lose",0,IF(BetTable[Outcome2]="Void",BetTable[S2],)))))</f>
        <v>0</v>
      </c>
      <c r="AH1388" s="257">
        <f>IF(BetTable[Outcome3]="Win",BetTable[WBA3-Commission],IF(BetTable[Outcome3]="Win Half Stake",(BetTable[S3]/2)+BetTable[WBA3-Commission]/2,IF(BetTable[Outcome3]="Lose Half Stake",BetTable[S3]/2,IF(BetTable[Outcome3]="Lose",0,IF(BetTable[Outcome3]="Void",BetTable[S3],)))))</f>
        <v>0</v>
      </c>
      <c r="AI1388" s="261">
        <f>IF(BetTable[Outcome]="",AI1387,BetTable[Result]+AI1387)</f>
        <v>2532.5017499999994</v>
      </c>
      <c r="AJ1388" s="253"/>
    </row>
    <row r="1389" spans="1:36" x14ac:dyDescent="0.2">
      <c r="A1389" s="252" t="s">
        <v>3324</v>
      </c>
      <c r="B1389" s="253" t="s">
        <v>9</v>
      </c>
      <c r="C1389" s="254" t="s">
        <v>91</v>
      </c>
      <c r="D1389" s="254"/>
      <c r="E1389" s="254"/>
      <c r="F1389" s="255"/>
      <c r="G1389" s="255"/>
      <c r="H1389" s="255"/>
      <c r="I1389" s="253" t="s">
        <v>3335</v>
      </c>
      <c r="J1389" s="256">
        <v>1.8</v>
      </c>
      <c r="K1389" s="256"/>
      <c r="L1389" s="256"/>
      <c r="M1389" s="257">
        <v>59</v>
      </c>
      <c r="N1389" s="257"/>
      <c r="O1389" s="257"/>
      <c r="P1389" s="252" t="s">
        <v>1041</v>
      </c>
      <c r="Q1389" s="252" t="s">
        <v>485</v>
      </c>
      <c r="R1389" s="252" t="s">
        <v>3336</v>
      </c>
      <c r="S1389" s="258">
        <v>2.4224442178893999E-2</v>
      </c>
      <c r="T1389" s="259" t="s">
        <v>383</v>
      </c>
      <c r="U1389" s="259"/>
      <c r="V1389" s="259"/>
      <c r="W1389" s="260">
        <f>IF(BetTable[Sport]="","",BetTable[Stake]+BetTable[S2]+BetTable[S3])</f>
        <v>59</v>
      </c>
      <c r="X1389" s="257">
        <f>IF(BetTable[Odds]="","",(BetTable[WBA1-Commission])-BetTable[TS])</f>
        <v>47.2</v>
      </c>
      <c r="Y1389" s="261">
        <f>IF(BetTable[Outcome]="","",BetTable[WBA1]+BetTable[WBA2]+BetTable[WBA3]-BetTable[TS])</f>
        <v>0</v>
      </c>
      <c r="Z1389" s="257">
        <f>(((BetTable[Odds]-1)*BetTable[Stake])*(1-(BetTable[Comm %]))+BetTable[Stake])</f>
        <v>106.2</v>
      </c>
      <c r="AA1389" s="257">
        <f>(((BetTable[O2]-1)*BetTable[S2])*(1-(BetTable[C% 2]))+BetTable[S2])</f>
        <v>0</v>
      </c>
      <c r="AB1389" s="257">
        <f>(((BetTable[O3]-1)*BetTable[S3])*(1-(BetTable[C% 3]))+BetTable[S3])</f>
        <v>0</v>
      </c>
      <c r="AC1389" s="258">
        <f>IFERROR(IF(BetTable[Sport]="","",BetTable[R1]/BetTable[TS]),"")</f>
        <v>0.8</v>
      </c>
      <c r="AD1389" s="258" t="str">
        <f>IF(BetTable[O2]="","",#REF!/BetTable[TS])</f>
        <v/>
      </c>
      <c r="AE1389" s="258" t="str">
        <f>IFERROR(IF(BetTable[Sport]="","",#REF!/BetTable[TS]),"")</f>
        <v/>
      </c>
      <c r="AF1389" s="257">
        <f>IF(BetTable[Outcome]="Win",BetTable[WBA1-Commission],IF(BetTable[Outcome]="Win Half Stake",(BetTable[Stake]/2)+BetTable[WBA1-Commission]/2,IF(BetTable[Outcome]="Lose Half Stake",BetTable[Stake]/2,IF(BetTable[Outcome]="Lose",0,IF(BetTable[Outcome]="Void",BetTable[Stake],)))))</f>
        <v>59</v>
      </c>
      <c r="AG1389" s="257">
        <f>IF(BetTable[Outcome2]="Win",BetTable[WBA2-Commission],IF(BetTable[Outcome2]="Win Half Stake",(BetTable[S2]/2)+BetTable[WBA2-Commission]/2,IF(BetTable[Outcome2]="Lose Half Stake",BetTable[S2]/2,IF(BetTable[Outcome2]="Lose",0,IF(BetTable[Outcome2]="Void",BetTable[S2],)))))</f>
        <v>0</v>
      </c>
      <c r="AH1389" s="257">
        <f>IF(BetTable[Outcome3]="Win",BetTable[WBA3-Commission],IF(BetTable[Outcome3]="Win Half Stake",(BetTable[S3]/2)+BetTable[WBA3-Commission]/2,IF(BetTable[Outcome3]="Lose Half Stake",BetTable[S3]/2,IF(BetTable[Outcome3]="Lose",0,IF(BetTable[Outcome3]="Void",BetTable[S3],)))))</f>
        <v>0</v>
      </c>
      <c r="AI1389" s="261">
        <f>IF(BetTable[Outcome]="",AI1388,BetTable[Result]+AI1388)</f>
        <v>2532.5017499999994</v>
      </c>
      <c r="AJ1389" s="253"/>
    </row>
    <row r="1390" spans="1:36" x14ac:dyDescent="0.2">
      <c r="A1390" s="252" t="s">
        <v>3324</v>
      </c>
      <c r="B1390" s="253" t="s">
        <v>7</v>
      </c>
      <c r="C1390" s="254" t="s">
        <v>91</v>
      </c>
      <c r="D1390" s="254"/>
      <c r="E1390" s="254"/>
      <c r="F1390" s="255"/>
      <c r="G1390" s="255"/>
      <c r="H1390" s="255"/>
      <c r="I1390" s="253" t="s">
        <v>3337</v>
      </c>
      <c r="J1390" s="256">
        <v>2.06</v>
      </c>
      <c r="K1390" s="256"/>
      <c r="L1390" s="256"/>
      <c r="M1390" s="257">
        <v>55</v>
      </c>
      <c r="N1390" s="257"/>
      <c r="O1390" s="257"/>
      <c r="P1390" s="252" t="s">
        <v>1509</v>
      </c>
      <c r="Q1390" s="252" t="s">
        <v>482</v>
      </c>
      <c r="R1390" s="252" t="s">
        <v>3338</v>
      </c>
      <c r="S1390" s="258">
        <v>0.03</v>
      </c>
      <c r="T1390" s="259" t="s">
        <v>372</v>
      </c>
      <c r="U1390" s="259"/>
      <c r="V1390" s="259"/>
      <c r="W1390" s="260">
        <f>IF(BetTable[Sport]="","",BetTable[Stake]+BetTable[S2]+BetTable[S3])</f>
        <v>55</v>
      </c>
      <c r="X1390" s="257">
        <f>IF(BetTable[Odds]="","",(BetTable[WBA1-Commission])-BetTable[TS])</f>
        <v>58.300000000000011</v>
      </c>
      <c r="Y1390" s="261">
        <f>IF(BetTable[Outcome]="","",BetTable[WBA1]+BetTable[WBA2]+BetTable[WBA3]-BetTable[TS])</f>
        <v>58.300000000000011</v>
      </c>
      <c r="Z1390" s="257">
        <f>(((BetTable[Odds]-1)*BetTable[Stake])*(1-(BetTable[Comm %]))+BetTable[Stake])</f>
        <v>113.30000000000001</v>
      </c>
      <c r="AA1390" s="257">
        <f>(((BetTable[O2]-1)*BetTable[S2])*(1-(BetTable[C% 2]))+BetTable[S2])</f>
        <v>0</v>
      </c>
      <c r="AB1390" s="257">
        <f>(((BetTable[O3]-1)*BetTable[S3])*(1-(BetTable[C% 3]))+BetTable[S3])</f>
        <v>0</v>
      </c>
      <c r="AC1390" s="258">
        <f>IFERROR(IF(BetTable[Sport]="","",BetTable[R1]/BetTable[TS]),"")</f>
        <v>1.0600000000000003</v>
      </c>
      <c r="AD1390" s="258" t="str">
        <f>IF(BetTable[O2]="","",#REF!/BetTable[TS])</f>
        <v/>
      </c>
      <c r="AE1390" s="258" t="str">
        <f>IFERROR(IF(BetTable[Sport]="","",#REF!/BetTable[TS]),"")</f>
        <v/>
      </c>
      <c r="AF1390" s="257">
        <f>IF(BetTable[Outcome]="Win",BetTable[WBA1-Commission],IF(BetTable[Outcome]="Win Half Stake",(BetTable[Stake]/2)+BetTable[WBA1-Commission]/2,IF(BetTable[Outcome]="Lose Half Stake",BetTable[Stake]/2,IF(BetTable[Outcome]="Lose",0,IF(BetTable[Outcome]="Void",BetTable[Stake],)))))</f>
        <v>113.30000000000001</v>
      </c>
      <c r="AG1390" s="257">
        <f>IF(BetTable[Outcome2]="Win",BetTable[WBA2-Commission],IF(BetTable[Outcome2]="Win Half Stake",(BetTable[S2]/2)+BetTable[WBA2-Commission]/2,IF(BetTable[Outcome2]="Lose Half Stake",BetTable[S2]/2,IF(BetTable[Outcome2]="Lose",0,IF(BetTable[Outcome2]="Void",BetTable[S2],)))))</f>
        <v>0</v>
      </c>
      <c r="AH1390" s="257">
        <f>IF(BetTable[Outcome3]="Win",BetTable[WBA3-Commission],IF(BetTable[Outcome3]="Win Half Stake",(BetTable[S3]/2)+BetTable[WBA3-Commission]/2,IF(BetTable[Outcome3]="Lose Half Stake",BetTable[S3]/2,IF(BetTable[Outcome3]="Lose",0,IF(BetTable[Outcome3]="Void",BetTable[S3],)))))</f>
        <v>0</v>
      </c>
      <c r="AI1390" s="261">
        <f>IF(BetTable[Outcome]="",AI1389,BetTable[Result]+AI1389)</f>
        <v>2590.8017499999996</v>
      </c>
      <c r="AJ1390" s="253"/>
    </row>
    <row r="1391" spans="1:36" x14ac:dyDescent="0.2">
      <c r="A1391" s="252" t="s">
        <v>3324</v>
      </c>
      <c r="B1391" s="253" t="s">
        <v>7</v>
      </c>
      <c r="C1391" s="254" t="s">
        <v>1714</v>
      </c>
      <c r="D1391" s="254"/>
      <c r="E1391" s="254"/>
      <c r="F1391" s="255"/>
      <c r="G1391" s="255"/>
      <c r="H1391" s="255"/>
      <c r="I1391" s="253" t="s">
        <v>3339</v>
      </c>
      <c r="J1391" s="256">
        <v>2.08</v>
      </c>
      <c r="K1391" s="256"/>
      <c r="L1391" s="256"/>
      <c r="M1391" s="257">
        <v>37</v>
      </c>
      <c r="N1391" s="257"/>
      <c r="O1391" s="257"/>
      <c r="P1391" s="252" t="s">
        <v>3099</v>
      </c>
      <c r="Q1391" s="252" t="s">
        <v>3340</v>
      </c>
      <c r="R1391" s="252" t="s">
        <v>3341</v>
      </c>
      <c r="S1391" s="258">
        <v>2.0762529660517001E-2</v>
      </c>
      <c r="T1391" s="259" t="s">
        <v>382</v>
      </c>
      <c r="U1391" s="259"/>
      <c r="V1391" s="259"/>
      <c r="W1391" s="260">
        <f>IF(BetTable[Sport]="","",BetTable[Stake]+BetTable[S2]+BetTable[S3])</f>
        <v>37</v>
      </c>
      <c r="X1391" s="257">
        <f>IF(BetTable[Odds]="","",(BetTable[WBA1-Commission])-BetTable[TS])</f>
        <v>39.960000000000008</v>
      </c>
      <c r="Y1391" s="261">
        <f>IF(BetTable[Outcome]="","",BetTable[WBA1]+BetTable[WBA2]+BetTable[WBA3]-BetTable[TS])</f>
        <v>-37</v>
      </c>
      <c r="Z1391" s="257">
        <f>(((BetTable[Odds]-1)*BetTable[Stake])*(1-(BetTable[Comm %]))+BetTable[Stake])</f>
        <v>76.960000000000008</v>
      </c>
      <c r="AA1391" s="257">
        <f>(((BetTable[O2]-1)*BetTable[S2])*(1-(BetTable[C% 2]))+BetTable[S2])</f>
        <v>0</v>
      </c>
      <c r="AB1391" s="257">
        <f>(((BetTable[O3]-1)*BetTable[S3])*(1-(BetTable[C% 3]))+BetTable[S3])</f>
        <v>0</v>
      </c>
      <c r="AC1391" s="258">
        <f>IFERROR(IF(BetTable[Sport]="","",BetTable[R1]/BetTable[TS]),"")</f>
        <v>1.0800000000000003</v>
      </c>
      <c r="AD1391" s="258" t="str">
        <f>IF(BetTable[O2]="","",#REF!/BetTable[TS])</f>
        <v/>
      </c>
      <c r="AE1391" s="258" t="str">
        <f>IFERROR(IF(BetTable[Sport]="","",#REF!/BetTable[TS]),"")</f>
        <v/>
      </c>
      <c r="AF1391" s="257">
        <f>IF(BetTable[Outcome]="Win",BetTable[WBA1-Commission],IF(BetTable[Outcome]="Win Half Stake",(BetTable[Stake]/2)+BetTable[WBA1-Commission]/2,IF(BetTable[Outcome]="Lose Half Stake",BetTable[Stake]/2,IF(BetTable[Outcome]="Lose",0,IF(BetTable[Outcome]="Void",BetTable[Stake],)))))</f>
        <v>0</v>
      </c>
      <c r="AG1391" s="257">
        <f>IF(BetTable[Outcome2]="Win",BetTable[WBA2-Commission],IF(BetTable[Outcome2]="Win Half Stake",(BetTable[S2]/2)+BetTable[WBA2-Commission]/2,IF(BetTable[Outcome2]="Lose Half Stake",BetTable[S2]/2,IF(BetTable[Outcome2]="Lose",0,IF(BetTable[Outcome2]="Void",BetTable[S2],)))))</f>
        <v>0</v>
      </c>
      <c r="AH1391" s="257">
        <f>IF(BetTable[Outcome3]="Win",BetTable[WBA3-Commission],IF(BetTable[Outcome3]="Win Half Stake",(BetTable[S3]/2)+BetTable[WBA3-Commission]/2,IF(BetTable[Outcome3]="Lose Half Stake",BetTable[S3]/2,IF(BetTable[Outcome3]="Lose",0,IF(BetTable[Outcome3]="Void",BetTable[S3],)))))</f>
        <v>0</v>
      </c>
      <c r="AI1391" s="261">
        <f>IF(BetTable[Outcome]="",AI1390,BetTable[Result]+AI1390)</f>
        <v>2553.8017499999996</v>
      </c>
      <c r="AJ1391" s="253"/>
    </row>
    <row r="1392" spans="1:36" x14ac:dyDescent="0.2">
      <c r="A1392" s="252" t="s">
        <v>3324</v>
      </c>
      <c r="B1392" s="253" t="s">
        <v>200</v>
      </c>
      <c r="C1392" s="254" t="s">
        <v>1714</v>
      </c>
      <c r="D1392" s="254"/>
      <c r="E1392" s="254"/>
      <c r="F1392" s="255"/>
      <c r="G1392" s="255"/>
      <c r="H1392" s="255"/>
      <c r="I1392" s="253" t="s">
        <v>3342</v>
      </c>
      <c r="J1392" s="256">
        <v>1.87</v>
      </c>
      <c r="K1392" s="256"/>
      <c r="L1392" s="256"/>
      <c r="M1392" s="257">
        <v>38</v>
      </c>
      <c r="N1392" s="257"/>
      <c r="O1392" s="257"/>
      <c r="P1392" s="252" t="s">
        <v>646</v>
      </c>
      <c r="Q1392" s="252" t="s">
        <v>1768</v>
      </c>
      <c r="R1392" s="252" t="s">
        <v>3343</v>
      </c>
      <c r="S1392" s="258">
        <v>1.7068451909699099E-2</v>
      </c>
      <c r="T1392" s="259" t="s">
        <v>549</v>
      </c>
      <c r="U1392" s="259"/>
      <c r="V1392" s="259"/>
      <c r="W1392" s="260">
        <f>IF(BetTable[Sport]="","",BetTable[Stake]+BetTable[S2]+BetTable[S3])</f>
        <v>38</v>
      </c>
      <c r="X1392" s="257">
        <f>IF(BetTable[Odds]="","",(BetTable[WBA1-Commission])-BetTable[TS])</f>
        <v>33.06</v>
      </c>
      <c r="Y1392" s="261">
        <f>IF(BetTable[Outcome]="","",BetTable[WBA1]+BetTable[WBA2]+BetTable[WBA3]-BetTable[TS])</f>
        <v>-19</v>
      </c>
      <c r="Z1392" s="257">
        <f>(((BetTable[Odds]-1)*BetTable[Stake])*(1-(BetTable[Comm %]))+BetTable[Stake])</f>
        <v>71.06</v>
      </c>
      <c r="AA1392" s="257">
        <f>(((BetTable[O2]-1)*BetTable[S2])*(1-(BetTable[C% 2]))+BetTable[S2])</f>
        <v>0</v>
      </c>
      <c r="AB1392" s="257">
        <f>(((BetTable[O3]-1)*BetTable[S3])*(1-(BetTable[C% 3]))+BetTable[S3])</f>
        <v>0</v>
      </c>
      <c r="AC1392" s="258">
        <f>IFERROR(IF(BetTable[Sport]="","",BetTable[R1]/BetTable[TS]),"")</f>
        <v>0.87000000000000011</v>
      </c>
      <c r="AD1392" s="258" t="str">
        <f>IF(BetTable[O2]="","",#REF!/BetTable[TS])</f>
        <v/>
      </c>
      <c r="AE1392" s="258" t="str">
        <f>IFERROR(IF(BetTable[Sport]="","",#REF!/BetTable[TS]),"")</f>
        <v/>
      </c>
      <c r="AF1392" s="257">
        <f>IF(BetTable[Outcome]="Win",BetTable[WBA1-Commission],IF(BetTable[Outcome]="Win Half Stake",(BetTable[Stake]/2)+BetTable[WBA1-Commission]/2,IF(BetTable[Outcome]="Lose Half Stake",BetTable[Stake]/2,IF(BetTable[Outcome]="Lose",0,IF(BetTable[Outcome]="Void",BetTable[Stake],)))))</f>
        <v>19</v>
      </c>
      <c r="AG1392" s="257">
        <f>IF(BetTable[Outcome2]="Win",BetTable[WBA2-Commission],IF(BetTable[Outcome2]="Win Half Stake",(BetTable[S2]/2)+BetTable[WBA2-Commission]/2,IF(BetTable[Outcome2]="Lose Half Stake",BetTable[S2]/2,IF(BetTable[Outcome2]="Lose",0,IF(BetTable[Outcome2]="Void",BetTable[S2],)))))</f>
        <v>0</v>
      </c>
      <c r="AH1392" s="257">
        <f>IF(BetTable[Outcome3]="Win",BetTable[WBA3-Commission],IF(BetTable[Outcome3]="Win Half Stake",(BetTable[S3]/2)+BetTable[WBA3-Commission]/2,IF(BetTable[Outcome3]="Lose Half Stake",BetTable[S3]/2,IF(BetTable[Outcome3]="Lose",0,IF(BetTable[Outcome3]="Void",BetTable[S3],)))))</f>
        <v>0</v>
      </c>
      <c r="AI1392" s="261">
        <f>IF(BetTable[Outcome]="",AI1391,BetTable[Result]+AI1391)</f>
        <v>2534.8017499999996</v>
      </c>
      <c r="AJ1392" s="253"/>
    </row>
    <row r="1393" spans="1:36" x14ac:dyDescent="0.2">
      <c r="A1393" s="252" t="s">
        <v>3324</v>
      </c>
      <c r="B1393" s="253" t="s">
        <v>7</v>
      </c>
      <c r="C1393" s="254" t="s">
        <v>91</v>
      </c>
      <c r="D1393" s="254"/>
      <c r="E1393" s="254"/>
      <c r="F1393" s="255"/>
      <c r="G1393" s="255"/>
      <c r="H1393" s="255"/>
      <c r="I1393" s="253" t="s">
        <v>3344</v>
      </c>
      <c r="J1393" s="256">
        <v>1.94</v>
      </c>
      <c r="K1393" s="256"/>
      <c r="L1393" s="256"/>
      <c r="M1393" s="257">
        <v>64</v>
      </c>
      <c r="N1393" s="257"/>
      <c r="O1393" s="257"/>
      <c r="P1393" s="252" t="s">
        <v>3345</v>
      </c>
      <c r="Q1393" s="252" t="s">
        <v>1209</v>
      </c>
      <c r="R1393" s="252" t="s">
        <v>3346</v>
      </c>
      <c r="S1393" s="258">
        <v>4.7036259872181303E-2</v>
      </c>
      <c r="T1393" s="259" t="s">
        <v>382</v>
      </c>
      <c r="U1393" s="259"/>
      <c r="V1393" s="259"/>
      <c r="W1393" s="260">
        <f>IF(BetTable[Sport]="","",BetTable[Stake]+BetTable[S2]+BetTable[S3])</f>
        <v>64</v>
      </c>
      <c r="X1393" s="257">
        <f>IF(BetTable[Odds]="","",(BetTable[WBA1-Commission])-BetTable[TS])</f>
        <v>60.16</v>
      </c>
      <c r="Y1393" s="261">
        <f>IF(BetTable[Outcome]="","",BetTable[WBA1]+BetTable[WBA2]+BetTable[WBA3]-BetTable[TS])</f>
        <v>-64</v>
      </c>
      <c r="Z1393" s="257">
        <f>(((BetTable[Odds]-1)*BetTable[Stake])*(1-(BetTable[Comm %]))+BetTable[Stake])</f>
        <v>124.16</v>
      </c>
      <c r="AA1393" s="257">
        <f>(((BetTable[O2]-1)*BetTable[S2])*(1-(BetTable[C% 2]))+BetTable[S2])</f>
        <v>0</v>
      </c>
      <c r="AB1393" s="257">
        <f>(((BetTable[O3]-1)*BetTable[S3])*(1-(BetTable[C% 3]))+BetTable[S3])</f>
        <v>0</v>
      </c>
      <c r="AC1393" s="258">
        <f>IFERROR(IF(BetTable[Sport]="","",BetTable[R1]/BetTable[TS]),"")</f>
        <v>0.94</v>
      </c>
      <c r="AD1393" s="258" t="str">
        <f>IF(BetTable[O2]="","",#REF!/BetTable[TS])</f>
        <v/>
      </c>
      <c r="AE1393" s="258" t="str">
        <f>IFERROR(IF(BetTable[Sport]="","",#REF!/BetTable[TS]),"")</f>
        <v/>
      </c>
      <c r="AF1393" s="257">
        <f>IF(BetTable[Outcome]="Win",BetTable[WBA1-Commission],IF(BetTable[Outcome]="Win Half Stake",(BetTable[Stake]/2)+BetTable[WBA1-Commission]/2,IF(BetTable[Outcome]="Lose Half Stake",BetTable[Stake]/2,IF(BetTable[Outcome]="Lose",0,IF(BetTable[Outcome]="Void",BetTable[Stake],)))))</f>
        <v>0</v>
      </c>
      <c r="AG1393" s="257">
        <f>IF(BetTable[Outcome2]="Win",BetTable[WBA2-Commission],IF(BetTable[Outcome2]="Win Half Stake",(BetTable[S2]/2)+BetTable[WBA2-Commission]/2,IF(BetTable[Outcome2]="Lose Half Stake",BetTable[S2]/2,IF(BetTable[Outcome2]="Lose",0,IF(BetTable[Outcome2]="Void",BetTable[S2],)))))</f>
        <v>0</v>
      </c>
      <c r="AH1393" s="257">
        <f>IF(BetTable[Outcome3]="Win",BetTable[WBA3-Commission],IF(BetTable[Outcome3]="Win Half Stake",(BetTable[S3]/2)+BetTable[WBA3-Commission]/2,IF(BetTable[Outcome3]="Lose Half Stake",BetTable[S3]/2,IF(BetTable[Outcome3]="Lose",0,IF(BetTable[Outcome3]="Void",BetTable[S3],)))))</f>
        <v>0</v>
      </c>
      <c r="AI1393" s="261">
        <f>IF(BetTable[Outcome]="",AI1392,BetTable[Result]+AI1392)</f>
        <v>2470.8017499999996</v>
      </c>
      <c r="AJ1393" s="253"/>
    </row>
    <row r="1394" spans="1:36" x14ac:dyDescent="0.2">
      <c r="A1394" s="252" t="s">
        <v>3324</v>
      </c>
      <c r="B1394" s="253" t="s">
        <v>7</v>
      </c>
      <c r="C1394" s="254" t="s">
        <v>91</v>
      </c>
      <c r="D1394" s="254"/>
      <c r="E1394" s="254"/>
      <c r="F1394" s="255"/>
      <c r="G1394" s="255"/>
      <c r="H1394" s="255"/>
      <c r="I1394" s="253" t="s">
        <v>3347</v>
      </c>
      <c r="J1394" s="256">
        <v>1.86</v>
      </c>
      <c r="K1394" s="256"/>
      <c r="L1394" s="256"/>
      <c r="M1394" s="257">
        <v>55</v>
      </c>
      <c r="N1394" s="257"/>
      <c r="O1394" s="257"/>
      <c r="P1394" s="252" t="s">
        <v>3039</v>
      </c>
      <c r="Q1394" s="252" t="s">
        <v>530</v>
      </c>
      <c r="R1394" s="252" t="s">
        <v>3348</v>
      </c>
      <c r="S1394" s="258">
        <v>2.42446803838011E-2</v>
      </c>
      <c r="T1394" s="259" t="s">
        <v>382</v>
      </c>
      <c r="U1394" s="259"/>
      <c r="V1394" s="259"/>
      <c r="W1394" s="260">
        <f>IF(BetTable[Sport]="","",BetTable[Stake]+BetTable[S2]+BetTable[S3])</f>
        <v>55</v>
      </c>
      <c r="X1394" s="257">
        <f>IF(BetTable[Odds]="","",(BetTable[WBA1-Commission])-BetTable[TS])</f>
        <v>47.300000000000011</v>
      </c>
      <c r="Y1394" s="261">
        <f>IF(BetTable[Outcome]="","",BetTable[WBA1]+BetTable[WBA2]+BetTable[WBA3]-BetTable[TS])</f>
        <v>-55</v>
      </c>
      <c r="Z1394" s="257">
        <f>(((BetTable[Odds]-1)*BetTable[Stake])*(1-(BetTable[Comm %]))+BetTable[Stake])</f>
        <v>102.30000000000001</v>
      </c>
      <c r="AA1394" s="257">
        <f>(((BetTable[O2]-1)*BetTable[S2])*(1-(BetTable[C% 2]))+BetTable[S2])</f>
        <v>0</v>
      </c>
      <c r="AB1394" s="257">
        <f>(((BetTable[O3]-1)*BetTable[S3])*(1-(BetTable[C% 3]))+BetTable[S3])</f>
        <v>0</v>
      </c>
      <c r="AC1394" s="258">
        <f>IFERROR(IF(BetTable[Sport]="","",BetTable[R1]/BetTable[TS]),"")</f>
        <v>0.86000000000000021</v>
      </c>
      <c r="AD1394" s="258" t="str">
        <f>IF(BetTable[O2]="","",#REF!/BetTable[TS])</f>
        <v/>
      </c>
      <c r="AE1394" s="258" t="str">
        <f>IFERROR(IF(BetTable[Sport]="","",#REF!/BetTable[TS]),"")</f>
        <v/>
      </c>
      <c r="AF1394" s="257">
        <f>IF(BetTable[Outcome]="Win",BetTable[WBA1-Commission],IF(BetTable[Outcome]="Win Half Stake",(BetTable[Stake]/2)+BetTable[WBA1-Commission]/2,IF(BetTable[Outcome]="Lose Half Stake",BetTable[Stake]/2,IF(BetTable[Outcome]="Lose",0,IF(BetTable[Outcome]="Void",BetTable[Stake],)))))</f>
        <v>0</v>
      </c>
      <c r="AG1394" s="257">
        <f>IF(BetTable[Outcome2]="Win",BetTable[WBA2-Commission],IF(BetTable[Outcome2]="Win Half Stake",(BetTable[S2]/2)+BetTable[WBA2-Commission]/2,IF(BetTable[Outcome2]="Lose Half Stake",BetTable[S2]/2,IF(BetTable[Outcome2]="Lose",0,IF(BetTable[Outcome2]="Void",BetTable[S2],)))))</f>
        <v>0</v>
      </c>
      <c r="AH1394" s="257">
        <f>IF(BetTable[Outcome3]="Win",BetTable[WBA3-Commission],IF(BetTable[Outcome3]="Win Half Stake",(BetTable[S3]/2)+BetTable[WBA3-Commission]/2,IF(BetTable[Outcome3]="Lose Half Stake",BetTable[S3]/2,IF(BetTable[Outcome3]="Lose",0,IF(BetTable[Outcome3]="Void",BetTable[S3],)))))</f>
        <v>0</v>
      </c>
      <c r="AI1394" s="261">
        <f>IF(BetTable[Outcome]="",AI1393,BetTable[Result]+AI1393)</f>
        <v>2415.8017499999996</v>
      </c>
      <c r="AJ1394" s="253"/>
    </row>
    <row r="1395" spans="1:36" x14ac:dyDescent="0.2">
      <c r="A1395" s="252" t="s">
        <v>3324</v>
      </c>
      <c r="B1395" s="253" t="s">
        <v>7</v>
      </c>
      <c r="C1395" s="254" t="s">
        <v>216</v>
      </c>
      <c r="D1395" s="254"/>
      <c r="E1395" s="254"/>
      <c r="F1395" s="255"/>
      <c r="G1395" s="255"/>
      <c r="H1395" s="255"/>
      <c r="I1395" s="253" t="s">
        <v>3349</v>
      </c>
      <c r="J1395" s="256">
        <v>1.9710000000000001</v>
      </c>
      <c r="K1395" s="256"/>
      <c r="L1395" s="256"/>
      <c r="M1395" s="257">
        <v>51</v>
      </c>
      <c r="N1395" s="257"/>
      <c r="O1395" s="257"/>
      <c r="P1395" s="252" t="s">
        <v>3178</v>
      </c>
      <c r="Q1395" s="252" t="s">
        <v>530</v>
      </c>
      <c r="R1395" s="252" t="s">
        <v>3350</v>
      </c>
      <c r="S1395" s="258">
        <v>5.4601941747572803E-2</v>
      </c>
      <c r="T1395" s="259" t="s">
        <v>372</v>
      </c>
      <c r="U1395" s="259"/>
      <c r="V1395" s="259"/>
      <c r="W1395" s="260">
        <f>IF(BetTable[Sport]="","",BetTable[Stake]+BetTable[S2]+BetTable[S3])</f>
        <v>51</v>
      </c>
      <c r="X1395" s="257">
        <f>IF(BetTable[Odds]="","",(BetTable[WBA1-Commission])-BetTable[TS])</f>
        <v>49.521000000000001</v>
      </c>
      <c r="Y1395" s="261">
        <f>IF(BetTable[Outcome]="","",BetTable[WBA1]+BetTable[WBA2]+BetTable[WBA3]-BetTable[TS])</f>
        <v>49.521000000000001</v>
      </c>
      <c r="Z1395" s="257">
        <f>(((BetTable[Odds]-1)*BetTable[Stake])*(1-(BetTable[Comm %]))+BetTable[Stake])</f>
        <v>100.521</v>
      </c>
      <c r="AA1395" s="257">
        <f>(((BetTable[O2]-1)*BetTable[S2])*(1-(BetTable[C% 2]))+BetTable[S2])</f>
        <v>0</v>
      </c>
      <c r="AB1395" s="257">
        <f>(((BetTable[O3]-1)*BetTable[S3])*(1-(BetTable[C% 3]))+BetTable[S3])</f>
        <v>0</v>
      </c>
      <c r="AC1395" s="258">
        <f>IFERROR(IF(BetTable[Sport]="","",BetTable[R1]/BetTable[TS]),"")</f>
        <v>0.97099999999999997</v>
      </c>
      <c r="AD1395" s="258" t="str">
        <f>IF(BetTable[O2]="","",#REF!/BetTable[TS])</f>
        <v/>
      </c>
      <c r="AE1395" s="258" t="str">
        <f>IFERROR(IF(BetTable[Sport]="","",#REF!/BetTable[TS]),"")</f>
        <v/>
      </c>
      <c r="AF1395" s="257">
        <f>IF(BetTable[Outcome]="Win",BetTable[WBA1-Commission],IF(BetTable[Outcome]="Win Half Stake",(BetTable[Stake]/2)+BetTable[WBA1-Commission]/2,IF(BetTable[Outcome]="Lose Half Stake",BetTable[Stake]/2,IF(BetTable[Outcome]="Lose",0,IF(BetTable[Outcome]="Void",BetTable[Stake],)))))</f>
        <v>100.521</v>
      </c>
      <c r="AG1395" s="257">
        <f>IF(BetTable[Outcome2]="Win",BetTable[WBA2-Commission],IF(BetTable[Outcome2]="Win Half Stake",(BetTable[S2]/2)+BetTable[WBA2-Commission]/2,IF(BetTable[Outcome2]="Lose Half Stake",BetTable[S2]/2,IF(BetTable[Outcome2]="Lose",0,IF(BetTable[Outcome2]="Void",BetTable[S2],)))))</f>
        <v>0</v>
      </c>
      <c r="AH1395" s="257">
        <f>IF(BetTable[Outcome3]="Win",BetTable[WBA3-Commission],IF(BetTable[Outcome3]="Win Half Stake",(BetTable[S3]/2)+BetTable[WBA3-Commission]/2,IF(BetTable[Outcome3]="Lose Half Stake",BetTable[S3]/2,IF(BetTable[Outcome3]="Lose",0,IF(BetTable[Outcome3]="Void",BetTable[S3],)))))</f>
        <v>0</v>
      </c>
      <c r="AI1395" s="261">
        <f>IF(BetTable[Outcome]="",AI1394,BetTable[Result]+AI1394)</f>
        <v>2465.3227499999998</v>
      </c>
      <c r="AJ1395" s="253"/>
    </row>
    <row r="1396" spans="1:36" x14ac:dyDescent="0.2">
      <c r="A1396" s="252" t="s">
        <v>3324</v>
      </c>
      <c r="B1396" s="253" t="s">
        <v>7</v>
      </c>
      <c r="C1396" s="254" t="s">
        <v>216</v>
      </c>
      <c r="D1396" s="254"/>
      <c r="E1396" s="254"/>
      <c r="F1396" s="255"/>
      <c r="G1396" s="255"/>
      <c r="H1396" s="255"/>
      <c r="I1396" s="253" t="s">
        <v>3351</v>
      </c>
      <c r="J1396" s="256">
        <v>1.9710000000000001</v>
      </c>
      <c r="K1396" s="256"/>
      <c r="L1396" s="256"/>
      <c r="M1396" s="257">
        <v>51</v>
      </c>
      <c r="N1396" s="257"/>
      <c r="O1396" s="257"/>
      <c r="P1396" s="252" t="s">
        <v>3352</v>
      </c>
      <c r="Q1396" s="252" t="s">
        <v>773</v>
      </c>
      <c r="R1396" s="252" t="s">
        <v>3353</v>
      </c>
      <c r="S1396" s="258">
        <v>4.2848138148781398E-2</v>
      </c>
      <c r="T1396" s="259" t="s">
        <v>382</v>
      </c>
      <c r="U1396" s="259"/>
      <c r="V1396" s="259"/>
      <c r="W1396" s="260">
        <f>IF(BetTable[Sport]="","",BetTable[Stake]+BetTable[S2]+BetTable[S3])</f>
        <v>51</v>
      </c>
      <c r="X1396" s="257">
        <f>IF(BetTable[Odds]="","",(BetTable[WBA1-Commission])-BetTable[TS])</f>
        <v>49.521000000000001</v>
      </c>
      <c r="Y1396" s="261">
        <f>IF(BetTable[Outcome]="","",BetTable[WBA1]+BetTable[WBA2]+BetTable[WBA3]-BetTable[TS])</f>
        <v>-51</v>
      </c>
      <c r="Z1396" s="257">
        <f>(((BetTable[Odds]-1)*BetTable[Stake])*(1-(BetTable[Comm %]))+BetTable[Stake])</f>
        <v>100.521</v>
      </c>
      <c r="AA1396" s="257">
        <f>(((BetTable[O2]-1)*BetTable[S2])*(1-(BetTable[C% 2]))+BetTable[S2])</f>
        <v>0</v>
      </c>
      <c r="AB1396" s="257">
        <f>(((BetTable[O3]-1)*BetTable[S3])*(1-(BetTable[C% 3]))+BetTable[S3])</f>
        <v>0</v>
      </c>
      <c r="AC1396" s="258">
        <f>IFERROR(IF(BetTable[Sport]="","",BetTable[R1]/BetTable[TS]),"")</f>
        <v>0.97099999999999997</v>
      </c>
      <c r="AD1396" s="258" t="str">
        <f>IF(BetTable[O2]="","",#REF!/BetTable[TS])</f>
        <v/>
      </c>
      <c r="AE1396" s="258" t="str">
        <f>IFERROR(IF(BetTable[Sport]="","",#REF!/BetTable[TS]),"")</f>
        <v/>
      </c>
      <c r="AF1396" s="257">
        <f>IF(BetTable[Outcome]="Win",BetTable[WBA1-Commission],IF(BetTable[Outcome]="Win Half Stake",(BetTable[Stake]/2)+BetTable[WBA1-Commission]/2,IF(BetTable[Outcome]="Lose Half Stake",BetTable[Stake]/2,IF(BetTable[Outcome]="Lose",0,IF(BetTable[Outcome]="Void",BetTable[Stake],)))))</f>
        <v>0</v>
      </c>
      <c r="AG1396" s="257">
        <f>IF(BetTable[Outcome2]="Win",BetTable[WBA2-Commission],IF(BetTable[Outcome2]="Win Half Stake",(BetTable[S2]/2)+BetTable[WBA2-Commission]/2,IF(BetTable[Outcome2]="Lose Half Stake",BetTable[S2]/2,IF(BetTable[Outcome2]="Lose",0,IF(BetTable[Outcome2]="Void",BetTable[S2],)))))</f>
        <v>0</v>
      </c>
      <c r="AH1396" s="257">
        <f>IF(BetTable[Outcome3]="Win",BetTable[WBA3-Commission],IF(BetTable[Outcome3]="Win Half Stake",(BetTable[S3]/2)+BetTable[WBA3-Commission]/2,IF(BetTable[Outcome3]="Lose Half Stake",BetTable[S3]/2,IF(BetTable[Outcome3]="Lose",0,IF(BetTable[Outcome3]="Void",BetTable[S3],)))))</f>
        <v>0</v>
      </c>
      <c r="AI1396" s="261">
        <f>IF(BetTable[Outcome]="",AI1395,BetTable[Result]+AI1395)</f>
        <v>2414.3227499999998</v>
      </c>
      <c r="AJ1396" s="253"/>
    </row>
    <row r="1397" spans="1:36" x14ac:dyDescent="0.2">
      <c r="A1397" s="159" t="s">
        <v>3324</v>
      </c>
      <c r="B1397" s="160" t="s">
        <v>7</v>
      </c>
      <c r="C1397" s="161" t="s">
        <v>91</v>
      </c>
      <c r="D1397" s="161"/>
      <c r="E1397" s="161"/>
      <c r="F1397" s="162"/>
      <c r="G1397" s="162"/>
      <c r="H1397" s="162"/>
      <c r="I1397" s="160" t="s">
        <v>3354</v>
      </c>
      <c r="J1397" s="163">
        <v>1.84</v>
      </c>
      <c r="K1397" s="163"/>
      <c r="L1397" s="163"/>
      <c r="M1397" s="164">
        <v>39</v>
      </c>
      <c r="N1397" s="164"/>
      <c r="O1397" s="164"/>
      <c r="P1397" s="159" t="s">
        <v>2449</v>
      </c>
      <c r="Q1397" s="159" t="s">
        <v>530</v>
      </c>
      <c r="R1397" s="159" t="s">
        <v>3355</v>
      </c>
      <c r="S1397" s="165">
        <v>1.6954955308394901E-2</v>
      </c>
      <c r="T1397" s="166" t="s">
        <v>382</v>
      </c>
      <c r="U1397" s="166"/>
      <c r="V1397" s="166"/>
      <c r="W1397" s="167">
        <f>IF(BetTable[Sport]="","",BetTable[Stake]+BetTable[S2]+BetTable[S3])</f>
        <v>39</v>
      </c>
      <c r="X1397" s="164">
        <f>IF(BetTable[Odds]="","",(BetTable[WBA1-Commission])-BetTable[TS])</f>
        <v>32.760000000000005</v>
      </c>
      <c r="Y1397" s="168">
        <f>IF(BetTable[Outcome]="","",BetTable[WBA1]+BetTable[WBA2]+BetTable[WBA3]-BetTable[TS])</f>
        <v>-39</v>
      </c>
      <c r="Z1397" s="164">
        <f>(((BetTable[Odds]-1)*BetTable[Stake])*(1-(BetTable[Comm %]))+BetTable[Stake])</f>
        <v>71.760000000000005</v>
      </c>
      <c r="AA1397" s="164">
        <f>(((BetTable[O2]-1)*BetTable[S2])*(1-(BetTable[C% 2]))+BetTable[S2])</f>
        <v>0</v>
      </c>
      <c r="AB1397" s="164">
        <f>(((BetTable[O3]-1)*BetTable[S3])*(1-(BetTable[C% 3]))+BetTable[S3])</f>
        <v>0</v>
      </c>
      <c r="AC1397" s="165">
        <f>IFERROR(IF(BetTable[Sport]="","",BetTable[R1]/BetTable[TS]),"")</f>
        <v>0.84000000000000008</v>
      </c>
      <c r="AD1397" s="165" t="str">
        <f>IF(BetTable[O2]="","",#REF!/BetTable[TS])</f>
        <v/>
      </c>
      <c r="AE1397" s="165" t="str">
        <f>IFERROR(IF(BetTable[Sport]="","",#REF!/BetTable[TS]),"")</f>
        <v/>
      </c>
      <c r="AF1397" s="164">
        <f>IF(BetTable[Outcome]="Win",BetTable[WBA1-Commission],IF(BetTable[Outcome]="Win Half Stake",(BetTable[Stake]/2)+BetTable[WBA1-Commission]/2,IF(BetTable[Outcome]="Lose Half Stake",BetTable[Stake]/2,IF(BetTable[Outcome]="Lose",0,IF(BetTable[Outcome]="Void",BetTable[Stake],)))))</f>
        <v>0</v>
      </c>
      <c r="AG1397" s="164">
        <f>IF(BetTable[Outcome2]="Win",BetTable[WBA2-Commission],IF(BetTable[Outcome2]="Win Half Stake",(BetTable[S2]/2)+BetTable[WBA2-Commission]/2,IF(BetTable[Outcome2]="Lose Half Stake",BetTable[S2]/2,IF(BetTable[Outcome2]="Lose",0,IF(BetTable[Outcome2]="Void",BetTable[S2],)))))</f>
        <v>0</v>
      </c>
      <c r="AH1397" s="164">
        <f>IF(BetTable[Outcome3]="Win",BetTable[WBA3-Commission],IF(BetTable[Outcome3]="Win Half Stake",(BetTable[S3]/2)+BetTable[WBA3-Commission]/2,IF(BetTable[Outcome3]="Lose Half Stake",BetTable[S3]/2,IF(BetTable[Outcome3]="Lose",0,IF(BetTable[Outcome3]="Void",BetTable[S3],)))))</f>
        <v>0</v>
      </c>
      <c r="AI1397" s="168">
        <f>IF(BetTable[Outcome]="",AI1396,BetTable[Result]+AI1396)</f>
        <v>2375.3227499999998</v>
      </c>
      <c r="AJ1397" s="160"/>
    </row>
    <row r="1398" spans="1:36" x14ac:dyDescent="0.2">
      <c r="A1398" s="159" t="s">
        <v>3324</v>
      </c>
      <c r="B1398" s="160" t="s">
        <v>9</v>
      </c>
      <c r="C1398" s="161" t="s">
        <v>91</v>
      </c>
      <c r="D1398" s="161"/>
      <c r="E1398" s="161"/>
      <c r="F1398" s="162"/>
      <c r="G1398" s="162"/>
      <c r="H1398" s="162"/>
      <c r="I1398" s="160" t="s">
        <v>3356</v>
      </c>
      <c r="J1398" s="163">
        <v>1.8</v>
      </c>
      <c r="K1398" s="163"/>
      <c r="L1398" s="163"/>
      <c r="M1398" s="164">
        <v>64</v>
      </c>
      <c r="N1398" s="164"/>
      <c r="O1398" s="164"/>
      <c r="P1398" s="159" t="s">
        <v>498</v>
      </c>
      <c r="Q1398" s="159" t="s">
        <v>530</v>
      </c>
      <c r="R1398" s="159" t="s">
        <v>3357</v>
      </c>
      <c r="S1398" s="165">
        <v>3.1689982735528401E-2</v>
      </c>
      <c r="T1398" s="166" t="s">
        <v>372</v>
      </c>
      <c r="U1398" s="166"/>
      <c r="V1398" s="166"/>
      <c r="W1398" s="167">
        <f>IF(BetTable[Sport]="","",BetTable[Stake]+BetTable[S2]+BetTable[S3])</f>
        <v>64</v>
      </c>
      <c r="X1398" s="164">
        <f>IF(BetTable[Odds]="","",(BetTable[WBA1-Commission])-BetTable[TS])</f>
        <v>51.2</v>
      </c>
      <c r="Y1398" s="168">
        <f>IF(BetTable[Outcome]="","",BetTable[WBA1]+BetTable[WBA2]+BetTable[WBA3]-BetTable[TS])</f>
        <v>51.2</v>
      </c>
      <c r="Z1398" s="164">
        <f>(((BetTable[Odds]-1)*BetTable[Stake])*(1-(BetTable[Comm %]))+BetTable[Stake])</f>
        <v>115.2</v>
      </c>
      <c r="AA1398" s="164">
        <f>(((BetTable[O2]-1)*BetTable[S2])*(1-(BetTable[C% 2]))+BetTable[S2])</f>
        <v>0</v>
      </c>
      <c r="AB1398" s="164">
        <f>(((BetTable[O3]-1)*BetTable[S3])*(1-(BetTable[C% 3]))+BetTable[S3])</f>
        <v>0</v>
      </c>
      <c r="AC1398" s="165">
        <f>IFERROR(IF(BetTable[Sport]="","",BetTable[R1]/BetTable[TS]),"")</f>
        <v>0.8</v>
      </c>
      <c r="AD1398" s="165" t="str">
        <f>IF(BetTable[O2]="","",#REF!/BetTable[TS])</f>
        <v/>
      </c>
      <c r="AE1398" s="165" t="str">
        <f>IFERROR(IF(BetTable[Sport]="","",#REF!/BetTable[TS]),"")</f>
        <v/>
      </c>
      <c r="AF1398" s="164">
        <f>IF(BetTable[Outcome]="Win",BetTable[WBA1-Commission],IF(BetTable[Outcome]="Win Half Stake",(BetTable[Stake]/2)+BetTable[WBA1-Commission]/2,IF(BetTable[Outcome]="Lose Half Stake",BetTable[Stake]/2,IF(BetTable[Outcome]="Lose",0,IF(BetTable[Outcome]="Void",BetTable[Stake],)))))</f>
        <v>115.2</v>
      </c>
      <c r="AG1398" s="164">
        <f>IF(BetTable[Outcome2]="Win",BetTable[WBA2-Commission],IF(BetTable[Outcome2]="Win Half Stake",(BetTable[S2]/2)+BetTable[WBA2-Commission]/2,IF(BetTable[Outcome2]="Lose Half Stake",BetTable[S2]/2,IF(BetTable[Outcome2]="Lose",0,IF(BetTable[Outcome2]="Void",BetTable[S2],)))))</f>
        <v>0</v>
      </c>
      <c r="AH1398" s="164">
        <f>IF(BetTable[Outcome3]="Win",BetTable[WBA3-Commission],IF(BetTable[Outcome3]="Win Half Stake",(BetTable[S3]/2)+BetTable[WBA3-Commission]/2,IF(BetTable[Outcome3]="Lose Half Stake",BetTable[S3]/2,IF(BetTable[Outcome3]="Lose",0,IF(BetTable[Outcome3]="Void",BetTable[S3],)))))</f>
        <v>0</v>
      </c>
      <c r="AI1398" s="168">
        <f>IF(BetTable[Outcome]="",AI1397,BetTable[Result]+AI1397)</f>
        <v>2426.5227499999996</v>
      </c>
      <c r="AJ1398" s="160"/>
    </row>
    <row r="1399" spans="1:36" x14ac:dyDescent="0.2">
      <c r="A1399" s="159" t="s">
        <v>3324</v>
      </c>
      <c r="B1399" s="160" t="s">
        <v>200</v>
      </c>
      <c r="C1399" s="161" t="s">
        <v>1714</v>
      </c>
      <c r="D1399" s="161"/>
      <c r="E1399" s="161"/>
      <c r="F1399" s="162"/>
      <c r="G1399" s="162"/>
      <c r="H1399" s="162"/>
      <c r="I1399" s="160" t="s">
        <v>3358</v>
      </c>
      <c r="J1399" s="163">
        <v>1.77</v>
      </c>
      <c r="K1399" s="163"/>
      <c r="L1399" s="163"/>
      <c r="M1399" s="164">
        <v>60</v>
      </c>
      <c r="N1399" s="164"/>
      <c r="O1399" s="164"/>
      <c r="P1399" s="159" t="s">
        <v>791</v>
      </c>
      <c r="Q1399" s="159" t="s">
        <v>1083</v>
      </c>
      <c r="R1399" s="159" t="s">
        <v>3359</v>
      </c>
      <c r="S1399" s="165">
        <v>2.3543171163281001E-2</v>
      </c>
      <c r="T1399" s="166" t="s">
        <v>382</v>
      </c>
      <c r="U1399" s="166"/>
      <c r="V1399" s="166"/>
      <c r="W1399" s="167">
        <f>IF(BetTable[Sport]="","",BetTable[Stake]+BetTable[S2]+BetTable[S3])</f>
        <v>60</v>
      </c>
      <c r="X1399" s="164">
        <f>IF(BetTable[Odds]="","",(BetTable[WBA1-Commission])-BetTable[TS])</f>
        <v>46.2</v>
      </c>
      <c r="Y1399" s="168">
        <f>IF(BetTable[Outcome]="","",BetTable[WBA1]+BetTable[WBA2]+BetTable[WBA3]-BetTable[TS])</f>
        <v>-60</v>
      </c>
      <c r="Z1399" s="164">
        <f>(((BetTable[Odds]-1)*BetTable[Stake])*(1-(BetTable[Comm %]))+BetTable[Stake])</f>
        <v>106.2</v>
      </c>
      <c r="AA1399" s="164">
        <f>(((BetTable[O2]-1)*BetTable[S2])*(1-(BetTable[C% 2]))+BetTable[S2])</f>
        <v>0</v>
      </c>
      <c r="AB1399" s="164">
        <f>(((BetTable[O3]-1)*BetTable[S3])*(1-(BetTable[C% 3]))+BetTable[S3])</f>
        <v>0</v>
      </c>
      <c r="AC1399" s="165">
        <f>IFERROR(IF(BetTable[Sport]="","",BetTable[R1]/BetTable[TS]),"")</f>
        <v>0.77</v>
      </c>
      <c r="AD1399" s="165" t="str">
        <f>IF(BetTable[O2]="","",#REF!/BetTable[TS])</f>
        <v/>
      </c>
      <c r="AE1399" s="165" t="str">
        <f>IFERROR(IF(BetTable[Sport]="","",#REF!/BetTable[TS]),"")</f>
        <v/>
      </c>
      <c r="AF1399" s="164">
        <f>IF(BetTable[Outcome]="Win",BetTable[WBA1-Commission],IF(BetTable[Outcome]="Win Half Stake",(BetTable[Stake]/2)+BetTable[WBA1-Commission]/2,IF(BetTable[Outcome]="Lose Half Stake",BetTable[Stake]/2,IF(BetTable[Outcome]="Lose",0,IF(BetTable[Outcome]="Void",BetTable[Stake],)))))</f>
        <v>0</v>
      </c>
      <c r="AG1399" s="164">
        <f>IF(BetTable[Outcome2]="Win",BetTable[WBA2-Commission],IF(BetTable[Outcome2]="Win Half Stake",(BetTable[S2]/2)+BetTable[WBA2-Commission]/2,IF(BetTable[Outcome2]="Lose Half Stake",BetTable[S2]/2,IF(BetTable[Outcome2]="Lose",0,IF(BetTable[Outcome2]="Void",BetTable[S2],)))))</f>
        <v>0</v>
      </c>
      <c r="AH1399" s="164">
        <f>IF(BetTable[Outcome3]="Win",BetTable[WBA3-Commission],IF(BetTable[Outcome3]="Win Half Stake",(BetTable[S3]/2)+BetTable[WBA3-Commission]/2,IF(BetTable[Outcome3]="Lose Half Stake",BetTable[S3]/2,IF(BetTable[Outcome3]="Lose",0,IF(BetTable[Outcome3]="Void",BetTable[S3],)))))</f>
        <v>0</v>
      </c>
      <c r="AI1399" s="168">
        <f>IF(BetTable[Outcome]="",AI1398,BetTable[Result]+AI1398)</f>
        <v>2366.5227499999996</v>
      </c>
      <c r="AJ1399" s="160"/>
    </row>
    <row r="1400" spans="1:36" x14ac:dyDescent="0.2">
      <c r="A1400" s="159" t="s">
        <v>3324</v>
      </c>
      <c r="B1400" s="160" t="s">
        <v>200</v>
      </c>
      <c r="C1400" s="161" t="s">
        <v>1714</v>
      </c>
      <c r="D1400" s="161"/>
      <c r="E1400" s="161"/>
      <c r="F1400" s="162"/>
      <c r="G1400" s="162"/>
      <c r="H1400" s="162"/>
      <c r="I1400" s="160" t="s">
        <v>3360</v>
      </c>
      <c r="J1400" s="163">
        <v>1.95</v>
      </c>
      <c r="K1400" s="163"/>
      <c r="L1400" s="163"/>
      <c r="M1400" s="164">
        <v>55</v>
      </c>
      <c r="N1400" s="164"/>
      <c r="O1400" s="164"/>
      <c r="P1400" s="159" t="s">
        <v>3361</v>
      </c>
      <c r="Q1400" s="159" t="s">
        <v>503</v>
      </c>
      <c r="R1400" s="159" t="s">
        <v>3362</v>
      </c>
      <c r="S1400" s="165">
        <v>2.68522312692859E-2</v>
      </c>
      <c r="T1400" s="166" t="s">
        <v>549</v>
      </c>
      <c r="U1400" s="166"/>
      <c r="V1400" s="166"/>
      <c r="W1400" s="167">
        <f>IF(BetTable[Sport]="","",BetTable[Stake]+BetTable[S2]+BetTable[S3])</f>
        <v>55</v>
      </c>
      <c r="X1400" s="164">
        <f>IF(BetTable[Odds]="","",(BetTable[WBA1-Commission])-BetTable[TS])</f>
        <v>52.25</v>
      </c>
      <c r="Y1400" s="168">
        <f>IF(BetTable[Outcome]="","",BetTable[WBA1]+BetTable[WBA2]+BetTable[WBA3]-BetTable[TS])</f>
        <v>-27.5</v>
      </c>
      <c r="Z1400" s="164">
        <f>(((BetTable[Odds]-1)*BetTable[Stake])*(1-(BetTable[Comm %]))+BetTable[Stake])</f>
        <v>107.25</v>
      </c>
      <c r="AA1400" s="164">
        <f>(((BetTable[O2]-1)*BetTable[S2])*(1-(BetTable[C% 2]))+BetTable[S2])</f>
        <v>0</v>
      </c>
      <c r="AB1400" s="164">
        <f>(((BetTable[O3]-1)*BetTable[S3])*(1-(BetTable[C% 3]))+BetTable[S3])</f>
        <v>0</v>
      </c>
      <c r="AC1400" s="165">
        <f>IFERROR(IF(BetTable[Sport]="","",BetTable[R1]/BetTable[TS]),"")</f>
        <v>0.95</v>
      </c>
      <c r="AD1400" s="165" t="str">
        <f>IF(BetTable[O2]="","",#REF!/BetTable[TS])</f>
        <v/>
      </c>
      <c r="AE1400" s="165" t="str">
        <f>IFERROR(IF(BetTable[Sport]="","",#REF!/BetTable[TS]),"")</f>
        <v/>
      </c>
      <c r="AF1400" s="164">
        <f>IF(BetTable[Outcome]="Win",BetTable[WBA1-Commission],IF(BetTable[Outcome]="Win Half Stake",(BetTable[Stake]/2)+BetTable[WBA1-Commission]/2,IF(BetTable[Outcome]="Lose Half Stake",BetTable[Stake]/2,IF(BetTable[Outcome]="Lose",0,IF(BetTable[Outcome]="Void",BetTable[Stake],)))))</f>
        <v>27.5</v>
      </c>
      <c r="AG1400" s="164">
        <f>IF(BetTable[Outcome2]="Win",BetTable[WBA2-Commission],IF(BetTable[Outcome2]="Win Half Stake",(BetTable[S2]/2)+BetTable[WBA2-Commission]/2,IF(BetTable[Outcome2]="Lose Half Stake",BetTable[S2]/2,IF(BetTable[Outcome2]="Lose",0,IF(BetTable[Outcome2]="Void",BetTable[S2],)))))</f>
        <v>0</v>
      </c>
      <c r="AH1400" s="164">
        <f>IF(BetTable[Outcome3]="Win",BetTable[WBA3-Commission],IF(BetTable[Outcome3]="Win Half Stake",(BetTable[S3]/2)+BetTable[WBA3-Commission]/2,IF(BetTable[Outcome3]="Lose Half Stake",BetTable[S3]/2,IF(BetTable[Outcome3]="Lose",0,IF(BetTable[Outcome3]="Void",BetTable[S3],)))))</f>
        <v>0</v>
      </c>
      <c r="AI1400" s="168">
        <f>IF(BetTable[Outcome]="",AI1399,BetTable[Result]+AI1399)</f>
        <v>2339.0227499999996</v>
      </c>
      <c r="AJ1400" s="160"/>
    </row>
    <row r="1401" spans="1:36" x14ac:dyDescent="0.2">
      <c r="A1401" s="159" t="s">
        <v>3324</v>
      </c>
      <c r="B1401" s="160" t="s">
        <v>200</v>
      </c>
      <c r="C1401" s="161" t="s">
        <v>1714</v>
      </c>
      <c r="D1401" s="161"/>
      <c r="E1401" s="161"/>
      <c r="F1401" s="162"/>
      <c r="G1401" s="162"/>
      <c r="H1401" s="162"/>
      <c r="I1401" s="160" t="s">
        <v>3363</v>
      </c>
      <c r="J1401" s="163">
        <v>1.82</v>
      </c>
      <c r="K1401" s="163"/>
      <c r="L1401" s="163"/>
      <c r="M1401" s="164">
        <v>44</v>
      </c>
      <c r="N1401" s="164"/>
      <c r="O1401" s="164"/>
      <c r="P1401" s="159" t="s">
        <v>1345</v>
      </c>
      <c r="Q1401" s="159" t="s">
        <v>581</v>
      </c>
      <c r="R1401" s="159" t="s">
        <v>3364</v>
      </c>
      <c r="S1401" s="165">
        <v>1.8601652599084299E-2</v>
      </c>
      <c r="T1401" s="166" t="s">
        <v>382</v>
      </c>
      <c r="U1401" s="166"/>
      <c r="V1401" s="166"/>
      <c r="W1401" s="167">
        <f>IF(BetTable[Sport]="","",BetTable[Stake]+BetTable[S2]+BetTable[S3])</f>
        <v>44</v>
      </c>
      <c r="X1401" s="164">
        <f>IF(BetTable[Odds]="","",(BetTable[WBA1-Commission])-BetTable[TS])</f>
        <v>36.080000000000013</v>
      </c>
      <c r="Y1401" s="168">
        <f>IF(BetTable[Outcome]="","",BetTable[WBA1]+BetTable[WBA2]+BetTable[WBA3]-BetTable[TS])</f>
        <v>-44</v>
      </c>
      <c r="Z1401" s="164">
        <f>(((BetTable[Odds]-1)*BetTable[Stake])*(1-(BetTable[Comm %]))+BetTable[Stake])</f>
        <v>80.080000000000013</v>
      </c>
      <c r="AA1401" s="164">
        <f>(((BetTable[O2]-1)*BetTable[S2])*(1-(BetTable[C% 2]))+BetTable[S2])</f>
        <v>0</v>
      </c>
      <c r="AB1401" s="164">
        <f>(((BetTable[O3]-1)*BetTable[S3])*(1-(BetTable[C% 3]))+BetTable[S3])</f>
        <v>0</v>
      </c>
      <c r="AC1401" s="165">
        <f>IFERROR(IF(BetTable[Sport]="","",BetTable[R1]/BetTable[TS]),"")</f>
        <v>0.82000000000000028</v>
      </c>
      <c r="AD1401" s="165" t="str">
        <f>IF(BetTable[O2]="","",#REF!/BetTable[TS])</f>
        <v/>
      </c>
      <c r="AE1401" s="165" t="str">
        <f>IFERROR(IF(BetTable[Sport]="","",#REF!/BetTable[TS]),"")</f>
        <v/>
      </c>
      <c r="AF1401" s="164">
        <f>IF(BetTable[Outcome]="Win",BetTable[WBA1-Commission],IF(BetTable[Outcome]="Win Half Stake",(BetTable[Stake]/2)+BetTable[WBA1-Commission]/2,IF(BetTable[Outcome]="Lose Half Stake",BetTable[Stake]/2,IF(BetTable[Outcome]="Lose",0,IF(BetTable[Outcome]="Void",BetTable[Stake],)))))</f>
        <v>0</v>
      </c>
      <c r="AG1401" s="164">
        <f>IF(BetTable[Outcome2]="Win",BetTable[WBA2-Commission],IF(BetTable[Outcome2]="Win Half Stake",(BetTable[S2]/2)+BetTable[WBA2-Commission]/2,IF(BetTable[Outcome2]="Lose Half Stake",BetTable[S2]/2,IF(BetTable[Outcome2]="Lose",0,IF(BetTable[Outcome2]="Void",BetTable[S2],)))))</f>
        <v>0</v>
      </c>
      <c r="AH1401" s="164">
        <f>IF(BetTable[Outcome3]="Win",BetTable[WBA3-Commission],IF(BetTable[Outcome3]="Win Half Stake",(BetTable[S3]/2)+BetTable[WBA3-Commission]/2,IF(BetTable[Outcome3]="Lose Half Stake",BetTable[S3]/2,IF(BetTable[Outcome3]="Lose",0,IF(BetTable[Outcome3]="Void",BetTable[S3],)))))</f>
        <v>0</v>
      </c>
      <c r="AI1401" s="168">
        <f>IF(BetTable[Outcome]="",AI1400,BetTable[Result]+AI1400)</f>
        <v>2295.0227499999996</v>
      </c>
      <c r="AJ1401" s="160"/>
    </row>
    <row r="1402" spans="1:36" x14ac:dyDescent="0.2">
      <c r="A1402" s="159" t="s">
        <v>3324</v>
      </c>
      <c r="B1402" s="160" t="s">
        <v>200</v>
      </c>
      <c r="C1402" s="161" t="s">
        <v>1714</v>
      </c>
      <c r="D1402" s="161"/>
      <c r="E1402" s="161"/>
      <c r="F1402" s="162"/>
      <c r="G1402" s="162"/>
      <c r="H1402" s="162"/>
      <c r="I1402" s="160" t="s">
        <v>3365</v>
      </c>
      <c r="J1402" s="163">
        <v>1.85</v>
      </c>
      <c r="K1402" s="163"/>
      <c r="L1402" s="163"/>
      <c r="M1402" s="164">
        <v>69</v>
      </c>
      <c r="N1402" s="164"/>
      <c r="O1402" s="164"/>
      <c r="P1402" s="159" t="s">
        <v>498</v>
      </c>
      <c r="Q1402" s="159" t="s">
        <v>674</v>
      </c>
      <c r="R1402" s="159" t="s">
        <v>3366</v>
      </c>
      <c r="S1402" s="165">
        <v>2.9861772985713599E-2</v>
      </c>
      <c r="T1402" s="166" t="s">
        <v>382</v>
      </c>
      <c r="U1402" s="166"/>
      <c r="V1402" s="166"/>
      <c r="W1402" s="167">
        <f>IF(BetTable[Sport]="","",BetTable[Stake]+BetTable[S2]+BetTable[S3])</f>
        <v>69</v>
      </c>
      <c r="X1402" s="164">
        <f>IF(BetTable[Odds]="","",(BetTable[WBA1-Commission])-BetTable[TS])</f>
        <v>58.650000000000006</v>
      </c>
      <c r="Y1402" s="168">
        <f>IF(BetTable[Outcome]="","",BetTable[WBA1]+BetTable[WBA2]+BetTable[WBA3]-BetTable[TS])</f>
        <v>-69</v>
      </c>
      <c r="Z1402" s="164">
        <f>(((BetTable[Odds]-1)*BetTable[Stake])*(1-(BetTable[Comm %]))+BetTable[Stake])</f>
        <v>127.65</v>
      </c>
      <c r="AA1402" s="164">
        <f>(((BetTable[O2]-1)*BetTable[S2])*(1-(BetTable[C% 2]))+BetTable[S2])</f>
        <v>0</v>
      </c>
      <c r="AB1402" s="164">
        <f>(((BetTable[O3]-1)*BetTable[S3])*(1-(BetTable[C% 3]))+BetTable[S3])</f>
        <v>0</v>
      </c>
      <c r="AC1402" s="165">
        <f>IFERROR(IF(BetTable[Sport]="","",BetTable[R1]/BetTable[TS]),"")</f>
        <v>0.85000000000000009</v>
      </c>
      <c r="AD1402" s="165" t="str">
        <f>IF(BetTable[O2]="","",#REF!/BetTable[TS])</f>
        <v/>
      </c>
      <c r="AE1402" s="165" t="str">
        <f>IFERROR(IF(BetTable[Sport]="","",#REF!/BetTable[TS]),"")</f>
        <v/>
      </c>
      <c r="AF1402" s="164">
        <f>IF(BetTable[Outcome]="Win",BetTable[WBA1-Commission],IF(BetTable[Outcome]="Win Half Stake",(BetTable[Stake]/2)+BetTable[WBA1-Commission]/2,IF(BetTable[Outcome]="Lose Half Stake",BetTable[Stake]/2,IF(BetTable[Outcome]="Lose",0,IF(BetTable[Outcome]="Void",BetTable[Stake],)))))</f>
        <v>0</v>
      </c>
      <c r="AG1402" s="164">
        <f>IF(BetTable[Outcome2]="Win",BetTable[WBA2-Commission],IF(BetTable[Outcome2]="Win Half Stake",(BetTable[S2]/2)+BetTable[WBA2-Commission]/2,IF(BetTable[Outcome2]="Lose Half Stake",BetTable[S2]/2,IF(BetTable[Outcome2]="Lose",0,IF(BetTable[Outcome2]="Void",BetTable[S2],)))))</f>
        <v>0</v>
      </c>
      <c r="AH1402" s="164">
        <f>IF(BetTable[Outcome3]="Win",BetTable[WBA3-Commission],IF(BetTable[Outcome3]="Win Half Stake",(BetTable[S3]/2)+BetTable[WBA3-Commission]/2,IF(BetTable[Outcome3]="Lose Half Stake",BetTable[S3]/2,IF(BetTable[Outcome3]="Lose",0,IF(BetTable[Outcome3]="Void",BetTable[S3],)))))</f>
        <v>0</v>
      </c>
      <c r="AI1402" s="168">
        <f>IF(BetTable[Outcome]="",AI1401,BetTable[Result]+AI1401)</f>
        <v>2226.0227499999996</v>
      </c>
      <c r="AJ1402" s="160"/>
    </row>
    <row r="1403" spans="1:36" x14ac:dyDescent="0.2">
      <c r="A1403" s="159" t="s">
        <v>3324</v>
      </c>
      <c r="B1403" s="160" t="s">
        <v>175</v>
      </c>
      <c r="C1403" s="161" t="s">
        <v>91</v>
      </c>
      <c r="D1403" s="161"/>
      <c r="E1403" s="161"/>
      <c r="F1403" s="162"/>
      <c r="G1403" s="162"/>
      <c r="H1403" s="162"/>
      <c r="I1403" s="160" t="s">
        <v>2980</v>
      </c>
      <c r="J1403" s="163">
        <v>1.71</v>
      </c>
      <c r="K1403" s="163"/>
      <c r="L1403" s="163"/>
      <c r="M1403" s="164">
        <v>56</v>
      </c>
      <c r="N1403" s="164"/>
      <c r="O1403" s="164"/>
      <c r="P1403" s="159" t="s">
        <v>1086</v>
      </c>
      <c r="Q1403" s="159" t="s">
        <v>585</v>
      </c>
      <c r="R1403" s="159" t="s">
        <v>3367</v>
      </c>
      <c r="S1403" s="165">
        <v>2.0394352482959999E-2</v>
      </c>
      <c r="T1403" s="166" t="s">
        <v>372</v>
      </c>
      <c r="U1403" s="166"/>
      <c r="V1403" s="166"/>
      <c r="W1403" s="167">
        <f>IF(BetTable[Sport]="","",BetTable[Stake]+BetTable[S2]+BetTable[S3])</f>
        <v>56</v>
      </c>
      <c r="X1403" s="164">
        <f>IF(BetTable[Odds]="","",(BetTable[WBA1-Commission])-BetTable[TS])</f>
        <v>39.759999999999991</v>
      </c>
      <c r="Y1403" s="168">
        <f>IF(BetTable[Outcome]="","",BetTable[WBA1]+BetTable[WBA2]+BetTable[WBA3]-BetTable[TS])</f>
        <v>39.759999999999991</v>
      </c>
      <c r="Z1403" s="164">
        <f>(((BetTable[Odds]-1)*BetTable[Stake])*(1-(BetTable[Comm %]))+BetTable[Stake])</f>
        <v>95.759999999999991</v>
      </c>
      <c r="AA1403" s="164">
        <f>(((BetTable[O2]-1)*BetTable[S2])*(1-(BetTable[C% 2]))+BetTable[S2])</f>
        <v>0</v>
      </c>
      <c r="AB1403" s="164">
        <f>(((BetTable[O3]-1)*BetTable[S3])*(1-(BetTable[C% 3]))+BetTable[S3])</f>
        <v>0</v>
      </c>
      <c r="AC1403" s="165">
        <f>IFERROR(IF(BetTable[Sport]="","",BetTable[R1]/BetTable[TS]),"")</f>
        <v>0.70999999999999985</v>
      </c>
      <c r="AD1403" s="165" t="str">
        <f>IF(BetTable[O2]="","",#REF!/BetTable[TS])</f>
        <v/>
      </c>
      <c r="AE1403" s="165" t="str">
        <f>IFERROR(IF(BetTable[Sport]="","",#REF!/BetTable[TS]),"")</f>
        <v/>
      </c>
      <c r="AF1403" s="164">
        <f>IF(BetTable[Outcome]="Win",BetTable[WBA1-Commission],IF(BetTable[Outcome]="Win Half Stake",(BetTable[Stake]/2)+BetTable[WBA1-Commission]/2,IF(BetTable[Outcome]="Lose Half Stake",BetTable[Stake]/2,IF(BetTable[Outcome]="Lose",0,IF(BetTable[Outcome]="Void",BetTable[Stake],)))))</f>
        <v>95.759999999999991</v>
      </c>
      <c r="AG1403" s="164">
        <f>IF(BetTable[Outcome2]="Win",BetTable[WBA2-Commission],IF(BetTable[Outcome2]="Win Half Stake",(BetTable[S2]/2)+BetTable[WBA2-Commission]/2,IF(BetTable[Outcome2]="Lose Half Stake",BetTable[S2]/2,IF(BetTable[Outcome2]="Lose",0,IF(BetTable[Outcome2]="Void",BetTable[S2],)))))</f>
        <v>0</v>
      </c>
      <c r="AH1403" s="164">
        <f>IF(BetTable[Outcome3]="Win",BetTable[WBA3-Commission],IF(BetTable[Outcome3]="Win Half Stake",(BetTable[S3]/2)+BetTable[WBA3-Commission]/2,IF(BetTable[Outcome3]="Lose Half Stake",BetTable[S3]/2,IF(BetTable[Outcome3]="Lose",0,IF(BetTable[Outcome3]="Void",BetTable[S3],)))))</f>
        <v>0</v>
      </c>
      <c r="AI1403" s="168">
        <f>IF(BetTable[Outcome]="",AI1402,BetTable[Result]+AI1402)</f>
        <v>2265.7827499999994</v>
      </c>
      <c r="AJ1403" s="160"/>
    </row>
    <row r="1404" spans="1:36" x14ac:dyDescent="0.2">
      <c r="A1404" s="159" t="s">
        <v>3324</v>
      </c>
      <c r="B1404" s="160" t="s">
        <v>7</v>
      </c>
      <c r="C1404" s="161" t="s">
        <v>1714</v>
      </c>
      <c r="D1404" s="161"/>
      <c r="E1404" s="161"/>
      <c r="F1404" s="162"/>
      <c r="G1404" s="162"/>
      <c r="H1404" s="162"/>
      <c r="I1404" s="160" t="s">
        <v>3368</v>
      </c>
      <c r="J1404" s="163">
        <v>1.92</v>
      </c>
      <c r="K1404" s="163"/>
      <c r="L1404" s="163"/>
      <c r="M1404" s="164">
        <v>54</v>
      </c>
      <c r="N1404" s="164"/>
      <c r="O1404" s="164"/>
      <c r="P1404" s="159" t="s">
        <v>1585</v>
      </c>
      <c r="Q1404" s="159" t="s">
        <v>659</v>
      </c>
      <c r="R1404" s="159" t="s">
        <v>3369</v>
      </c>
      <c r="S1404" s="165">
        <v>2.5409628443062798E-2</v>
      </c>
      <c r="T1404" s="166" t="s">
        <v>372</v>
      </c>
      <c r="U1404" s="166"/>
      <c r="V1404" s="166"/>
      <c r="W1404" s="167">
        <f>IF(BetTable[Sport]="","",BetTable[Stake]+BetTable[S2]+BetTable[S3])</f>
        <v>54</v>
      </c>
      <c r="X1404" s="164">
        <f>IF(BetTable[Odds]="","",(BetTable[WBA1-Commission])-BetTable[TS])</f>
        <v>49.679999999999993</v>
      </c>
      <c r="Y1404" s="168">
        <f>IF(BetTable[Outcome]="","",BetTable[WBA1]+BetTable[WBA2]+BetTable[WBA3]-BetTable[TS])</f>
        <v>49.679999999999993</v>
      </c>
      <c r="Z1404" s="164">
        <f>(((BetTable[Odds]-1)*BetTable[Stake])*(1-(BetTable[Comm %]))+BetTable[Stake])</f>
        <v>103.67999999999999</v>
      </c>
      <c r="AA1404" s="164">
        <f>(((BetTable[O2]-1)*BetTable[S2])*(1-(BetTable[C% 2]))+BetTable[S2])</f>
        <v>0</v>
      </c>
      <c r="AB1404" s="164">
        <f>(((BetTable[O3]-1)*BetTable[S3])*(1-(BetTable[C% 3]))+BetTable[S3])</f>
        <v>0</v>
      </c>
      <c r="AC1404" s="165">
        <f>IFERROR(IF(BetTable[Sport]="","",BetTable[R1]/BetTable[TS]),"")</f>
        <v>0.91999999999999982</v>
      </c>
      <c r="AD1404" s="165" t="str">
        <f>IF(BetTable[O2]="","",#REF!/BetTable[TS])</f>
        <v/>
      </c>
      <c r="AE1404" s="165" t="str">
        <f>IFERROR(IF(BetTable[Sport]="","",#REF!/BetTable[TS]),"")</f>
        <v/>
      </c>
      <c r="AF1404" s="164">
        <f>IF(BetTable[Outcome]="Win",BetTable[WBA1-Commission],IF(BetTable[Outcome]="Win Half Stake",(BetTable[Stake]/2)+BetTable[WBA1-Commission]/2,IF(BetTable[Outcome]="Lose Half Stake",BetTable[Stake]/2,IF(BetTable[Outcome]="Lose",0,IF(BetTable[Outcome]="Void",BetTable[Stake],)))))</f>
        <v>103.67999999999999</v>
      </c>
      <c r="AG1404" s="164">
        <f>IF(BetTable[Outcome2]="Win",BetTable[WBA2-Commission],IF(BetTable[Outcome2]="Win Half Stake",(BetTable[S2]/2)+BetTable[WBA2-Commission]/2,IF(BetTable[Outcome2]="Lose Half Stake",BetTable[S2]/2,IF(BetTable[Outcome2]="Lose",0,IF(BetTable[Outcome2]="Void",BetTable[S2],)))))</f>
        <v>0</v>
      </c>
      <c r="AH1404" s="164">
        <f>IF(BetTable[Outcome3]="Win",BetTable[WBA3-Commission],IF(BetTable[Outcome3]="Win Half Stake",(BetTable[S3]/2)+BetTable[WBA3-Commission]/2,IF(BetTable[Outcome3]="Lose Half Stake",BetTable[S3]/2,IF(BetTable[Outcome3]="Lose",0,IF(BetTable[Outcome3]="Void",BetTable[S3],)))))</f>
        <v>0</v>
      </c>
      <c r="AI1404" s="168">
        <f>IF(BetTable[Outcome]="",AI1403,BetTable[Result]+AI1403)</f>
        <v>2315.4627499999992</v>
      </c>
      <c r="AJ1404" s="160"/>
    </row>
    <row r="1405" spans="1:36" x14ac:dyDescent="0.2">
      <c r="A1405" s="159" t="s">
        <v>3324</v>
      </c>
      <c r="B1405" s="160" t="s">
        <v>200</v>
      </c>
      <c r="C1405" s="161" t="s">
        <v>185</v>
      </c>
      <c r="D1405" s="161"/>
      <c r="E1405" s="161"/>
      <c r="F1405" s="162"/>
      <c r="G1405" s="162"/>
      <c r="H1405" s="162"/>
      <c r="I1405" s="160" t="s">
        <v>3370</v>
      </c>
      <c r="J1405" s="163">
        <v>3.5</v>
      </c>
      <c r="K1405" s="163"/>
      <c r="L1405" s="163"/>
      <c r="M1405" s="164">
        <v>25</v>
      </c>
      <c r="N1405" s="164"/>
      <c r="O1405" s="164"/>
      <c r="P1405" s="159" t="s">
        <v>428</v>
      </c>
      <c r="Q1405" s="159" t="s">
        <v>1083</v>
      </c>
      <c r="R1405" s="159" t="s">
        <v>3371</v>
      </c>
      <c r="S1405" s="165">
        <v>4.7359418787828303E-2</v>
      </c>
      <c r="T1405" s="166" t="s">
        <v>382</v>
      </c>
      <c r="U1405" s="166"/>
      <c r="V1405" s="166"/>
      <c r="W1405" s="167">
        <f>IF(BetTable[Sport]="","",BetTable[Stake]+BetTable[S2]+BetTable[S3])</f>
        <v>25</v>
      </c>
      <c r="X1405" s="164">
        <f>IF(BetTable[Odds]="","",(BetTable[WBA1-Commission])-BetTable[TS])</f>
        <v>62.5</v>
      </c>
      <c r="Y1405" s="168">
        <f>IF(BetTable[Outcome]="","",BetTable[WBA1]+BetTable[WBA2]+BetTable[WBA3]-BetTable[TS])</f>
        <v>-25</v>
      </c>
      <c r="Z1405" s="164">
        <f>(((BetTable[Odds]-1)*BetTable[Stake])*(1-(BetTable[Comm %]))+BetTable[Stake])</f>
        <v>87.5</v>
      </c>
      <c r="AA1405" s="164">
        <f>(((BetTable[O2]-1)*BetTable[S2])*(1-(BetTable[C% 2]))+BetTable[S2])</f>
        <v>0</v>
      </c>
      <c r="AB1405" s="164">
        <f>(((BetTable[O3]-1)*BetTable[S3])*(1-(BetTable[C% 3]))+BetTable[S3])</f>
        <v>0</v>
      </c>
      <c r="AC1405" s="165">
        <f>IFERROR(IF(BetTable[Sport]="","",BetTable[R1]/BetTable[TS]),"")</f>
        <v>2.5</v>
      </c>
      <c r="AD1405" s="165" t="str">
        <f>IF(BetTable[O2]="","",#REF!/BetTable[TS])</f>
        <v/>
      </c>
      <c r="AE1405" s="165" t="str">
        <f>IFERROR(IF(BetTable[Sport]="","",#REF!/BetTable[TS]),"")</f>
        <v/>
      </c>
      <c r="AF1405" s="164">
        <f>IF(BetTable[Outcome]="Win",BetTable[WBA1-Commission],IF(BetTable[Outcome]="Win Half Stake",(BetTable[Stake]/2)+BetTable[WBA1-Commission]/2,IF(BetTable[Outcome]="Lose Half Stake",BetTable[Stake]/2,IF(BetTable[Outcome]="Lose",0,IF(BetTable[Outcome]="Void",BetTable[Stake],)))))</f>
        <v>0</v>
      </c>
      <c r="AG1405" s="164">
        <f>IF(BetTable[Outcome2]="Win",BetTable[WBA2-Commission],IF(BetTable[Outcome2]="Win Half Stake",(BetTable[S2]/2)+BetTable[WBA2-Commission]/2,IF(BetTable[Outcome2]="Lose Half Stake",BetTable[S2]/2,IF(BetTable[Outcome2]="Lose",0,IF(BetTable[Outcome2]="Void",BetTable[S2],)))))</f>
        <v>0</v>
      </c>
      <c r="AH1405" s="164">
        <f>IF(BetTable[Outcome3]="Win",BetTable[WBA3-Commission],IF(BetTable[Outcome3]="Win Half Stake",(BetTable[S3]/2)+BetTable[WBA3-Commission]/2,IF(BetTable[Outcome3]="Lose Half Stake",BetTable[S3]/2,IF(BetTable[Outcome3]="Lose",0,IF(BetTable[Outcome3]="Void",BetTable[S3],)))))</f>
        <v>0</v>
      </c>
      <c r="AI1405" s="168">
        <f>IF(BetTable[Outcome]="",AI1404,BetTable[Result]+AI1404)</f>
        <v>2290.4627499999992</v>
      </c>
      <c r="AJ1405" s="160"/>
    </row>
    <row r="1406" spans="1:36" x14ac:dyDescent="0.2">
      <c r="A1406" s="159" t="s">
        <v>3324</v>
      </c>
      <c r="B1406" s="160" t="s">
        <v>7</v>
      </c>
      <c r="C1406" s="161" t="s">
        <v>91</v>
      </c>
      <c r="D1406" s="161"/>
      <c r="E1406" s="161"/>
      <c r="F1406" s="162"/>
      <c r="G1406" s="162"/>
      <c r="H1406" s="162"/>
      <c r="I1406" s="160" t="s">
        <v>3372</v>
      </c>
      <c r="J1406" s="163">
        <v>2.19</v>
      </c>
      <c r="K1406" s="163"/>
      <c r="L1406" s="163"/>
      <c r="M1406" s="164">
        <v>38</v>
      </c>
      <c r="N1406" s="164"/>
      <c r="O1406" s="164"/>
      <c r="P1406" s="159" t="s">
        <v>2294</v>
      </c>
      <c r="Q1406" s="159" t="s">
        <v>488</v>
      </c>
      <c r="R1406" s="159" t="s">
        <v>3373</v>
      </c>
      <c r="S1406" s="165">
        <v>2.34313725490196E-2</v>
      </c>
      <c r="T1406" s="166" t="s">
        <v>382</v>
      </c>
      <c r="U1406" s="166"/>
      <c r="V1406" s="166"/>
      <c r="W1406" s="167">
        <f>IF(BetTable[Sport]="","",BetTable[Stake]+BetTable[S2]+BetTable[S3])</f>
        <v>38</v>
      </c>
      <c r="X1406" s="164">
        <f>IF(BetTable[Odds]="","",(BetTable[WBA1-Commission])-BetTable[TS])</f>
        <v>45.22</v>
      </c>
      <c r="Y1406" s="168">
        <f>IF(BetTable[Outcome]="","",BetTable[WBA1]+BetTable[WBA2]+BetTable[WBA3]-BetTable[TS])</f>
        <v>-38</v>
      </c>
      <c r="Z1406" s="164">
        <f>(((BetTable[Odds]-1)*BetTable[Stake])*(1-(BetTable[Comm %]))+BetTable[Stake])</f>
        <v>83.22</v>
      </c>
      <c r="AA1406" s="164">
        <f>(((BetTable[O2]-1)*BetTable[S2])*(1-(BetTable[C% 2]))+BetTable[S2])</f>
        <v>0</v>
      </c>
      <c r="AB1406" s="164">
        <f>(((BetTable[O3]-1)*BetTable[S3])*(1-(BetTable[C% 3]))+BetTable[S3])</f>
        <v>0</v>
      </c>
      <c r="AC1406" s="165">
        <f>IFERROR(IF(BetTable[Sport]="","",BetTable[R1]/BetTable[TS]),"")</f>
        <v>1.19</v>
      </c>
      <c r="AD1406" s="165" t="str">
        <f>IF(BetTable[O2]="","",#REF!/BetTable[TS])</f>
        <v/>
      </c>
      <c r="AE1406" s="165" t="str">
        <f>IFERROR(IF(BetTable[Sport]="","",#REF!/BetTable[TS]),"")</f>
        <v/>
      </c>
      <c r="AF1406" s="164">
        <f>IF(BetTable[Outcome]="Win",BetTable[WBA1-Commission],IF(BetTable[Outcome]="Win Half Stake",(BetTable[Stake]/2)+BetTable[WBA1-Commission]/2,IF(BetTable[Outcome]="Lose Half Stake",BetTable[Stake]/2,IF(BetTable[Outcome]="Lose",0,IF(BetTable[Outcome]="Void",BetTable[Stake],)))))</f>
        <v>0</v>
      </c>
      <c r="AG1406" s="164">
        <f>IF(BetTable[Outcome2]="Win",BetTable[WBA2-Commission],IF(BetTable[Outcome2]="Win Half Stake",(BetTable[S2]/2)+BetTable[WBA2-Commission]/2,IF(BetTable[Outcome2]="Lose Half Stake",BetTable[S2]/2,IF(BetTable[Outcome2]="Lose",0,IF(BetTable[Outcome2]="Void",BetTable[S2],)))))</f>
        <v>0</v>
      </c>
      <c r="AH1406" s="164">
        <f>IF(BetTable[Outcome3]="Win",BetTable[WBA3-Commission],IF(BetTable[Outcome3]="Win Half Stake",(BetTable[S3]/2)+BetTable[WBA3-Commission]/2,IF(BetTable[Outcome3]="Lose Half Stake",BetTable[S3]/2,IF(BetTable[Outcome3]="Lose",0,IF(BetTable[Outcome3]="Void",BetTable[S3],)))))</f>
        <v>0</v>
      </c>
      <c r="AI1406" s="168">
        <f>IF(BetTable[Outcome]="",AI1405,BetTable[Result]+AI1405)</f>
        <v>2252.4627499999992</v>
      </c>
      <c r="AJ1406" s="160"/>
    </row>
    <row r="1407" spans="1:36" x14ac:dyDescent="0.2">
      <c r="A1407" s="159" t="s">
        <v>3324</v>
      </c>
      <c r="B1407" s="160" t="s">
        <v>7</v>
      </c>
      <c r="C1407" s="161" t="s">
        <v>91</v>
      </c>
      <c r="D1407" s="161"/>
      <c r="E1407" s="161"/>
      <c r="F1407" s="162"/>
      <c r="G1407" s="162"/>
      <c r="H1407" s="162"/>
      <c r="I1407" s="160" t="s">
        <v>3372</v>
      </c>
      <c r="J1407" s="163">
        <v>1.81</v>
      </c>
      <c r="K1407" s="163"/>
      <c r="L1407" s="163"/>
      <c r="M1407" s="164">
        <v>64</v>
      </c>
      <c r="N1407" s="164"/>
      <c r="O1407" s="164"/>
      <c r="P1407" s="159" t="s">
        <v>3374</v>
      </c>
      <c r="Q1407" s="159" t="s">
        <v>488</v>
      </c>
      <c r="R1407" s="159" t="s">
        <v>3375</v>
      </c>
      <c r="S1407" s="165">
        <v>4.0716892810369602E-2</v>
      </c>
      <c r="T1407" s="166" t="s">
        <v>382</v>
      </c>
      <c r="U1407" s="166"/>
      <c r="V1407" s="166"/>
      <c r="W1407" s="167">
        <f>IF(BetTable[Sport]="","",BetTable[Stake]+BetTable[S2]+BetTable[S3])</f>
        <v>64</v>
      </c>
      <c r="X1407" s="164">
        <f>IF(BetTable[Odds]="","",(BetTable[WBA1-Commission])-BetTable[TS])</f>
        <v>51.84</v>
      </c>
      <c r="Y1407" s="168">
        <f>IF(BetTable[Outcome]="","",BetTable[WBA1]+BetTable[WBA2]+BetTable[WBA3]-BetTable[TS])</f>
        <v>-64</v>
      </c>
      <c r="Z1407" s="164">
        <f>(((BetTable[Odds]-1)*BetTable[Stake])*(1-(BetTable[Comm %]))+BetTable[Stake])</f>
        <v>115.84</v>
      </c>
      <c r="AA1407" s="164">
        <f>(((BetTable[O2]-1)*BetTable[S2])*(1-(BetTable[C% 2]))+BetTable[S2])</f>
        <v>0</v>
      </c>
      <c r="AB1407" s="164">
        <f>(((BetTable[O3]-1)*BetTable[S3])*(1-(BetTable[C% 3]))+BetTable[S3])</f>
        <v>0</v>
      </c>
      <c r="AC1407" s="165">
        <f>IFERROR(IF(BetTable[Sport]="","",BetTable[R1]/BetTable[TS]),"")</f>
        <v>0.81</v>
      </c>
      <c r="AD1407" s="165" t="str">
        <f>IF(BetTable[O2]="","",#REF!/BetTable[TS])</f>
        <v/>
      </c>
      <c r="AE1407" s="165" t="str">
        <f>IFERROR(IF(BetTable[Sport]="","",#REF!/BetTable[TS]),"")</f>
        <v/>
      </c>
      <c r="AF1407" s="164">
        <f>IF(BetTable[Outcome]="Win",BetTable[WBA1-Commission],IF(BetTable[Outcome]="Win Half Stake",(BetTable[Stake]/2)+BetTable[WBA1-Commission]/2,IF(BetTable[Outcome]="Lose Half Stake",BetTable[Stake]/2,IF(BetTable[Outcome]="Lose",0,IF(BetTable[Outcome]="Void",BetTable[Stake],)))))</f>
        <v>0</v>
      </c>
      <c r="AG1407" s="164">
        <f>IF(BetTable[Outcome2]="Win",BetTable[WBA2-Commission],IF(BetTable[Outcome2]="Win Half Stake",(BetTable[S2]/2)+BetTable[WBA2-Commission]/2,IF(BetTable[Outcome2]="Lose Half Stake",BetTable[S2]/2,IF(BetTable[Outcome2]="Lose",0,IF(BetTable[Outcome2]="Void",BetTable[S2],)))))</f>
        <v>0</v>
      </c>
      <c r="AH1407" s="164">
        <f>IF(BetTable[Outcome3]="Win",BetTable[WBA3-Commission],IF(BetTable[Outcome3]="Win Half Stake",(BetTable[S3]/2)+BetTable[WBA3-Commission]/2,IF(BetTable[Outcome3]="Lose Half Stake",BetTable[S3]/2,IF(BetTable[Outcome3]="Lose",0,IF(BetTable[Outcome3]="Void",BetTable[S3],)))))</f>
        <v>0</v>
      </c>
      <c r="AI1407" s="168">
        <f>IF(BetTable[Outcome]="",AI1406,BetTable[Result]+AI1406)</f>
        <v>2188.4627499999992</v>
      </c>
      <c r="AJ1407" s="160"/>
    </row>
    <row r="1408" spans="1:36" x14ac:dyDescent="0.2">
      <c r="A1408" s="159" t="s">
        <v>3324</v>
      </c>
      <c r="B1408" s="160" t="s">
        <v>200</v>
      </c>
      <c r="C1408" s="161" t="s">
        <v>1714</v>
      </c>
      <c r="D1408" s="161"/>
      <c r="E1408" s="161"/>
      <c r="F1408" s="162"/>
      <c r="G1408" s="162"/>
      <c r="H1408" s="162"/>
      <c r="I1408" s="160" t="s">
        <v>3376</v>
      </c>
      <c r="J1408" s="163">
        <v>1.68</v>
      </c>
      <c r="K1408" s="163"/>
      <c r="L1408" s="163"/>
      <c r="M1408" s="164">
        <v>48</v>
      </c>
      <c r="N1408" s="164"/>
      <c r="O1408" s="164"/>
      <c r="P1408" s="159" t="s">
        <v>360</v>
      </c>
      <c r="Q1408" s="159" t="s">
        <v>485</v>
      </c>
      <c r="R1408" s="159" t="s">
        <v>3377</v>
      </c>
      <c r="S1408" s="165">
        <v>1.65665354429427E-2</v>
      </c>
      <c r="T1408" s="166" t="s">
        <v>383</v>
      </c>
      <c r="U1408" s="166"/>
      <c r="V1408" s="166"/>
      <c r="W1408" s="167">
        <f>IF(BetTable[Sport]="","",BetTable[Stake]+BetTable[S2]+BetTable[S3])</f>
        <v>48</v>
      </c>
      <c r="X1408" s="164">
        <f>IF(BetTable[Odds]="","",(BetTable[WBA1-Commission])-BetTable[TS])</f>
        <v>32.64</v>
      </c>
      <c r="Y1408" s="168">
        <f>IF(BetTable[Outcome]="","",BetTable[WBA1]+BetTable[WBA2]+BetTable[WBA3]-BetTable[TS])</f>
        <v>0</v>
      </c>
      <c r="Z1408" s="164">
        <f>(((BetTable[Odds]-1)*BetTable[Stake])*(1-(BetTable[Comm %]))+BetTable[Stake])</f>
        <v>80.64</v>
      </c>
      <c r="AA1408" s="164">
        <f>(((BetTable[O2]-1)*BetTable[S2])*(1-(BetTable[C% 2]))+BetTable[S2])</f>
        <v>0</v>
      </c>
      <c r="AB1408" s="164">
        <f>(((BetTable[O3]-1)*BetTable[S3])*(1-(BetTable[C% 3]))+BetTable[S3])</f>
        <v>0</v>
      </c>
      <c r="AC1408" s="165">
        <f>IFERROR(IF(BetTable[Sport]="","",BetTable[R1]/BetTable[TS]),"")</f>
        <v>0.68</v>
      </c>
      <c r="AD1408" s="165" t="str">
        <f>IF(BetTable[O2]="","",#REF!/BetTable[TS])</f>
        <v/>
      </c>
      <c r="AE1408" s="165" t="str">
        <f>IFERROR(IF(BetTable[Sport]="","",#REF!/BetTable[TS]),"")</f>
        <v/>
      </c>
      <c r="AF1408" s="164">
        <f>IF(BetTable[Outcome]="Win",BetTable[WBA1-Commission],IF(BetTable[Outcome]="Win Half Stake",(BetTable[Stake]/2)+BetTable[WBA1-Commission]/2,IF(BetTable[Outcome]="Lose Half Stake",BetTable[Stake]/2,IF(BetTable[Outcome]="Lose",0,IF(BetTable[Outcome]="Void",BetTable[Stake],)))))</f>
        <v>48</v>
      </c>
      <c r="AG1408" s="164">
        <f>IF(BetTable[Outcome2]="Win",BetTable[WBA2-Commission],IF(BetTable[Outcome2]="Win Half Stake",(BetTable[S2]/2)+BetTable[WBA2-Commission]/2,IF(BetTable[Outcome2]="Lose Half Stake",BetTable[S2]/2,IF(BetTable[Outcome2]="Lose",0,IF(BetTable[Outcome2]="Void",BetTable[S2],)))))</f>
        <v>0</v>
      </c>
      <c r="AH1408" s="164">
        <f>IF(BetTable[Outcome3]="Win",BetTable[WBA3-Commission],IF(BetTable[Outcome3]="Win Half Stake",(BetTable[S3]/2)+BetTable[WBA3-Commission]/2,IF(BetTable[Outcome3]="Lose Half Stake",BetTable[S3]/2,IF(BetTable[Outcome3]="Lose",0,IF(BetTable[Outcome3]="Void",BetTable[S3],)))))</f>
        <v>0</v>
      </c>
      <c r="AI1408" s="168">
        <f>IF(BetTable[Outcome]="",AI1407,BetTable[Result]+AI1407)</f>
        <v>2188.4627499999992</v>
      </c>
      <c r="AJ1408" s="160"/>
    </row>
    <row r="1409" spans="1:36" x14ac:dyDescent="0.2">
      <c r="A1409" s="159" t="s">
        <v>3324</v>
      </c>
      <c r="B1409" s="160" t="s">
        <v>200</v>
      </c>
      <c r="C1409" s="161" t="s">
        <v>1714</v>
      </c>
      <c r="D1409" s="161"/>
      <c r="E1409" s="161"/>
      <c r="F1409" s="162"/>
      <c r="G1409" s="162"/>
      <c r="H1409" s="162"/>
      <c r="I1409" s="160" t="s">
        <v>3378</v>
      </c>
      <c r="J1409" s="163">
        <v>3.1</v>
      </c>
      <c r="K1409" s="163"/>
      <c r="L1409" s="163"/>
      <c r="M1409" s="164">
        <v>27</v>
      </c>
      <c r="N1409" s="164"/>
      <c r="O1409" s="164"/>
      <c r="P1409" s="159" t="s">
        <v>494</v>
      </c>
      <c r="Q1409" s="159" t="s">
        <v>506</v>
      </c>
      <c r="R1409" s="159" t="s">
        <v>3379</v>
      </c>
      <c r="S1409" s="165">
        <v>2.89162944335358E-2</v>
      </c>
      <c r="T1409" s="166" t="s">
        <v>382</v>
      </c>
      <c r="U1409" s="166"/>
      <c r="V1409" s="166"/>
      <c r="W1409" s="167">
        <f>IF(BetTable[Sport]="","",BetTable[Stake]+BetTable[S2]+BetTable[S3])</f>
        <v>27</v>
      </c>
      <c r="X1409" s="164">
        <f>IF(BetTable[Odds]="","",(BetTable[WBA1-Commission])-BetTable[TS])</f>
        <v>56.7</v>
      </c>
      <c r="Y1409" s="168">
        <f>IF(BetTable[Outcome]="","",BetTable[WBA1]+BetTable[WBA2]+BetTable[WBA3]-BetTable[TS])</f>
        <v>-27</v>
      </c>
      <c r="Z1409" s="164">
        <f>(((BetTable[Odds]-1)*BetTable[Stake])*(1-(BetTable[Comm %]))+BetTable[Stake])</f>
        <v>83.7</v>
      </c>
      <c r="AA1409" s="164">
        <f>(((BetTable[O2]-1)*BetTable[S2])*(1-(BetTable[C% 2]))+BetTable[S2])</f>
        <v>0</v>
      </c>
      <c r="AB1409" s="164">
        <f>(((BetTable[O3]-1)*BetTable[S3])*(1-(BetTable[C% 3]))+BetTable[S3])</f>
        <v>0</v>
      </c>
      <c r="AC1409" s="165">
        <f>IFERROR(IF(BetTable[Sport]="","",BetTable[R1]/BetTable[TS]),"")</f>
        <v>2.1</v>
      </c>
      <c r="AD1409" s="165" t="str">
        <f>IF(BetTable[O2]="","",#REF!/BetTable[TS])</f>
        <v/>
      </c>
      <c r="AE1409" s="165" t="str">
        <f>IFERROR(IF(BetTable[Sport]="","",#REF!/BetTable[TS]),"")</f>
        <v/>
      </c>
      <c r="AF1409" s="164">
        <f>IF(BetTable[Outcome]="Win",BetTable[WBA1-Commission],IF(BetTable[Outcome]="Win Half Stake",(BetTable[Stake]/2)+BetTable[WBA1-Commission]/2,IF(BetTable[Outcome]="Lose Half Stake",BetTable[Stake]/2,IF(BetTable[Outcome]="Lose",0,IF(BetTable[Outcome]="Void",BetTable[Stake],)))))</f>
        <v>0</v>
      </c>
      <c r="AG1409" s="164">
        <f>IF(BetTable[Outcome2]="Win",BetTable[WBA2-Commission],IF(BetTable[Outcome2]="Win Half Stake",(BetTable[S2]/2)+BetTable[WBA2-Commission]/2,IF(BetTable[Outcome2]="Lose Half Stake",BetTable[S2]/2,IF(BetTable[Outcome2]="Lose",0,IF(BetTable[Outcome2]="Void",BetTable[S2],)))))</f>
        <v>0</v>
      </c>
      <c r="AH1409" s="164">
        <f>IF(BetTable[Outcome3]="Win",BetTable[WBA3-Commission],IF(BetTable[Outcome3]="Win Half Stake",(BetTable[S3]/2)+BetTable[WBA3-Commission]/2,IF(BetTable[Outcome3]="Lose Half Stake",BetTable[S3]/2,IF(BetTable[Outcome3]="Lose",0,IF(BetTable[Outcome3]="Void",BetTable[S3],)))))</f>
        <v>0</v>
      </c>
      <c r="AI1409" s="168">
        <f>IF(BetTable[Outcome]="",AI1408,BetTable[Result]+AI1408)</f>
        <v>2161.4627499999992</v>
      </c>
      <c r="AJ1409" s="160"/>
    </row>
    <row r="1410" spans="1:36" x14ac:dyDescent="0.2">
      <c r="A1410" s="159" t="s">
        <v>3324</v>
      </c>
      <c r="B1410" s="160" t="s">
        <v>200</v>
      </c>
      <c r="C1410" s="161" t="s">
        <v>1714</v>
      </c>
      <c r="D1410" s="161"/>
      <c r="E1410" s="161"/>
      <c r="F1410" s="162"/>
      <c r="G1410" s="162"/>
      <c r="H1410" s="162"/>
      <c r="I1410" s="160" t="s">
        <v>3380</v>
      </c>
      <c r="J1410" s="163">
        <v>1.92</v>
      </c>
      <c r="K1410" s="163"/>
      <c r="L1410" s="163"/>
      <c r="M1410" s="164">
        <v>38</v>
      </c>
      <c r="N1410" s="164"/>
      <c r="O1410" s="164"/>
      <c r="P1410" s="159" t="s">
        <v>360</v>
      </c>
      <c r="Q1410" s="159" t="s">
        <v>677</v>
      </c>
      <c r="R1410" s="159" t="s">
        <v>3381</v>
      </c>
      <c r="S1410" s="165">
        <v>1.8085808580857999E-2</v>
      </c>
      <c r="T1410" s="166" t="s">
        <v>372</v>
      </c>
      <c r="U1410" s="166"/>
      <c r="V1410" s="166"/>
      <c r="W1410" s="167">
        <f>IF(BetTable[Sport]="","",BetTable[Stake]+BetTable[S2]+BetTable[S3])</f>
        <v>38</v>
      </c>
      <c r="X1410" s="164">
        <f>IF(BetTable[Odds]="","",(BetTable[WBA1-Commission])-BetTable[TS])</f>
        <v>34.959999999999994</v>
      </c>
      <c r="Y1410" s="168">
        <f>IF(BetTable[Outcome]="","",BetTable[WBA1]+BetTable[WBA2]+BetTable[WBA3]-BetTable[TS])</f>
        <v>34.959999999999994</v>
      </c>
      <c r="Z1410" s="164">
        <f>(((BetTable[Odds]-1)*BetTable[Stake])*(1-(BetTable[Comm %]))+BetTable[Stake])</f>
        <v>72.959999999999994</v>
      </c>
      <c r="AA1410" s="164">
        <f>(((BetTable[O2]-1)*BetTable[S2])*(1-(BetTable[C% 2]))+BetTable[S2])</f>
        <v>0</v>
      </c>
      <c r="AB1410" s="164">
        <f>(((BetTable[O3]-1)*BetTable[S3])*(1-(BetTable[C% 3]))+BetTable[S3])</f>
        <v>0</v>
      </c>
      <c r="AC1410" s="165">
        <f>IFERROR(IF(BetTable[Sport]="","",BetTable[R1]/BetTable[TS]),"")</f>
        <v>0.91999999999999982</v>
      </c>
      <c r="AD1410" s="165" t="str">
        <f>IF(BetTable[O2]="","",#REF!/BetTable[TS])</f>
        <v/>
      </c>
      <c r="AE1410" s="165" t="str">
        <f>IFERROR(IF(BetTable[Sport]="","",#REF!/BetTable[TS]),"")</f>
        <v/>
      </c>
      <c r="AF1410" s="164">
        <f>IF(BetTable[Outcome]="Win",BetTable[WBA1-Commission],IF(BetTable[Outcome]="Win Half Stake",(BetTable[Stake]/2)+BetTable[WBA1-Commission]/2,IF(BetTable[Outcome]="Lose Half Stake",BetTable[Stake]/2,IF(BetTable[Outcome]="Lose",0,IF(BetTable[Outcome]="Void",BetTable[Stake],)))))</f>
        <v>72.959999999999994</v>
      </c>
      <c r="AG1410" s="164">
        <f>IF(BetTable[Outcome2]="Win",BetTable[WBA2-Commission],IF(BetTable[Outcome2]="Win Half Stake",(BetTable[S2]/2)+BetTable[WBA2-Commission]/2,IF(BetTable[Outcome2]="Lose Half Stake",BetTable[S2]/2,IF(BetTable[Outcome2]="Lose",0,IF(BetTable[Outcome2]="Void",BetTable[S2],)))))</f>
        <v>0</v>
      </c>
      <c r="AH1410" s="164">
        <f>IF(BetTable[Outcome3]="Win",BetTable[WBA3-Commission],IF(BetTable[Outcome3]="Win Half Stake",(BetTable[S3]/2)+BetTable[WBA3-Commission]/2,IF(BetTable[Outcome3]="Lose Half Stake",BetTable[S3]/2,IF(BetTable[Outcome3]="Lose",0,IF(BetTable[Outcome3]="Void",BetTable[S3],)))))</f>
        <v>0</v>
      </c>
      <c r="AI1410" s="168">
        <f>IF(BetTable[Outcome]="",AI1409,BetTable[Result]+AI1409)</f>
        <v>2196.4227499999993</v>
      </c>
      <c r="AJ1410" s="160"/>
    </row>
    <row r="1411" spans="1:36" x14ac:dyDescent="0.2">
      <c r="A1411" s="159" t="s">
        <v>3324</v>
      </c>
      <c r="B1411" s="160" t="s">
        <v>7</v>
      </c>
      <c r="C1411" s="161" t="s">
        <v>91</v>
      </c>
      <c r="D1411" s="161"/>
      <c r="E1411" s="161"/>
      <c r="F1411" s="162"/>
      <c r="G1411" s="162"/>
      <c r="H1411" s="162"/>
      <c r="I1411" s="160" t="s">
        <v>3382</v>
      </c>
      <c r="J1411" s="163">
        <v>1.79</v>
      </c>
      <c r="K1411" s="163"/>
      <c r="L1411" s="163"/>
      <c r="M1411" s="164">
        <v>38</v>
      </c>
      <c r="N1411" s="164"/>
      <c r="O1411" s="164"/>
      <c r="P1411" s="159" t="s">
        <v>1617</v>
      </c>
      <c r="Q1411" s="159" t="s">
        <v>485</v>
      </c>
      <c r="R1411" s="159" t="s">
        <v>3383</v>
      </c>
      <c r="S1411" s="165">
        <v>1.7874182326083801E-2</v>
      </c>
      <c r="T1411" s="166" t="s">
        <v>382</v>
      </c>
      <c r="U1411" s="166"/>
      <c r="V1411" s="166"/>
      <c r="W1411" s="167">
        <f>IF(BetTable[Sport]="","",BetTable[Stake]+BetTable[S2]+BetTable[S3])</f>
        <v>38</v>
      </c>
      <c r="X1411" s="164">
        <f>IF(BetTable[Odds]="","",(BetTable[WBA1-Commission])-BetTable[TS])</f>
        <v>30.02000000000001</v>
      </c>
      <c r="Y1411" s="168">
        <f>IF(BetTable[Outcome]="","",BetTable[WBA1]+BetTable[WBA2]+BetTable[WBA3]-BetTable[TS])</f>
        <v>-38</v>
      </c>
      <c r="Z1411" s="164">
        <f>(((BetTable[Odds]-1)*BetTable[Stake])*(1-(BetTable[Comm %]))+BetTable[Stake])</f>
        <v>68.02000000000001</v>
      </c>
      <c r="AA1411" s="164">
        <f>(((BetTable[O2]-1)*BetTable[S2])*(1-(BetTable[C% 2]))+BetTable[S2])</f>
        <v>0</v>
      </c>
      <c r="AB1411" s="164">
        <f>(((BetTable[O3]-1)*BetTable[S3])*(1-(BetTable[C% 3]))+BetTable[S3])</f>
        <v>0</v>
      </c>
      <c r="AC1411" s="165">
        <f>IFERROR(IF(BetTable[Sport]="","",BetTable[R1]/BetTable[TS]),"")</f>
        <v>0.79000000000000026</v>
      </c>
      <c r="AD1411" s="165" t="str">
        <f>IF(BetTable[O2]="","",#REF!/BetTable[TS])</f>
        <v/>
      </c>
      <c r="AE1411" s="165" t="str">
        <f>IFERROR(IF(BetTable[Sport]="","",#REF!/BetTable[TS]),"")</f>
        <v/>
      </c>
      <c r="AF1411" s="164">
        <f>IF(BetTable[Outcome]="Win",BetTable[WBA1-Commission],IF(BetTable[Outcome]="Win Half Stake",(BetTable[Stake]/2)+BetTable[WBA1-Commission]/2,IF(BetTable[Outcome]="Lose Half Stake",BetTable[Stake]/2,IF(BetTable[Outcome]="Lose",0,IF(BetTable[Outcome]="Void",BetTable[Stake],)))))</f>
        <v>0</v>
      </c>
      <c r="AG1411" s="164">
        <f>IF(BetTable[Outcome2]="Win",BetTable[WBA2-Commission],IF(BetTable[Outcome2]="Win Half Stake",(BetTable[S2]/2)+BetTable[WBA2-Commission]/2,IF(BetTable[Outcome2]="Lose Half Stake",BetTable[S2]/2,IF(BetTable[Outcome2]="Lose",0,IF(BetTable[Outcome2]="Void",BetTable[S2],)))))</f>
        <v>0</v>
      </c>
      <c r="AH1411" s="164">
        <f>IF(BetTable[Outcome3]="Win",BetTable[WBA3-Commission],IF(BetTable[Outcome3]="Win Half Stake",(BetTable[S3]/2)+BetTable[WBA3-Commission]/2,IF(BetTable[Outcome3]="Lose Half Stake",BetTable[S3]/2,IF(BetTable[Outcome3]="Lose",0,IF(BetTable[Outcome3]="Void",BetTable[S3],)))))</f>
        <v>0</v>
      </c>
      <c r="AI1411" s="168">
        <f>IF(BetTable[Outcome]="",AI1410,BetTable[Result]+AI1410)</f>
        <v>2158.4227499999993</v>
      </c>
      <c r="AJ1411" s="160"/>
    </row>
    <row r="1412" spans="1:36" x14ac:dyDescent="0.2">
      <c r="A1412" s="159" t="s">
        <v>3324</v>
      </c>
      <c r="B1412" s="160" t="s">
        <v>7</v>
      </c>
      <c r="C1412" s="161" t="s">
        <v>91</v>
      </c>
      <c r="D1412" s="161"/>
      <c r="E1412" s="161"/>
      <c r="F1412" s="162"/>
      <c r="G1412" s="162"/>
      <c r="H1412" s="162"/>
      <c r="I1412" s="160" t="s">
        <v>3384</v>
      </c>
      <c r="J1412" s="163">
        <v>1.88</v>
      </c>
      <c r="K1412" s="163"/>
      <c r="L1412" s="163"/>
      <c r="M1412" s="164">
        <v>41</v>
      </c>
      <c r="N1412" s="164"/>
      <c r="O1412" s="164"/>
      <c r="P1412" s="159" t="s">
        <v>332</v>
      </c>
      <c r="Q1412" s="159" t="s">
        <v>506</v>
      </c>
      <c r="R1412" s="159" t="s">
        <v>3385</v>
      </c>
      <c r="S1412" s="165">
        <v>1.8642013442934102E-2</v>
      </c>
      <c r="T1412" s="166" t="s">
        <v>382</v>
      </c>
      <c r="U1412" s="166"/>
      <c r="V1412" s="166"/>
      <c r="W1412" s="167">
        <f>IF(BetTable[Sport]="","",BetTable[Stake]+BetTable[S2]+BetTable[S3])</f>
        <v>41</v>
      </c>
      <c r="X1412" s="164">
        <f>IF(BetTable[Odds]="","",(BetTable[WBA1-Commission])-BetTable[TS])</f>
        <v>36.08</v>
      </c>
      <c r="Y1412" s="168">
        <f>IF(BetTable[Outcome]="","",BetTable[WBA1]+BetTable[WBA2]+BetTable[WBA3]-BetTable[TS])</f>
        <v>-41</v>
      </c>
      <c r="Z1412" s="164">
        <f>(((BetTable[Odds]-1)*BetTable[Stake])*(1-(BetTable[Comm %]))+BetTable[Stake])</f>
        <v>77.08</v>
      </c>
      <c r="AA1412" s="164">
        <f>(((BetTable[O2]-1)*BetTable[S2])*(1-(BetTable[C% 2]))+BetTable[S2])</f>
        <v>0</v>
      </c>
      <c r="AB1412" s="164">
        <f>(((BetTable[O3]-1)*BetTable[S3])*(1-(BetTable[C% 3]))+BetTable[S3])</f>
        <v>0</v>
      </c>
      <c r="AC1412" s="165">
        <f>IFERROR(IF(BetTable[Sport]="","",BetTable[R1]/BetTable[TS]),"")</f>
        <v>0.88</v>
      </c>
      <c r="AD1412" s="165" t="str">
        <f>IF(BetTable[O2]="","",#REF!/BetTable[TS])</f>
        <v/>
      </c>
      <c r="AE1412" s="165" t="str">
        <f>IFERROR(IF(BetTable[Sport]="","",#REF!/BetTable[TS]),"")</f>
        <v/>
      </c>
      <c r="AF1412" s="164">
        <f>IF(BetTable[Outcome]="Win",BetTable[WBA1-Commission],IF(BetTable[Outcome]="Win Half Stake",(BetTable[Stake]/2)+BetTable[WBA1-Commission]/2,IF(BetTable[Outcome]="Lose Half Stake",BetTable[Stake]/2,IF(BetTable[Outcome]="Lose",0,IF(BetTable[Outcome]="Void",BetTable[Stake],)))))</f>
        <v>0</v>
      </c>
      <c r="AG1412" s="164">
        <f>IF(BetTable[Outcome2]="Win",BetTable[WBA2-Commission],IF(BetTable[Outcome2]="Win Half Stake",(BetTable[S2]/2)+BetTable[WBA2-Commission]/2,IF(BetTable[Outcome2]="Lose Half Stake",BetTable[S2]/2,IF(BetTable[Outcome2]="Lose",0,IF(BetTable[Outcome2]="Void",BetTable[S2],)))))</f>
        <v>0</v>
      </c>
      <c r="AH1412" s="164">
        <f>IF(BetTable[Outcome3]="Win",BetTable[WBA3-Commission],IF(BetTable[Outcome3]="Win Half Stake",(BetTable[S3]/2)+BetTable[WBA3-Commission]/2,IF(BetTable[Outcome3]="Lose Half Stake",BetTable[S3]/2,IF(BetTable[Outcome3]="Lose",0,IF(BetTable[Outcome3]="Void",BetTable[S3],)))))</f>
        <v>0</v>
      </c>
      <c r="AI1412" s="168">
        <f>IF(BetTable[Outcome]="",AI1411,BetTable[Result]+AI1411)</f>
        <v>2117.4227499999993</v>
      </c>
      <c r="AJ1412" s="160"/>
    </row>
    <row r="1413" spans="1:36" x14ac:dyDescent="0.2">
      <c r="A1413" s="159" t="s">
        <v>3324</v>
      </c>
      <c r="B1413" s="160" t="s">
        <v>200</v>
      </c>
      <c r="C1413" s="161" t="s">
        <v>1714</v>
      </c>
      <c r="D1413" s="161"/>
      <c r="E1413" s="161"/>
      <c r="F1413" s="162"/>
      <c r="G1413" s="162"/>
      <c r="H1413" s="162"/>
      <c r="I1413" s="160" t="s">
        <v>3386</v>
      </c>
      <c r="J1413" s="163">
        <v>1.78</v>
      </c>
      <c r="K1413" s="163"/>
      <c r="L1413" s="163"/>
      <c r="M1413" s="164">
        <v>59</v>
      </c>
      <c r="N1413" s="164"/>
      <c r="O1413" s="164"/>
      <c r="P1413" s="159" t="s">
        <v>1636</v>
      </c>
      <c r="Q1413" s="159" t="s">
        <v>677</v>
      </c>
      <c r="R1413" s="159" t="s">
        <v>3387</v>
      </c>
      <c r="S1413" s="165">
        <v>2.3677442303220098E-2</v>
      </c>
      <c r="T1413" s="166" t="s">
        <v>549</v>
      </c>
      <c r="U1413" s="166"/>
      <c r="V1413" s="166"/>
      <c r="W1413" s="167">
        <f>IF(BetTable[Sport]="","",BetTable[Stake]+BetTable[S2]+BetTable[S3])</f>
        <v>59</v>
      </c>
      <c r="X1413" s="164">
        <f>IF(BetTable[Odds]="","",(BetTable[WBA1-Commission])-BetTable[TS])</f>
        <v>46.02000000000001</v>
      </c>
      <c r="Y1413" s="168">
        <f>IF(BetTable[Outcome]="","",BetTable[WBA1]+BetTable[WBA2]+BetTable[WBA3]-BetTable[TS])</f>
        <v>-29.5</v>
      </c>
      <c r="Z1413" s="164">
        <f>(((BetTable[Odds]-1)*BetTable[Stake])*(1-(BetTable[Comm %]))+BetTable[Stake])</f>
        <v>105.02000000000001</v>
      </c>
      <c r="AA1413" s="164">
        <f>(((BetTable[O2]-1)*BetTable[S2])*(1-(BetTable[C% 2]))+BetTable[S2])</f>
        <v>0</v>
      </c>
      <c r="AB1413" s="164">
        <f>(((BetTable[O3]-1)*BetTable[S3])*(1-(BetTable[C% 3]))+BetTable[S3])</f>
        <v>0</v>
      </c>
      <c r="AC1413" s="165">
        <f>IFERROR(IF(BetTable[Sport]="","",BetTable[R1]/BetTable[TS]),"")</f>
        <v>0.78000000000000014</v>
      </c>
      <c r="AD1413" s="165" t="str">
        <f>IF(BetTable[O2]="","",#REF!/BetTable[TS])</f>
        <v/>
      </c>
      <c r="AE1413" s="165" t="str">
        <f>IFERROR(IF(BetTable[Sport]="","",#REF!/BetTable[TS]),"")</f>
        <v/>
      </c>
      <c r="AF1413" s="164">
        <f>IF(BetTable[Outcome]="Win",BetTable[WBA1-Commission],IF(BetTable[Outcome]="Win Half Stake",(BetTable[Stake]/2)+BetTable[WBA1-Commission]/2,IF(BetTable[Outcome]="Lose Half Stake",BetTable[Stake]/2,IF(BetTable[Outcome]="Lose",0,IF(BetTable[Outcome]="Void",BetTable[Stake],)))))</f>
        <v>29.5</v>
      </c>
      <c r="AG1413" s="164">
        <f>IF(BetTable[Outcome2]="Win",BetTable[WBA2-Commission],IF(BetTable[Outcome2]="Win Half Stake",(BetTable[S2]/2)+BetTable[WBA2-Commission]/2,IF(BetTable[Outcome2]="Lose Half Stake",BetTable[S2]/2,IF(BetTable[Outcome2]="Lose",0,IF(BetTable[Outcome2]="Void",BetTable[S2],)))))</f>
        <v>0</v>
      </c>
      <c r="AH1413" s="164">
        <f>IF(BetTable[Outcome3]="Win",BetTable[WBA3-Commission],IF(BetTable[Outcome3]="Win Half Stake",(BetTable[S3]/2)+BetTable[WBA3-Commission]/2,IF(BetTable[Outcome3]="Lose Half Stake",BetTable[S3]/2,IF(BetTable[Outcome3]="Lose",0,IF(BetTable[Outcome3]="Void",BetTable[S3],)))))</f>
        <v>0</v>
      </c>
      <c r="AI1413" s="168">
        <f>IF(BetTable[Outcome]="",AI1412,BetTable[Result]+AI1412)</f>
        <v>2087.9227499999993</v>
      </c>
      <c r="AJ1413" s="160"/>
    </row>
    <row r="1414" spans="1:36" x14ac:dyDescent="0.2">
      <c r="A1414" s="159" t="s">
        <v>3324</v>
      </c>
      <c r="B1414" s="160" t="s">
        <v>7</v>
      </c>
      <c r="C1414" s="161" t="s">
        <v>91</v>
      </c>
      <c r="D1414" s="161"/>
      <c r="E1414" s="161"/>
      <c r="F1414" s="162"/>
      <c r="G1414" s="162"/>
      <c r="H1414" s="162"/>
      <c r="I1414" s="160" t="s">
        <v>3382</v>
      </c>
      <c r="J1414" s="163">
        <v>1.84</v>
      </c>
      <c r="K1414" s="163"/>
      <c r="L1414" s="163"/>
      <c r="M1414" s="164">
        <v>46</v>
      </c>
      <c r="N1414" s="164"/>
      <c r="O1414" s="164"/>
      <c r="P1414" s="159" t="s">
        <v>2080</v>
      </c>
      <c r="Q1414" s="159" t="s">
        <v>491</v>
      </c>
      <c r="R1414" s="159" t="s">
        <v>3388</v>
      </c>
      <c r="S1414" s="165">
        <v>1.9888543347665599E-2</v>
      </c>
      <c r="T1414" s="166" t="s">
        <v>382</v>
      </c>
      <c r="U1414" s="166"/>
      <c r="V1414" s="166"/>
      <c r="W1414" s="167">
        <f>IF(BetTable[Sport]="","",BetTable[Stake]+BetTable[S2]+BetTable[S3])</f>
        <v>46</v>
      </c>
      <c r="X1414" s="164">
        <f>IF(BetTable[Odds]="","",(BetTable[WBA1-Commission])-BetTable[TS])</f>
        <v>38.64</v>
      </c>
      <c r="Y1414" s="168">
        <f>IF(BetTable[Outcome]="","",BetTable[WBA1]+BetTable[WBA2]+BetTable[WBA3]-BetTable[TS])</f>
        <v>-46</v>
      </c>
      <c r="Z1414" s="164">
        <f>(((BetTable[Odds]-1)*BetTable[Stake])*(1-(BetTable[Comm %]))+BetTable[Stake])</f>
        <v>84.64</v>
      </c>
      <c r="AA1414" s="164">
        <f>(((BetTable[O2]-1)*BetTable[S2])*(1-(BetTable[C% 2]))+BetTable[S2])</f>
        <v>0</v>
      </c>
      <c r="AB1414" s="164">
        <f>(((BetTable[O3]-1)*BetTable[S3])*(1-(BetTable[C% 3]))+BetTable[S3])</f>
        <v>0</v>
      </c>
      <c r="AC1414" s="165">
        <f>IFERROR(IF(BetTable[Sport]="","",BetTable[R1]/BetTable[TS]),"")</f>
        <v>0.84</v>
      </c>
      <c r="AD1414" s="165" t="str">
        <f>IF(BetTable[O2]="","",#REF!/BetTable[TS])</f>
        <v/>
      </c>
      <c r="AE1414" s="165" t="str">
        <f>IFERROR(IF(BetTable[Sport]="","",#REF!/BetTable[TS]),"")</f>
        <v/>
      </c>
      <c r="AF1414" s="164">
        <f>IF(BetTable[Outcome]="Win",BetTable[WBA1-Commission],IF(BetTable[Outcome]="Win Half Stake",(BetTable[Stake]/2)+BetTable[WBA1-Commission]/2,IF(BetTable[Outcome]="Lose Half Stake",BetTable[Stake]/2,IF(BetTable[Outcome]="Lose",0,IF(BetTable[Outcome]="Void",BetTable[Stake],)))))</f>
        <v>0</v>
      </c>
      <c r="AG1414" s="164">
        <f>IF(BetTable[Outcome2]="Win",BetTable[WBA2-Commission],IF(BetTable[Outcome2]="Win Half Stake",(BetTable[S2]/2)+BetTable[WBA2-Commission]/2,IF(BetTable[Outcome2]="Lose Half Stake",BetTable[S2]/2,IF(BetTable[Outcome2]="Lose",0,IF(BetTable[Outcome2]="Void",BetTable[S2],)))))</f>
        <v>0</v>
      </c>
      <c r="AH1414" s="164">
        <f>IF(BetTable[Outcome3]="Win",BetTable[WBA3-Commission],IF(BetTable[Outcome3]="Win Half Stake",(BetTable[S3]/2)+BetTable[WBA3-Commission]/2,IF(BetTable[Outcome3]="Lose Half Stake",BetTable[S3]/2,IF(BetTable[Outcome3]="Lose",0,IF(BetTable[Outcome3]="Void",BetTable[S3],)))))</f>
        <v>0</v>
      </c>
      <c r="AI1414" s="168">
        <f>IF(BetTable[Outcome]="",AI1413,BetTable[Result]+AI1413)</f>
        <v>2041.9227499999993</v>
      </c>
      <c r="AJ1414" s="160"/>
    </row>
    <row r="1415" spans="1:36" x14ac:dyDescent="0.2">
      <c r="A1415" s="159" t="s">
        <v>3324</v>
      </c>
      <c r="B1415" s="160" t="s">
        <v>9</v>
      </c>
      <c r="C1415" s="161" t="s">
        <v>91</v>
      </c>
      <c r="D1415" s="161"/>
      <c r="E1415" s="161"/>
      <c r="F1415" s="162"/>
      <c r="G1415" s="162"/>
      <c r="H1415" s="162"/>
      <c r="I1415" s="160" t="s">
        <v>3389</v>
      </c>
      <c r="J1415" s="163">
        <v>1.92</v>
      </c>
      <c r="K1415" s="163"/>
      <c r="L1415" s="163"/>
      <c r="M1415" s="164">
        <v>45</v>
      </c>
      <c r="N1415" s="164"/>
      <c r="O1415" s="164"/>
      <c r="P1415" s="159" t="s">
        <v>769</v>
      </c>
      <c r="Q1415" s="159" t="s">
        <v>458</v>
      </c>
      <c r="R1415" s="159" t="s">
        <v>3390</v>
      </c>
      <c r="S1415" s="165">
        <v>2.1213497403119199E-2</v>
      </c>
      <c r="T1415" s="166" t="s">
        <v>383</v>
      </c>
      <c r="U1415" s="166"/>
      <c r="V1415" s="166"/>
      <c r="W1415" s="167">
        <f>IF(BetTable[Sport]="","",BetTable[Stake]+BetTable[S2]+BetTable[S3])</f>
        <v>45</v>
      </c>
      <c r="X1415" s="164">
        <f>IF(BetTable[Odds]="","",(BetTable[WBA1-Commission])-BetTable[TS])</f>
        <v>41.400000000000006</v>
      </c>
      <c r="Y1415" s="168">
        <f>IF(BetTable[Outcome]="","",BetTable[WBA1]+BetTable[WBA2]+BetTable[WBA3]-BetTable[TS])</f>
        <v>0</v>
      </c>
      <c r="Z1415" s="164">
        <f>(((BetTable[Odds]-1)*BetTable[Stake])*(1-(BetTable[Comm %]))+BetTable[Stake])</f>
        <v>86.4</v>
      </c>
      <c r="AA1415" s="164">
        <f>(((BetTable[O2]-1)*BetTable[S2])*(1-(BetTable[C% 2]))+BetTable[S2])</f>
        <v>0</v>
      </c>
      <c r="AB1415" s="164">
        <f>(((BetTable[O3]-1)*BetTable[S3])*(1-(BetTable[C% 3]))+BetTable[S3])</f>
        <v>0</v>
      </c>
      <c r="AC1415" s="165">
        <f>IFERROR(IF(BetTable[Sport]="","",BetTable[R1]/BetTable[TS]),"")</f>
        <v>0.92000000000000015</v>
      </c>
      <c r="AD1415" s="165" t="str">
        <f>IF(BetTable[O2]="","",#REF!/BetTable[TS])</f>
        <v/>
      </c>
      <c r="AE1415" s="165" t="str">
        <f>IFERROR(IF(BetTable[Sport]="","",#REF!/BetTable[TS]),"")</f>
        <v/>
      </c>
      <c r="AF1415" s="164">
        <f>IF(BetTable[Outcome]="Win",BetTable[WBA1-Commission],IF(BetTable[Outcome]="Win Half Stake",(BetTable[Stake]/2)+BetTable[WBA1-Commission]/2,IF(BetTable[Outcome]="Lose Half Stake",BetTable[Stake]/2,IF(BetTable[Outcome]="Lose",0,IF(BetTable[Outcome]="Void",BetTable[Stake],)))))</f>
        <v>45</v>
      </c>
      <c r="AG1415" s="164">
        <f>IF(BetTable[Outcome2]="Win",BetTable[WBA2-Commission],IF(BetTable[Outcome2]="Win Half Stake",(BetTable[S2]/2)+BetTable[WBA2-Commission]/2,IF(BetTable[Outcome2]="Lose Half Stake",BetTable[S2]/2,IF(BetTable[Outcome2]="Lose",0,IF(BetTable[Outcome2]="Void",BetTable[S2],)))))</f>
        <v>0</v>
      </c>
      <c r="AH1415" s="164">
        <f>IF(BetTable[Outcome3]="Win",BetTable[WBA3-Commission],IF(BetTable[Outcome3]="Win Half Stake",(BetTable[S3]/2)+BetTable[WBA3-Commission]/2,IF(BetTable[Outcome3]="Lose Half Stake",BetTable[S3]/2,IF(BetTable[Outcome3]="Lose",0,IF(BetTable[Outcome3]="Void",BetTable[S3],)))))</f>
        <v>0</v>
      </c>
      <c r="AI1415" s="168">
        <f>IF(BetTable[Outcome]="",AI1414,BetTable[Result]+AI1414)</f>
        <v>2041.9227499999993</v>
      </c>
      <c r="AJ1415" s="160"/>
    </row>
    <row r="1416" spans="1:36" x14ac:dyDescent="0.2">
      <c r="A1416" s="159" t="s">
        <v>3324</v>
      </c>
      <c r="B1416" s="160" t="s">
        <v>7</v>
      </c>
      <c r="C1416" s="161" t="s">
        <v>91</v>
      </c>
      <c r="D1416" s="161"/>
      <c r="E1416" s="161"/>
      <c r="F1416" s="162"/>
      <c r="G1416" s="162"/>
      <c r="H1416" s="162"/>
      <c r="I1416" s="160" t="s">
        <v>3391</v>
      </c>
      <c r="J1416" s="163">
        <v>1.81</v>
      </c>
      <c r="K1416" s="163"/>
      <c r="L1416" s="163"/>
      <c r="M1416" s="164">
        <v>54</v>
      </c>
      <c r="N1416" s="164"/>
      <c r="O1416" s="164"/>
      <c r="P1416" s="159" t="s">
        <v>2207</v>
      </c>
      <c r="Q1416" s="159" t="s">
        <v>439</v>
      </c>
      <c r="R1416" s="159" t="s">
        <v>3392</v>
      </c>
      <c r="S1416" s="165">
        <v>2.2434620947535299E-2</v>
      </c>
      <c r="T1416" s="166" t="s">
        <v>372</v>
      </c>
      <c r="U1416" s="166"/>
      <c r="V1416" s="166"/>
      <c r="W1416" s="167">
        <f>IF(BetTable[Sport]="","",BetTable[Stake]+BetTable[S2]+BetTable[S3])</f>
        <v>54</v>
      </c>
      <c r="X1416" s="164">
        <f>IF(BetTable[Odds]="","",(BetTable[WBA1-Commission])-BetTable[TS])</f>
        <v>43.740000000000009</v>
      </c>
      <c r="Y1416" s="168">
        <f>IF(BetTable[Outcome]="","",BetTable[WBA1]+BetTable[WBA2]+BetTable[WBA3]-BetTable[TS])</f>
        <v>43.740000000000009</v>
      </c>
      <c r="Z1416" s="164">
        <f>(((BetTable[Odds]-1)*BetTable[Stake])*(1-(BetTable[Comm %]))+BetTable[Stake])</f>
        <v>97.740000000000009</v>
      </c>
      <c r="AA1416" s="164">
        <f>(((BetTable[O2]-1)*BetTable[S2])*(1-(BetTable[C% 2]))+BetTable[S2])</f>
        <v>0</v>
      </c>
      <c r="AB1416" s="164">
        <f>(((BetTable[O3]-1)*BetTable[S3])*(1-(BetTable[C% 3]))+BetTable[S3])</f>
        <v>0</v>
      </c>
      <c r="AC1416" s="165">
        <f>IFERROR(IF(BetTable[Sport]="","",BetTable[R1]/BetTable[TS]),"")</f>
        <v>0.81000000000000016</v>
      </c>
      <c r="AD1416" s="165" t="str">
        <f>IF(BetTable[O2]="","",#REF!/BetTable[TS])</f>
        <v/>
      </c>
      <c r="AE1416" s="165" t="str">
        <f>IFERROR(IF(BetTable[Sport]="","",#REF!/BetTable[TS]),"")</f>
        <v/>
      </c>
      <c r="AF1416" s="164">
        <f>IF(BetTable[Outcome]="Win",BetTable[WBA1-Commission],IF(BetTable[Outcome]="Win Half Stake",(BetTable[Stake]/2)+BetTable[WBA1-Commission]/2,IF(BetTable[Outcome]="Lose Half Stake",BetTable[Stake]/2,IF(BetTable[Outcome]="Lose",0,IF(BetTable[Outcome]="Void",BetTable[Stake],)))))</f>
        <v>97.740000000000009</v>
      </c>
      <c r="AG1416" s="164">
        <f>IF(BetTable[Outcome2]="Win",BetTable[WBA2-Commission],IF(BetTable[Outcome2]="Win Half Stake",(BetTable[S2]/2)+BetTable[WBA2-Commission]/2,IF(BetTable[Outcome2]="Lose Half Stake",BetTable[S2]/2,IF(BetTable[Outcome2]="Lose",0,IF(BetTable[Outcome2]="Void",BetTable[S2],)))))</f>
        <v>0</v>
      </c>
      <c r="AH1416" s="164">
        <f>IF(BetTable[Outcome3]="Win",BetTable[WBA3-Commission],IF(BetTable[Outcome3]="Win Half Stake",(BetTable[S3]/2)+BetTable[WBA3-Commission]/2,IF(BetTable[Outcome3]="Lose Half Stake",BetTable[S3]/2,IF(BetTable[Outcome3]="Lose",0,IF(BetTable[Outcome3]="Void",BetTable[S3],)))))</f>
        <v>0</v>
      </c>
      <c r="AI1416" s="168">
        <f>IF(BetTable[Outcome]="",AI1415,BetTable[Result]+AI1415)</f>
        <v>2085.6627499999995</v>
      </c>
      <c r="AJ1416" s="160"/>
    </row>
    <row r="1417" spans="1:36" x14ac:dyDescent="0.2">
      <c r="A1417" s="159" t="s">
        <v>3324</v>
      </c>
      <c r="B1417" s="160" t="s">
        <v>200</v>
      </c>
      <c r="C1417" s="161" t="s">
        <v>1714</v>
      </c>
      <c r="D1417" s="161"/>
      <c r="E1417" s="161"/>
      <c r="F1417" s="162"/>
      <c r="G1417" s="162"/>
      <c r="H1417" s="162"/>
      <c r="I1417" s="160" t="s">
        <v>3393</v>
      </c>
      <c r="J1417" s="163">
        <v>1.78</v>
      </c>
      <c r="K1417" s="163"/>
      <c r="L1417" s="163"/>
      <c r="M1417" s="164">
        <v>73</v>
      </c>
      <c r="N1417" s="164"/>
      <c r="O1417" s="164"/>
      <c r="P1417" s="159" t="s">
        <v>646</v>
      </c>
      <c r="Q1417" s="159" t="s">
        <v>552</v>
      </c>
      <c r="R1417" s="159" t="s">
        <v>3394</v>
      </c>
      <c r="S1417" s="165">
        <v>2.91197578352217E-2</v>
      </c>
      <c r="T1417" s="166" t="s">
        <v>372</v>
      </c>
      <c r="U1417" s="166"/>
      <c r="V1417" s="166"/>
      <c r="W1417" s="167">
        <f>IF(BetTable[Sport]="","",BetTable[Stake]+BetTable[S2]+BetTable[S3])</f>
        <v>73</v>
      </c>
      <c r="X1417" s="164">
        <f>IF(BetTable[Odds]="","",(BetTable[WBA1-Commission])-BetTable[TS])</f>
        <v>56.94</v>
      </c>
      <c r="Y1417" s="168">
        <f>IF(BetTable[Outcome]="","",BetTable[WBA1]+BetTable[WBA2]+BetTable[WBA3]-BetTable[TS])</f>
        <v>56.94</v>
      </c>
      <c r="Z1417" s="164">
        <f>(((BetTable[Odds]-1)*BetTable[Stake])*(1-(BetTable[Comm %]))+BetTable[Stake])</f>
        <v>129.94</v>
      </c>
      <c r="AA1417" s="164">
        <f>(((BetTable[O2]-1)*BetTable[S2])*(1-(BetTable[C% 2]))+BetTable[S2])</f>
        <v>0</v>
      </c>
      <c r="AB1417" s="164">
        <f>(((BetTable[O3]-1)*BetTable[S3])*(1-(BetTable[C% 3]))+BetTable[S3])</f>
        <v>0</v>
      </c>
      <c r="AC1417" s="165">
        <f>IFERROR(IF(BetTable[Sport]="","",BetTable[R1]/BetTable[TS]),"")</f>
        <v>0.77999999999999992</v>
      </c>
      <c r="AD1417" s="165" t="str">
        <f>IF(BetTable[O2]="","",#REF!/BetTable[TS])</f>
        <v/>
      </c>
      <c r="AE1417" s="165" t="str">
        <f>IFERROR(IF(BetTable[Sport]="","",#REF!/BetTable[TS]),"")</f>
        <v/>
      </c>
      <c r="AF1417" s="164">
        <f>IF(BetTable[Outcome]="Win",BetTable[WBA1-Commission],IF(BetTable[Outcome]="Win Half Stake",(BetTable[Stake]/2)+BetTable[WBA1-Commission]/2,IF(BetTable[Outcome]="Lose Half Stake",BetTable[Stake]/2,IF(BetTable[Outcome]="Lose",0,IF(BetTable[Outcome]="Void",BetTable[Stake],)))))</f>
        <v>129.94</v>
      </c>
      <c r="AG1417" s="164">
        <f>IF(BetTable[Outcome2]="Win",BetTable[WBA2-Commission],IF(BetTable[Outcome2]="Win Half Stake",(BetTable[S2]/2)+BetTable[WBA2-Commission]/2,IF(BetTable[Outcome2]="Lose Half Stake",BetTable[S2]/2,IF(BetTable[Outcome2]="Lose",0,IF(BetTable[Outcome2]="Void",BetTable[S2],)))))</f>
        <v>0</v>
      </c>
      <c r="AH1417" s="164">
        <f>IF(BetTable[Outcome3]="Win",BetTable[WBA3-Commission],IF(BetTable[Outcome3]="Win Half Stake",(BetTable[S3]/2)+BetTable[WBA3-Commission]/2,IF(BetTable[Outcome3]="Lose Half Stake",BetTable[S3]/2,IF(BetTable[Outcome3]="Lose",0,IF(BetTable[Outcome3]="Void",BetTable[S3],)))))</f>
        <v>0</v>
      </c>
      <c r="AI1417" s="168">
        <f>IF(BetTable[Outcome]="",AI1416,BetTable[Result]+AI1416)</f>
        <v>2142.6027499999996</v>
      </c>
      <c r="AJ1417" s="160"/>
    </row>
    <row r="1418" spans="1:36" x14ac:dyDescent="0.2">
      <c r="A1418" s="159" t="s">
        <v>3324</v>
      </c>
      <c r="B1418" s="160" t="s">
        <v>200</v>
      </c>
      <c r="C1418" s="161" t="s">
        <v>1714</v>
      </c>
      <c r="D1418" s="161"/>
      <c r="E1418" s="161"/>
      <c r="F1418" s="162"/>
      <c r="G1418" s="162"/>
      <c r="H1418" s="162"/>
      <c r="I1418" s="160" t="s">
        <v>3395</v>
      </c>
      <c r="J1418" s="163">
        <v>2.11</v>
      </c>
      <c r="K1418" s="163"/>
      <c r="L1418" s="163"/>
      <c r="M1418" s="164">
        <v>48</v>
      </c>
      <c r="N1418" s="164"/>
      <c r="O1418" s="164"/>
      <c r="P1418" s="159" t="s">
        <v>791</v>
      </c>
      <c r="Q1418" s="159" t="s">
        <v>659</v>
      </c>
      <c r="R1418" s="159" t="s">
        <v>3396</v>
      </c>
      <c r="S1418" s="165">
        <v>3.1512859258189502E-2</v>
      </c>
      <c r="T1418" s="166" t="s">
        <v>382</v>
      </c>
      <c r="U1418" s="166"/>
      <c r="V1418" s="166"/>
      <c r="W1418" s="167">
        <f>IF(BetTable[Sport]="","",BetTable[Stake]+BetTable[S2]+BetTable[S3])</f>
        <v>48</v>
      </c>
      <c r="X1418" s="164">
        <f>IF(BetTable[Odds]="","",(BetTable[WBA1-Commission])-BetTable[TS])</f>
        <v>53.28</v>
      </c>
      <c r="Y1418" s="168">
        <f>IF(BetTable[Outcome]="","",BetTable[WBA1]+BetTable[WBA2]+BetTable[WBA3]-BetTable[TS])</f>
        <v>-48</v>
      </c>
      <c r="Z1418" s="164">
        <f>(((BetTable[Odds]-1)*BetTable[Stake])*(1-(BetTable[Comm %]))+BetTable[Stake])</f>
        <v>101.28</v>
      </c>
      <c r="AA1418" s="164">
        <f>(((BetTable[O2]-1)*BetTable[S2])*(1-(BetTable[C% 2]))+BetTable[S2])</f>
        <v>0</v>
      </c>
      <c r="AB1418" s="164">
        <f>(((BetTable[O3]-1)*BetTable[S3])*(1-(BetTable[C% 3]))+BetTable[S3])</f>
        <v>0</v>
      </c>
      <c r="AC1418" s="165">
        <f>IFERROR(IF(BetTable[Sport]="","",BetTable[R1]/BetTable[TS]),"")</f>
        <v>1.1100000000000001</v>
      </c>
      <c r="AD1418" s="165" t="str">
        <f>IF(BetTable[O2]="","",#REF!/BetTable[TS])</f>
        <v/>
      </c>
      <c r="AE1418" s="165" t="str">
        <f>IFERROR(IF(BetTable[Sport]="","",#REF!/BetTable[TS]),"")</f>
        <v/>
      </c>
      <c r="AF1418" s="164">
        <f>IF(BetTable[Outcome]="Win",BetTable[WBA1-Commission],IF(BetTable[Outcome]="Win Half Stake",(BetTable[Stake]/2)+BetTable[WBA1-Commission]/2,IF(BetTable[Outcome]="Lose Half Stake",BetTable[Stake]/2,IF(BetTable[Outcome]="Lose",0,IF(BetTable[Outcome]="Void",BetTable[Stake],)))))</f>
        <v>0</v>
      </c>
      <c r="AG1418" s="164">
        <f>IF(BetTable[Outcome2]="Win",BetTable[WBA2-Commission],IF(BetTable[Outcome2]="Win Half Stake",(BetTable[S2]/2)+BetTable[WBA2-Commission]/2,IF(BetTable[Outcome2]="Lose Half Stake",BetTable[S2]/2,IF(BetTable[Outcome2]="Lose",0,IF(BetTable[Outcome2]="Void",BetTable[S2],)))))</f>
        <v>0</v>
      </c>
      <c r="AH1418" s="164">
        <f>IF(BetTable[Outcome3]="Win",BetTable[WBA3-Commission],IF(BetTable[Outcome3]="Win Half Stake",(BetTable[S3]/2)+BetTable[WBA3-Commission]/2,IF(BetTable[Outcome3]="Lose Half Stake",BetTable[S3]/2,IF(BetTable[Outcome3]="Lose",0,IF(BetTable[Outcome3]="Void",BetTable[S3],)))))</f>
        <v>0</v>
      </c>
      <c r="AI1418" s="168">
        <f>IF(BetTable[Outcome]="",AI1417,BetTable[Result]+AI1417)</f>
        <v>2094.6027499999996</v>
      </c>
      <c r="AJ1418" s="160"/>
    </row>
    <row r="1419" spans="1:36" x14ac:dyDescent="0.2">
      <c r="A1419" s="159" t="s">
        <v>3324</v>
      </c>
      <c r="B1419" s="160" t="s">
        <v>9</v>
      </c>
      <c r="C1419" s="161" t="s">
        <v>91</v>
      </c>
      <c r="D1419" s="161"/>
      <c r="E1419" s="161"/>
      <c r="F1419" s="162"/>
      <c r="G1419" s="162"/>
      <c r="H1419" s="162"/>
      <c r="I1419" s="160" t="s">
        <v>3335</v>
      </c>
      <c r="J1419" s="163">
        <v>1.96</v>
      </c>
      <c r="K1419" s="163"/>
      <c r="L1419" s="163"/>
      <c r="M1419" s="164">
        <v>44</v>
      </c>
      <c r="N1419" s="164"/>
      <c r="O1419" s="164"/>
      <c r="P1419" s="159" t="s">
        <v>1725</v>
      </c>
      <c r="Q1419" s="159" t="s">
        <v>485</v>
      </c>
      <c r="R1419" s="159" t="s">
        <v>3397</v>
      </c>
      <c r="S1419" s="165">
        <v>2.17079693336137E-2</v>
      </c>
      <c r="T1419" s="166" t="s">
        <v>383</v>
      </c>
      <c r="U1419" s="166"/>
      <c r="V1419" s="166"/>
      <c r="W1419" s="167">
        <f>IF(BetTable[Sport]="","",BetTable[Stake]+BetTable[S2]+BetTable[S3])</f>
        <v>44</v>
      </c>
      <c r="X1419" s="164">
        <f>IF(BetTable[Odds]="","",(BetTable[WBA1-Commission])-BetTable[TS])</f>
        <v>42.239999999999995</v>
      </c>
      <c r="Y1419" s="168">
        <f>IF(BetTable[Outcome]="","",BetTable[WBA1]+BetTable[WBA2]+BetTable[WBA3]-BetTable[TS])</f>
        <v>0</v>
      </c>
      <c r="Z1419" s="164">
        <f>(((BetTable[Odds]-1)*BetTable[Stake])*(1-(BetTable[Comm %]))+BetTable[Stake])</f>
        <v>86.24</v>
      </c>
      <c r="AA1419" s="164">
        <f>(((BetTable[O2]-1)*BetTable[S2])*(1-(BetTable[C% 2]))+BetTable[S2])</f>
        <v>0</v>
      </c>
      <c r="AB1419" s="164">
        <f>(((BetTable[O3]-1)*BetTable[S3])*(1-(BetTable[C% 3]))+BetTable[S3])</f>
        <v>0</v>
      </c>
      <c r="AC1419" s="165">
        <f>IFERROR(IF(BetTable[Sport]="","",BetTable[R1]/BetTable[TS]),"")</f>
        <v>0.95999999999999985</v>
      </c>
      <c r="AD1419" s="165" t="str">
        <f>IF(BetTable[O2]="","",#REF!/BetTable[TS])</f>
        <v/>
      </c>
      <c r="AE1419" s="165" t="str">
        <f>IFERROR(IF(BetTable[Sport]="","",#REF!/BetTable[TS]),"")</f>
        <v/>
      </c>
      <c r="AF1419" s="164">
        <f>IF(BetTable[Outcome]="Win",BetTable[WBA1-Commission],IF(BetTable[Outcome]="Win Half Stake",(BetTable[Stake]/2)+BetTable[WBA1-Commission]/2,IF(BetTable[Outcome]="Lose Half Stake",BetTable[Stake]/2,IF(BetTable[Outcome]="Lose",0,IF(BetTable[Outcome]="Void",BetTable[Stake],)))))</f>
        <v>44</v>
      </c>
      <c r="AG1419" s="164">
        <f>IF(BetTable[Outcome2]="Win",BetTable[WBA2-Commission],IF(BetTable[Outcome2]="Win Half Stake",(BetTable[S2]/2)+BetTable[WBA2-Commission]/2,IF(BetTable[Outcome2]="Lose Half Stake",BetTable[S2]/2,IF(BetTable[Outcome2]="Lose",0,IF(BetTable[Outcome2]="Void",BetTable[S2],)))))</f>
        <v>0</v>
      </c>
      <c r="AH1419" s="164">
        <f>IF(BetTable[Outcome3]="Win",BetTable[WBA3-Commission],IF(BetTable[Outcome3]="Win Half Stake",(BetTable[S3]/2)+BetTable[WBA3-Commission]/2,IF(BetTable[Outcome3]="Lose Half Stake",BetTable[S3]/2,IF(BetTable[Outcome3]="Lose",0,IF(BetTable[Outcome3]="Void",BetTable[S3],)))))</f>
        <v>0</v>
      </c>
      <c r="AI1419" s="168">
        <f>IF(BetTable[Outcome]="",AI1418,BetTable[Result]+AI1418)</f>
        <v>2094.6027499999996</v>
      </c>
      <c r="AJ1419" s="160"/>
    </row>
    <row r="1420" spans="1:36" x14ac:dyDescent="0.2">
      <c r="A1420" s="159" t="s">
        <v>3324</v>
      </c>
      <c r="B1420" s="160" t="s">
        <v>9</v>
      </c>
      <c r="C1420" s="161" t="s">
        <v>91</v>
      </c>
      <c r="D1420" s="161"/>
      <c r="E1420" s="161"/>
      <c r="F1420" s="162"/>
      <c r="G1420" s="162"/>
      <c r="H1420" s="162"/>
      <c r="I1420" s="160" t="s">
        <v>3335</v>
      </c>
      <c r="J1420" s="163">
        <v>2.04</v>
      </c>
      <c r="K1420" s="163"/>
      <c r="L1420" s="163"/>
      <c r="M1420" s="164">
        <v>37</v>
      </c>
      <c r="N1420" s="164"/>
      <c r="O1420" s="164"/>
      <c r="P1420" s="159" t="s">
        <v>772</v>
      </c>
      <c r="Q1420" s="159" t="s">
        <v>485</v>
      </c>
      <c r="R1420" s="159" t="s">
        <v>3398</v>
      </c>
      <c r="S1420" s="165">
        <v>0.02</v>
      </c>
      <c r="T1420" s="166" t="s">
        <v>383</v>
      </c>
      <c r="U1420" s="166"/>
      <c r="V1420" s="166"/>
      <c r="W1420" s="167">
        <f>IF(BetTable[Sport]="","",BetTable[Stake]+BetTable[S2]+BetTable[S3])</f>
        <v>37</v>
      </c>
      <c r="X1420" s="164">
        <f>IF(BetTable[Odds]="","",(BetTable[WBA1-Commission])-BetTable[TS])</f>
        <v>38.480000000000004</v>
      </c>
      <c r="Y1420" s="168">
        <f>IF(BetTable[Outcome]="","",BetTable[WBA1]+BetTable[WBA2]+BetTable[WBA3]-BetTable[TS])</f>
        <v>0</v>
      </c>
      <c r="Z1420" s="164">
        <f>(((BetTable[Odds]-1)*BetTable[Stake])*(1-(BetTable[Comm %]))+BetTable[Stake])</f>
        <v>75.48</v>
      </c>
      <c r="AA1420" s="164">
        <f>(((BetTable[O2]-1)*BetTable[S2])*(1-(BetTable[C% 2]))+BetTable[S2])</f>
        <v>0</v>
      </c>
      <c r="AB1420" s="164">
        <f>(((BetTable[O3]-1)*BetTable[S3])*(1-(BetTable[C% 3]))+BetTable[S3])</f>
        <v>0</v>
      </c>
      <c r="AC1420" s="165">
        <f>IFERROR(IF(BetTable[Sport]="","",BetTable[R1]/BetTable[TS]),"")</f>
        <v>1.04</v>
      </c>
      <c r="AD1420" s="165" t="str">
        <f>IF(BetTable[O2]="","",#REF!/BetTable[TS])</f>
        <v/>
      </c>
      <c r="AE1420" s="165" t="str">
        <f>IFERROR(IF(BetTable[Sport]="","",#REF!/BetTable[TS]),"")</f>
        <v/>
      </c>
      <c r="AF1420" s="164">
        <f>IF(BetTable[Outcome]="Win",BetTable[WBA1-Commission],IF(BetTable[Outcome]="Win Half Stake",(BetTable[Stake]/2)+BetTable[WBA1-Commission]/2,IF(BetTable[Outcome]="Lose Half Stake",BetTable[Stake]/2,IF(BetTable[Outcome]="Lose",0,IF(BetTable[Outcome]="Void",BetTable[Stake],)))))</f>
        <v>37</v>
      </c>
      <c r="AG1420" s="164">
        <f>IF(BetTable[Outcome2]="Win",BetTable[WBA2-Commission],IF(BetTable[Outcome2]="Win Half Stake",(BetTable[S2]/2)+BetTable[WBA2-Commission]/2,IF(BetTable[Outcome2]="Lose Half Stake",BetTable[S2]/2,IF(BetTable[Outcome2]="Lose",0,IF(BetTable[Outcome2]="Void",BetTable[S2],)))))</f>
        <v>0</v>
      </c>
      <c r="AH1420" s="164">
        <f>IF(BetTable[Outcome3]="Win",BetTable[WBA3-Commission],IF(BetTable[Outcome3]="Win Half Stake",(BetTable[S3]/2)+BetTable[WBA3-Commission]/2,IF(BetTable[Outcome3]="Lose Half Stake",BetTable[S3]/2,IF(BetTable[Outcome3]="Lose",0,IF(BetTable[Outcome3]="Void",BetTable[S3],)))))</f>
        <v>0</v>
      </c>
      <c r="AI1420" s="168">
        <f>IF(BetTable[Outcome]="",AI1419,BetTable[Result]+AI1419)</f>
        <v>2094.6027499999996</v>
      </c>
      <c r="AJ1420" s="160"/>
    </row>
    <row r="1421" spans="1:36" x14ac:dyDescent="0.2">
      <c r="A1421" s="159" t="s">
        <v>3324</v>
      </c>
      <c r="B1421" s="160" t="s">
        <v>7</v>
      </c>
      <c r="C1421" s="161" t="s">
        <v>91</v>
      </c>
      <c r="D1421" s="161"/>
      <c r="E1421" s="161"/>
      <c r="F1421" s="162"/>
      <c r="G1421" s="162"/>
      <c r="H1421" s="162"/>
      <c r="I1421" s="160" t="s">
        <v>3399</v>
      </c>
      <c r="J1421" s="163">
        <v>1.93</v>
      </c>
      <c r="K1421" s="163"/>
      <c r="L1421" s="163"/>
      <c r="M1421" s="164">
        <v>45</v>
      </c>
      <c r="N1421" s="164"/>
      <c r="O1421" s="164"/>
      <c r="P1421" s="159" t="s">
        <v>1268</v>
      </c>
      <c r="Q1421" s="159" t="s">
        <v>968</v>
      </c>
      <c r="R1421" s="159" t="s">
        <v>3400</v>
      </c>
      <c r="S1421" s="165">
        <v>2.1474133255723601E-2</v>
      </c>
      <c r="T1421" s="166" t="s">
        <v>382</v>
      </c>
      <c r="U1421" s="166"/>
      <c r="V1421" s="166"/>
      <c r="W1421" s="167">
        <f>IF(BetTable[Sport]="","",BetTable[Stake]+BetTable[S2]+BetTable[S3])</f>
        <v>45</v>
      </c>
      <c r="X1421" s="164">
        <f>IF(BetTable[Odds]="","",(BetTable[WBA1-Commission])-BetTable[TS])</f>
        <v>41.849999999999994</v>
      </c>
      <c r="Y1421" s="168">
        <f>IF(BetTable[Outcome]="","",BetTable[WBA1]+BetTable[WBA2]+BetTable[WBA3]-BetTable[TS])</f>
        <v>-45</v>
      </c>
      <c r="Z1421" s="164">
        <f>(((BetTable[Odds]-1)*BetTable[Stake])*(1-(BetTable[Comm %]))+BetTable[Stake])</f>
        <v>86.85</v>
      </c>
      <c r="AA1421" s="164">
        <f>(((BetTable[O2]-1)*BetTable[S2])*(1-(BetTable[C% 2]))+BetTable[S2])</f>
        <v>0</v>
      </c>
      <c r="AB1421" s="164">
        <f>(((BetTable[O3]-1)*BetTable[S3])*(1-(BetTable[C% 3]))+BetTable[S3])</f>
        <v>0</v>
      </c>
      <c r="AC1421" s="165">
        <f>IFERROR(IF(BetTable[Sport]="","",BetTable[R1]/BetTable[TS]),"")</f>
        <v>0.92999999999999983</v>
      </c>
      <c r="AD1421" s="165" t="str">
        <f>IF(BetTable[O2]="","",#REF!/BetTable[TS])</f>
        <v/>
      </c>
      <c r="AE1421" s="165" t="str">
        <f>IFERROR(IF(BetTable[Sport]="","",#REF!/BetTable[TS]),"")</f>
        <v/>
      </c>
      <c r="AF1421" s="164">
        <f>IF(BetTable[Outcome]="Win",BetTable[WBA1-Commission],IF(BetTable[Outcome]="Win Half Stake",(BetTable[Stake]/2)+BetTable[WBA1-Commission]/2,IF(BetTable[Outcome]="Lose Half Stake",BetTable[Stake]/2,IF(BetTable[Outcome]="Lose",0,IF(BetTable[Outcome]="Void",BetTable[Stake],)))))</f>
        <v>0</v>
      </c>
      <c r="AG1421" s="164">
        <f>IF(BetTable[Outcome2]="Win",BetTable[WBA2-Commission],IF(BetTable[Outcome2]="Win Half Stake",(BetTable[S2]/2)+BetTable[WBA2-Commission]/2,IF(BetTable[Outcome2]="Lose Half Stake",BetTable[S2]/2,IF(BetTable[Outcome2]="Lose",0,IF(BetTable[Outcome2]="Void",BetTable[S2],)))))</f>
        <v>0</v>
      </c>
      <c r="AH1421" s="164">
        <f>IF(BetTable[Outcome3]="Win",BetTable[WBA3-Commission],IF(BetTable[Outcome3]="Win Half Stake",(BetTable[S3]/2)+BetTable[WBA3-Commission]/2,IF(BetTable[Outcome3]="Lose Half Stake",BetTable[S3]/2,IF(BetTable[Outcome3]="Lose",0,IF(BetTable[Outcome3]="Void",BetTable[S3],)))))</f>
        <v>0</v>
      </c>
      <c r="AI1421" s="168">
        <f>IF(BetTable[Outcome]="",AI1420,BetTable[Result]+AI1420)</f>
        <v>2049.6027499999996</v>
      </c>
      <c r="AJ1421" s="160"/>
    </row>
    <row r="1422" spans="1:36" x14ac:dyDescent="0.2">
      <c r="A1422" s="159" t="s">
        <v>3324</v>
      </c>
      <c r="B1422" s="160" t="s">
        <v>200</v>
      </c>
      <c r="C1422" s="161" t="s">
        <v>1714</v>
      </c>
      <c r="D1422" s="161"/>
      <c r="E1422" s="161"/>
      <c r="F1422" s="162"/>
      <c r="G1422" s="162"/>
      <c r="H1422" s="162"/>
      <c r="I1422" s="160" t="s">
        <v>3401</v>
      </c>
      <c r="J1422" s="163">
        <v>1.95</v>
      </c>
      <c r="K1422" s="163"/>
      <c r="L1422" s="163"/>
      <c r="M1422" s="164">
        <v>51</v>
      </c>
      <c r="N1422" s="164"/>
      <c r="O1422" s="164"/>
      <c r="P1422" s="159" t="s">
        <v>868</v>
      </c>
      <c r="Q1422" s="159" t="s">
        <v>454</v>
      </c>
      <c r="R1422" s="159" t="s">
        <v>3402</v>
      </c>
      <c r="S1422" s="165">
        <v>2.48074953707892E-2</v>
      </c>
      <c r="T1422" s="166" t="s">
        <v>372</v>
      </c>
      <c r="U1422" s="166"/>
      <c r="V1422" s="166"/>
      <c r="W1422" s="167">
        <f>IF(BetTable[Sport]="","",BetTable[Stake]+BetTable[S2]+BetTable[S3])</f>
        <v>51</v>
      </c>
      <c r="X1422" s="164">
        <f>IF(BetTable[Odds]="","",(BetTable[WBA1-Commission])-BetTable[TS])</f>
        <v>48.449999999999989</v>
      </c>
      <c r="Y1422" s="168">
        <f>IF(BetTable[Outcome]="","",BetTable[WBA1]+BetTable[WBA2]+BetTable[WBA3]-BetTable[TS])</f>
        <v>48.449999999999989</v>
      </c>
      <c r="Z1422" s="164">
        <f>(((BetTable[Odds]-1)*BetTable[Stake])*(1-(BetTable[Comm %]))+BetTable[Stake])</f>
        <v>99.449999999999989</v>
      </c>
      <c r="AA1422" s="164">
        <f>(((BetTable[O2]-1)*BetTable[S2])*(1-(BetTable[C% 2]))+BetTable[S2])</f>
        <v>0</v>
      </c>
      <c r="AB1422" s="164">
        <f>(((BetTable[O3]-1)*BetTable[S3])*(1-(BetTable[C% 3]))+BetTable[S3])</f>
        <v>0</v>
      </c>
      <c r="AC1422" s="165">
        <f>IFERROR(IF(BetTable[Sport]="","",BetTable[R1]/BetTable[TS]),"")</f>
        <v>0.94999999999999973</v>
      </c>
      <c r="AD1422" s="165" t="str">
        <f>IF(BetTable[O2]="","",#REF!/BetTable[TS])</f>
        <v/>
      </c>
      <c r="AE1422" s="165" t="str">
        <f>IFERROR(IF(BetTable[Sport]="","",#REF!/BetTable[TS]),"")</f>
        <v/>
      </c>
      <c r="AF1422" s="164">
        <f>IF(BetTable[Outcome]="Win",BetTable[WBA1-Commission],IF(BetTable[Outcome]="Win Half Stake",(BetTable[Stake]/2)+BetTable[WBA1-Commission]/2,IF(BetTable[Outcome]="Lose Half Stake",BetTable[Stake]/2,IF(BetTable[Outcome]="Lose",0,IF(BetTable[Outcome]="Void",BetTable[Stake],)))))</f>
        <v>99.449999999999989</v>
      </c>
      <c r="AG1422" s="164">
        <f>IF(BetTable[Outcome2]="Win",BetTable[WBA2-Commission],IF(BetTable[Outcome2]="Win Half Stake",(BetTable[S2]/2)+BetTable[WBA2-Commission]/2,IF(BetTable[Outcome2]="Lose Half Stake",BetTable[S2]/2,IF(BetTable[Outcome2]="Lose",0,IF(BetTable[Outcome2]="Void",BetTable[S2],)))))</f>
        <v>0</v>
      </c>
      <c r="AH1422" s="164">
        <f>IF(BetTable[Outcome3]="Win",BetTable[WBA3-Commission],IF(BetTable[Outcome3]="Win Half Stake",(BetTable[S3]/2)+BetTable[WBA3-Commission]/2,IF(BetTable[Outcome3]="Lose Half Stake",BetTable[S3]/2,IF(BetTable[Outcome3]="Lose",0,IF(BetTable[Outcome3]="Void",BetTable[S3],)))))</f>
        <v>0</v>
      </c>
      <c r="AI1422" s="168">
        <f>IF(BetTable[Outcome]="",AI1421,BetTable[Result]+AI1421)</f>
        <v>2098.0527499999994</v>
      </c>
      <c r="AJ1422" s="160"/>
    </row>
    <row r="1423" spans="1:36" x14ac:dyDescent="0.2">
      <c r="A1423" s="159" t="s">
        <v>3324</v>
      </c>
      <c r="B1423" s="160" t="s">
        <v>200</v>
      </c>
      <c r="C1423" s="161" t="s">
        <v>1714</v>
      </c>
      <c r="D1423" s="161"/>
      <c r="E1423" s="161"/>
      <c r="F1423" s="162"/>
      <c r="G1423" s="162"/>
      <c r="H1423" s="162"/>
      <c r="I1423" s="160" t="s">
        <v>3403</v>
      </c>
      <c r="J1423" s="163">
        <v>1.65</v>
      </c>
      <c r="K1423" s="163"/>
      <c r="L1423" s="163"/>
      <c r="M1423" s="164">
        <v>87</v>
      </c>
      <c r="N1423" s="164"/>
      <c r="O1423" s="164"/>
      <c r="P1423" s="159" t="s">
        <v>469</v>
      </c>
      <c r="Q1423" s="159" t="s">
        <v>677</v>
      </c>
      <c r="R1423" s="159" t="s">
        <v>3404</v>
      </c>
      <c r="S1423" s="165">
        <v>2.8961608778150801E-2</v>
      </c>
      <c r="T1423" s="166" t="s">
        <v>382</v>
      </c>
      <c r="U1423" s="166"/>
      <c r="V1423" s="166"/>
      <c r="W1423" s="167">
        <f>IF(BetTable[Sport]="","",BetTable[Stake]+BetTable[S2]+BetTable[S3])</f>
        <v>87</v>
      </c>
      <c r="X1423" s="164">
        <f>IF(BetTable[Odds]="","",(BetTable[WBA1-Commission])-BetTable[TS])</f>
        <v>56.549999999999983</v>
      </c>
      <c r="Y1423" s="168">
        <f>IF(BetTable[Outcome]="","",BetTable[WBA1]+BetTable[WBA2]+BetTable[WBA3]-BetTable[TS])</f>
        <v>-87</v>
      </c>
      <c r="Z1423" s="164">
        <f>(((BetTable[Odds]-1)*BetTable[Stake])*(1-(BetTable[Comm %]))+BetTable[Stake])</f>
        <v>143.54999999999998</v>
      </c>
      <c r="AA1423" s="164">
        <f>(((BetTable[O2]-1)*BetTable[S2])*(1-(BetTable[C% 2]))+BetTable[S2])</f>
        <v>0</v>
      </c>
      <c r="AB1423" s="164">
        <f>(((BetTable[O3]-1)*BetTable[S3])*(1-(BetTable[C% 3]))+BetTable[S3])</f>
        <v>0</v>
      </c>
      <c r="AC1423" s="165">
        <f>IFERROR(IF(BetTable[Sport]="","",BetTable[R1]/BetTable[TS]),"")</f>
        <v>0.6499999999999998</v>
      </c>
      <c r="AD1423" s="165" t="str">
        <f>IF(BetTable[O2]="","",#REF!/BetTable[TS])</f>
        <v/>
      </c>
      <c r="AE1423" s="165" t="str">
        <f>IFERROR(IF(BetTable[Sport]="","",#REF!/BetTable[TS]),"")</f>
        <v/>
      </c>
      <c r="AF1423" s="164">
        <f>IF(BetTable[Outcome]="Win",BetTable[WBA1-Commission],IF(BetTable[Outcome]="Win Half Stake",(BetTable[Stake]/2)+BetTable[WBA1-Commission]/2,IF(BetTable[Outcome]="Lose Half Stake",BetTable[Stake]/2,IF(BetTable[Outcome]="Lose",0,IF(BetTable[Outcome]="Void",BetTable[Stake],)))))</f>
        <v>0</v>
      </c>
      <c r="AG1423" s="164">
        <f>IF(BetTable[Outcome2]="Win",BetTable[WBA2-Commission],IF(BetTable[Outcome2]="Win Half Stake",(BetTable[S2]/2)+BetTable[WBA2-Commission]/2,IF(BetTable[Outcome2]="Lose Half Stake",BetTable[S2]/2,IF(BetTable[Outcome2]="Lose",0,IF(BetTable[Outcome2]="Void",BetTable[S2],)))))</f>
        <v>0</v>
      </c>
      <c r="AH1423" s="164">
        <f>IF(BetTable[Outcome3]="Win",BetTable[WBA3-Commission],IF(BetTable[Outcome3]="Win Half Stake",(BetTable[S3]/2)+BetTable[WBA3-Commission]/2,IF(BetTable[Outcome3]="Lose Half Stake",BetTable[S3]/2,IF(BetTable[Outcome3]="Lose",0,IF(BetTable[Outcome3]="Void",BetTable[S3],)))))</f>
        <v>0</v>
      </c>
      <c r="AI1423" s="168">
        <f>IF(BetTable[Outcome]="",AI1422,BetTable[Result]+AI1422)</f>
        <v>2011.0527499999994</v>
      </c>
      <c r="AJ1423" s="160"/>
    </row>
    <row r="1424" spans="1:36" x14ac:dyDescent="0.2">
      <c r="A1424" s="159" t="s">
        <v>3324</v>
      </c>
      <c r="B1424" s="160" t="s">
        <v>8</v>
      </c>
      <c r="C1424" s="161" t="s">
        <v>91</v>
      </c>
      <c r="D1424" s="161"/>
      <c r="E1424" s="161"/>
      <c r="F1424" s="162"/>
      <c r="G1424" s="162"/>
      <c r="H1424" s="162"/>
      <c r="I1424" s="160" t="s">
        <v>3405</v>
      </c>
      <c r="J1424" s="163">
        <v>1.8</v>
      </c>
      <c r="K1424" s="163"/>
      <c r="L1424" s="163"/>
      <c r="M1424" s="164">
        <v>32</v>
      </c>
      <c r="N1424" s="164"/>
      <c r="O1424" s="164"/>
      <c r="P1424" s="159" t="s">
        <v>435</v>
      </c>
      <c r="Q1424" s="159" t="s">
        <v>569</v>
      </c>
      <c r="R1424" s="159" t="s">
        <v>3406</v>
      </c>
      <c r="S1424" s="165">
        <v>4.47552447552447E-2</v>
      </c>
      <c r="T1424" s="166" t="s">
        <v>372</v>
      </c>
      <c r="U1424" s="166"/>
      <c r="V1424" s="166"/>
      <c r="W1424" s="167">
        <f>IF(BetTable[Sport]="","",BetTable[Stake]+BetTable[S2]+BetTable[S3])</f>
        <v>32</v>
      </c>
      <c r="X1424" s="164">
        <f>IF(BetTable[Odds]="","",(BetTable[WBA1-Commission])-BetTable[TS])</f>
        <v>25.6</v>
      </c>
      <c r="Y1424" s="168">
        <f>IF(BetTable[Outcome]="","",BetTable[WBA1]+BetTable[WBA2]+BetTable[WBA3]-BetTable[TS])</f>
        <v>25.6</v>
      </c>
      <c r="Z1424" s="164">
        <f>(((BetTable[Odds]-1)*BetTable[Stake])*(1-(BetTable[Comm %]))+BetTable[Stake])</f>
        <v>57.6</v>
      </c>
      <c r="AA1424" s="164">
        <f>(((BetTable[O2]-1)*BetTable[S2])*(1-(BetTable[C% 2]))+BetTable[S2])</f>
        <v>0</v>
      </c>
      <c r="AB1424" s="164">
        <f>(((BetTable[O3]-1)*BetTable[S3])*(1-(BetTable[C% 3]))+BetTable[S3])</f>
        <v>0</v>
      </c>
      <c r="AC1424" s="165">
        <f>IFERROR(IF(BetTable[Sport]="","",BetTable[R1]/BetTable[TS]),"")</f>
        <v>0.8</v>
      </c>
      <c r="AD1424" s="165" t="str">
        <f>IF(BetTable[O2]="","",#REF!/BetTable[TS])</f>
        <v/>
      </c>
      <c r="AE1424" s="165" t="str">
        <f>IFERROR(IF(BetTable[Sport]="","",#REF!/BetTable[TS]),"")</f>
        <v/>
      </c>
      <c r="AF1424" s="164">
        <f>IF(BetTable[Outcome]="Win",BetTable[WBA1-Commission],IF(BetTable[Outcome]="Win Half Stake",(BetTable[Stake]/2)+BetTable[WBA1-Commission]/2,IF(BetTable[Outcome]="Lose Half Stake",BetTable[Stake]/2,IF(BetTable[Outcome]="Lose",0,IF(BetTable[Outcome]="Void",BetTable[Stake],)))))</f>
        <v>57.6</v>
      </c>
      <c r="AG1424" s="164">
        <f>IF(BetTable[Outcome2]="Win",BetTable[WBA2-Commission],IF(BetTable[Outcome2]="Win Half Stake",(BetTable[S2]/2)+BetTable[WBA2-Commission]/2,IF(BetTable[Outcome2]="Lose Half Stake",BetTable[S2]/2,IF(BetTable[Outcome2]="Lose",0,IF(BetTable[Outcome2]="Void",BetTable[S2],)))))</f>
        <v>0</v>
      </c>
      <c r="AH1424" s="164">
        <f>IF(BetTable[Outcome3]="Win",BetTable[WBA3-Commission],IF(BetTable[Outcome3]="Win Half Stake",(BetTable[S3]/2)+BetTable[WBA3-Commission]/2,IF(BetTable[Outcome3]="Lose Half Stake",BetTable[S3]/2,IF(BetTable[Outcome3]="Lose",0,IF(BetTable[Outcome3]="Void",BetTable[S3],)))))</f>
        <v>0</v>
      </c>
      <c r="AI1424" s="168">
        <f>IF(BetTable[Outcome]="",AI1423,BetTable[Result]+AI1423)</f>
        <v>2036.6527499999993</v>
      </c>
      <c r="AJ1424" s="160"/>
    </row>
    <row r="1425" spans="1:36" x14ac:dyDescent="0.2">
      <c r="A1425" s="159" t="s">
        <v>3324</v>
      </c>
      <c r="B1425" s="160" t="s">
        <v>200</v>
      </c>
      <c r="C1425" s="161" t="s">
        <v>1714</v>
      </c>
      <c r="D1425" s="161"/>
      <c r="E1425" s="161"/>
      <c r="F1425" s="162"/>
      <c r="G1425" s="162"/>
      <c r="H1425" s="162"/>
      <c r="I1425" s="160" t="s">
        <v>3407</v>
      </c>
      <c r="J1425" s="163">
        <v>1.96</v>
      </c>
      <c r="K1425" s="163"/>
      <c r="L1425" s="163"/>
      <c r="M1425" s="164">
        <v>36</v>
      </c>
      <c r="N1425" s="164"/>
      <c r="O1425" s="164"/>
      <c r="P1425" s="159" t="s">
        <v>357</v>
      </c>
      <c r="Q1425" s="159" t="s">
        <v>1171</v>
      </c>
      <c r="R1425" s="159" t="s">
        <v>3408</v>
      </c>
      <c r="S1425" s="165">
        <v>1.7658272914071099E-2</v>
      </c>
      <c r="T1425" s="166" t="s">
        <v>372</v>
      </c>
      <c r="U1425" s="166"/>
      <c r="V1425" s="166"/>
      <c r="W1425" s="167">
        <f>IF(BetTable[Sport]="","",BetTable[Stake]+BetTable[S2]+BetTable[S3])</f>
        <v>36</v>
      </c>
      <c r="X1425" s="164">
        <f>IF(BetTable[Odds]="","",(BetTable[WBA1-Commission])-BetTable[TS])</f>
        <v>34.56</v>
      </c>
      <c r="Y1425" s="168">
        <f>IF(BetTable[Outcome]="","",BetTable[WBA1]+BetTable[WBA2]+BetTable[WBA3]-BetTable[TS])</f>
        <v>34.56</v>
      </c>
      <c r="Z1425" s="164">
        <f>(((BetTable[Odds]-1)*BetTable[Stake])*(1-(BetTable[Comm %]))+BetTable[Stake])</f>
        <v>70.56</v>
      </c>
      <c r="AA1425" s="164">
        <f>(((BetTable[O2]-1)*BetTable[S2])*(1-(BetTable[C% 2]))+BetTable[S2])</f>
        <v>0</v>
      </c>
      <c r="AB1425" s="164">
        <f>(((BetTable[O3]-1)*BetTable[S3])*(1-(BetTable[C% 3]))+BetTable[S3])</f>
        <v>0</v>
      </c>
      <c r="AC1425" s="165">
        <f>IFERROR(IF(BetTable[Sport]="","",BetTable[R1]/BetTable[TS]),"")</f>
        <v>0.96000000000000008</v>
      </c>
      <c r="AD1425" s="165" t="str">
        <f>IF(BetTable[O2]="","",#REF!/BetTable[TS])</f>
        <v/>
      </c>
      <c r="AE1425" s="165" t="str">
        <f>IFERROR(IF(BetTable[Sport]="","",#REF!/BetTable[TS]),"")</f>
        <v/>
      </c>
      <c r="AF1425" s="164">
        <f>IF(BetTable[Outcome]="Win",BetTable[WBA1-Commission],IF(BetTable[Outcome]="Win Half Stake",(BetTable[Stake]/2)+BetTable[WBA1-Commission]/2,IF(BetTable[Outcome]="Lose Half Stake",BetTable[Stake]/2,IF(BetTable[Outcome]="Lose",0,IF(BetTable[Outcome]="Void",BetTable[Stake],)))))</f>
        <v>70.56</v>
      </c>
      <c r="AG1425" s="164">
        <f>IF(BetTable[Outcome2]="Win",BetTable[WBA2-Commission],IF(BetTable[Outcome2]="Win Half Stake",(BetTable[S2]/2)+BetTable[WBA2-Commission]/2,IF(BetTable[Outcome2]="Lose Half Stake",BetTable[S2]/2,IF(BetTable[Outcome2]="Lose",0,IF(BetTable[Outcome2]="Void",BetTable[S2],)))))</f>
        <v>0</v>
      </c>
      <c r="AH1425" s="164">
        <f>IF(BetTable[Outcome3]="Win",BetTable[WBA3-Commission],IF(BetTable[Outcome3]="Win Half Stake",(BetTable[S3]/2)+BetTable[WBA3-Commission]/2,IF(BetTable[Outcome3]="Lose Half Stake",BetTable[S3]/2,IF(BetTable[Outcome3]="Lose",0,IF(BetTable[Outcome3]="Void",BetTable[S3],)))))</f>
        <v>0</v>
      </c>
      <c r="AI1425" s="168">
        <f>IF(BetTable[Outcome]="",AI1424,BetTable[Result]+AI1424)</f>
        <v>2071.2127499999992</v>
      </c>
      <c r="AJ1425" s="160"/>
    </row>
    <row r="1426" spans="1:36" x14ac:dyDescent="0.2">
      <c r="A1426" s="159" t="s">
        <v>3324</v>
      </c>
      <c r="B1426" s="160" t="s">
        <v>200</v>
      </c>
      <c r="C1426" s="161" t="s">
        <v>1714</v>
      </c>
      <c r="D1426" s="161"/>
      <c r="E1426" s="161"/>
      <c r="F1426" s="162"/>
      <c r="G1426" s="162"/>
      <c r="H1426" s="162"/>
      <c r="I1426" s="160" t="s">
        <v>3409</v>
      </c>
      <c r="J1426" s="163">
        <v>1.7</v>
      </c>
      <c r="K1426" s="163"/>
      <c r="L1426" s="163"/>
      <c r="M1426" s="164">
        <v>64</v>
      </c>
      <c r="N1426" s="164"/>
      <c r="O1426" s="164"/>
      <c r="P1426" s="159" t="s">
        <v>646</v>
      </c>
      <c r="Q1426" s="159" t="s">
        <v>677</v>
      </c>
      <c r="R1426" s="159" t="s">
        <v>3410</v>
      </c>
      <c r="S1426" s="165">
        <v>2.3097416913671301E-2</v>
      </c>
      <c r="T1426" s="166" t="s">
        <v>372</v>
      </c>
      <c r="U1426" s="166"/>
      <c r="V1426" s="166"/>
      <c r="W1426" s="167">
        <f>IF(BetTable[Sport]="","",BetTable[Stake]+BetTable[S2]+BetTable[S3])</f>
        <v>64</v>
      </c>
      <c r="X1426" s="164">
        <f>IF(BetTable[Odds]="","",(BetTable[WBA1-Commission])-BetTable[TS])</f>
        <v>44.8</v>
      </c>
      <c r="Y1426" s="168">
        <f>IF(BetTable[Outcome]="","",BetTable[WBA1]+BetTable[WBA2]+BetTable[WBA3]-BetTable[TS])</f>
        <v>44.8</v>
      </c>
      <c r="Z1426" s="164">
        <f>(((BetTable[Odds]-1)*BetTable[Stake])*(1-(BetTable[Comm %]))+BetTable[Stake])</f>
        <v>108.8</v>
      </c>
      <c r="AA1426" s="164">
        <f>(((BetTable[O2]-1)*BetTable[S2])*(1-(BetTable[C% 2]))+BetTable[S2])</f>
        <v>0</v>
      </c>
      <c r="AB1426" s="164">
        <f>(((BetTable[O3]-1)*BetTable[S3])*(1-(BetTable[C% 3]))+BetTable[S3])</f>
        <v>0</v>
      </c>
      <c r="AC1426" s="165">
        <f>IFERROR(IF(BetTable[Sport]="","",BetTable[R1]/BetTable[TS]),"")</f>
        <v>0.7</v>
      </c>
      <c r="AD1426" s="165" t="str">
        <f>IF(BetTable[O2]="","",#REF!/BetTable[TS])</f>
        <v/>
      </c>
      <c r="AE1426" s="165" t="str">
        <f>IFERROR(IF(BetTable[Sport]="","",#REF!/BetTable[TS]),"")</f>
        <v/>
      </c>
      <c r="AF1426" s="164">
        <f>IF(BetTable[Outcome]="Win",BetTable[WBA1-Commission],IF(BetTable[Outcome]="Win Half Stake",(BetTable[Stake]/2)+BetTable[WBA1-Commission]/2,IF(BetTable[Outcome]="Lose Half Stake",BetTable[Stake]/2,IF(BetTable[Outcome]="Lose",0,IF(BetTable[Outcome]="Void",BetTable[Stake],)))))</f>
        <v>108.8</v>
      </c>
      <c r="AG1426" s="164">
        <f>IF(BetTable[Outcome2]="Win",BetTable[WBA2-Commission],IF(BetTable[Outcome2]="Win Half Stake",(BetTable[S2]/2)+BetTable[WBA2-Commission]/2,IF(BetTable[Outcome2]="Lose Half Stake",BetTable[S2]/2,IF(BetTable[Outcome2]="Lose",0,IF(BetTable[Outcome2]="Void",BetTable[S2],)))))</f>
        <v>0</v>
      </c>
      <c r="AH1426" s="164">
        <f>IF(BetTable[Outcome3]="Win",BetTable[WBA3-Commission],IF(BetTable[Outcome3]="Win Half Stake",(BetTable[S3]/2)+BetTable[WBA3-Commission]/2,IF(BetTable[Outcome3]="Lose Half Stake",BetTable[S3]/2,IF(BetTable[Outcome3]="Lose",0,IF(BetTable[Outcome3]="Void",BetTable[S3],)))))</f>
        <v>0</v>
      </c>
      <c r="AI1426" s="168">
        <f>IF(BetTable[Outcome]="",AI1425,BetTable[Result]+AI1425)</f>
        <v>2116.0127499999994</v>
      </c>
      <c r="AJ1426" s="160"/>
    </row>
    <row r="1427" spans="1:36" x14ac:dyDescent="0.2">
      <c r="A1427" s="159" t="s">
        <v>3324</v>
      </c>
      <c r="B1427" s="160" t="s">
        <v>200</v>
      </c>
      <c r="C1427" s="161" t="s">
        <v>1714</v>
      </c>
      <c r="D1427" s="161"/>
      <c r="E1427" s="161"/>
      <c r="F1427" s="162"/>
      <c r="G1427" s="162"/>
      <c r="H1427" s="162"/>
      <c r="I1427" s="160" t="s">
        <v>3411</v>
      </c>
      <c r="J1427" s="163">
        <v>1.9</v>
      </c>
      <c r="K1427" s="163"/>
      <c r="L1427" s="163"/>
      <c r="M1427" s="164">
        <v>51</v>
      </c>
      <c r="N1427" s="164"/>
      <c r="O1427" s="164"/>
      <c r="P1427" s="159" t="s">
        <v>360</v>
      </c>
      <c r="Q1427" s="159" t="s">
        <v>677</v>
      </c>
      <c r="R1427" s="159" t="s">
        <v>3412</v>
      </c>
      <c r="S1427" s="165">
        <v>2.3542121052247698E-2</v>
      </c>
      <c r="T1427" s="166" t="s">
        <v>372</v>
      </c>
      <c r="U1427" s="166"/>
      <c r="V1427" s="166"/>
      <c r="W1427" s="167">
        <f>IF(BetTable[Sport]="","",BetTable[Stake]+BetTable[S2]+BetTable[S3])</f>
        <v>51</v>
      </c>
      <c r="X1427" s="164">
        <f>IF(BetTable[Odds]="","",(BetTable[WBA1-Commission])-BetTable[TS])</f>
        <v>45.900000000000006</v>
      </c>
      <c r="Y1427" s="168">
        <f>IF(BetTable[Outcome]="","",BetTable[WBA1]+BetTable[WBA2]+BetTable[WBA3]-BetTable[TS])</f>
        <v>45.900000000000006</v>
      </c>
      <c r="Z1427" s="164">
        <f>(((BetTable[Odds]-1)*BetTable[Stake])*(1-(BetTable[Comm %]))+BetTable[Stake])</f>
        <v>96.9</v>
      </c>
      <c r="AA1427" s="164">
        <f>(((BetTable[O2]-1)*BetTable[S2])*(1-(BetTable[C% 2]))+BetTable[S2])</f>
        <v>0</v>
      </c>
      <c r="AB1427" s="164">
        <f>(((BetTable[O3]-1)*BetTable[S3])*(1-(BetTable[C% 3]))+BetTable[S3])</f>
        <v>0</v>
      </c>
      <c r="AC1427" s="165">
        <f>IFERROR(IF(BetTable[Sport]="","",BetTable[R1]/BetTable[TS]),"")</f>
        <v>0.90000000000000013</v>
      </c>
      <c r="AD1427" s="165" t="str">
        <f>IF(BetTable[O2]="","",#REF!/BetTable[TS])</f>
        <v/>
      </c>
      <c r="AE1427" s="165" t="str">
        <f>IFERROR(IF(BetTable[Sport]="","",#REF!/BetTable[TS]),"")</f>
        <v/>
      </c>
      <c r="AF1427" s="164">
        <f>IF(BetTable[Outcome]="Win",BetTable[WBA1-Commission],IF(BetTable[Outcome]="Win Half Stake",(BetTable[Stake]/2)+BetTable[WBA1-Commission]/2,IF(BetTable[Outcome]="Lose Half Stake",BetTable[Stake]/2,IF(BetTable[Outcome]="Lose",0,IF(BetTable[Outcome]="Void",BetTable[Stake],)))))</f>
        <v>96.9</v>
      </c>
      <c r="AG1427" s="164">
        <f>IF(BetTable[Outcome2]="Win",BetTable[WBA2-Commission],IF(BetTable[Outcome2]="Win Half Stake",(BetTable[S2]/2)+BetTable[WBA2-Commission]/2,IF(BetTable[Outcome2]="Lose Half Stake",BetTable[S2]/2,IF(BetTable[Outcome2]="Lose",0,IF(BetTable[Outcome2]="Void",BetTable[S2],)))))</f>
        <v>0</v>
      </c>
      <c r="AH1427" s="164">
        <f>IF(BetTable[Outcome3]="Win",BetTable[WBA3-Commission],IF(BetTable[Outcome3]="Win Half Stake",(BetTable[S3]/2)+BetTable[WBA3-Commission]/2,IF(BetTable[Outcome3]="Lose Half Stake",BetTable[S3]/2,IF(BetTable[Outcome3]="Lose",0,IF(BetTable[Outcome3]="Void",BetTable[S3],)))))</f>
        <v>0</v>
      </c>
      <c r="AI1427" s="168">
        <f>IF(BetTable[Outcome]="",AI1426,BetTable[Result]+AI1426)</f>
        <v>2161.9127499999995</v>
      </c>
      <c r="AJ1427" s="160"/>
    </row>
    <row r="1428" spans="1:36" x14ac:dyDescent="0.2">
      <c r="A1428" s="159" t="s">
        <v>3324</v>
      </c>
      <c r="B1428" s="160" t="s">
        <v>7</v>
      </c>
      <c r="C1428" s="161" t="s">
        <v>91</v>
      </c>
      <c r="D1428" s="161"/>
      <c r="E1428" s="161"/>
      <c r="F1428" s="162"/>
      <c r="G1428" s="162"/>
      <c r="H1428" s="162"/>
      <c r="I1428" s="160" t="s">
        <v>3413</v>
      </c>
      <c r="J1428" s="163">
        <v>2.2599999999999998</v>
      </c>
      <c r="K1428" s="163"/>
      <c r="L1428" s="163"/>
      <c r="M1428" s="164">
        <v>51</v>
      </c>
      <c r="N1428" s="164"/>
      <c r="O1428" s="164"/>
      <c r="P1428" s="159" t="s">
        <v>3414</v>
      </c>
      <c r="Q1428" s="159" t="s">
        <v>1205</v>
      </c>
      <c r="R1428" s="159" t="s">
        <v>3415</v>
      </c>
      <c r="S1428" s="165">
        <v>4.9978651505810899E-2</v>
      </c>
      <c r="T1428" s="166" t="s">
        <v>372</v>
      </c>
      <c r="U1428" s="166"/>
      <c r="V1428" s="166"/>
      <c r="W1428" s="167">
        <f>IF(BetTable[Sport]="","",BetTable[Stake]+BetTable[S2]+BetTable[S3])</f>
        <v>51</v>
      </c>
      <c r="X1428" s="164">
        <f>IF(BetTable[Odds]="","",(BetTable[WBA1-Commission])-BetTable[TS])</f>
        <v>64.259999999999991</v>
      </c>
      <c r="Y1428" s="168">
        <f>IF(BetTable[Outcome]="","",BetTable[WBA1]+BetTable[WBA2]+BetTable[WBA3]-BetTable[TS])</f>
        <v>64.259999999999991</v>
      </c>
      <c r="Z1428" s="164">
        <f>(((BetTable[Odds]-1)*BetTable[Stake])*(1-(BetTable[Comm %]))+BetTable[Stake])</f>
        <v>115.25999999999999</v>
      </c>
      <c r="AA1428" s="164">
        <f>(((BetTable[O2]-1)*BetTable[S2])*(1-(BetTable[C% 2]))+BetTable[S2])</f>
        <v>0</v>
      </c>
      <c r="AB1428" s="164">
        <f>(((BetTable[O3]-1)*BetTable[S3])*(1-(BetTable[C% 3]))+BetTable[S3])</f>
        <v>0</v>
      </c>
      <c r="AC1428" s="165">
        <f>IFERROR(IF(BetTable[Sport]="","",BetTable[R1]/BetTable[TS]),"")</f>
        <v>1.2599999999999998</v>
      </c>
      <c r="AD1428" s="165" t="str">
        <f>IF(BetTable[O2]="","",#REF!/BetTable[TS])</f>
        <v/>
      </c>
      <c r="AE1428" s="165" t="str">
        <f>IFERROR(IF(BetTable[Sport]="","",#REF!/BetTable[TS]),"")</f>
        <v/>
      </c>
      <c r="AF1428" s="164">
        <f>IF(BetTable[Outcome]="Win",BetTable[WBA1-Commission],IF(BetTable[Outcome]="Win Half Stake",(BetTable[Stake]/2)+BetTable[WBA1-Commission]/2,IF(BetTable[Outcome]="Lose Half Stake",BetTable[Stake]/2,IF(BetTable[Outcome]="Lose",0,IF(BetTable[Outcome]="Void",BetTable[Stake],)))))</f>
        <v>115.25999999999999</v>
      </c>
      <c r="AG1428" s="164">
        <f>IF(BetTable[Outcome2]="Win",BetTable[WBA2-Commission],IF(BetTable[Outcome2]="Win Half Stake",(BetTable[S2]/2)+BetTable[WBA2-Commission]/2,IF(BetTable[Outcome2]="Lose Half Stake",BetTable[S2]/2,IF(BetTable[Outcome2]="Lose",0,IF(BetTable[Outcome2]="Void",BetTable[S2],)))))</f>
        <v>0</v>
      </c>
      <c r="AH1428" s="164">
        <f>IF(BetTable[Outcome3]="Win",BetTable[WBA3-Commission],IF(BetTable[Outcome3]="Win Half Stake",(BetTable[S3]/2)+BetTable[WBA3-Commission]/2,IF(BetTable[Outcome3]="Lose Half Stake",BetTable[S3]/2,IF(BetTable[Outcome3]="Lose",0,IF(BetTable[Outcome3]="Void",BetTable[S3],)))))</f>
        <v>0</v>
      </c>
      <c r="AI1428" s="168">
        <f>IF(BetTable[Outcome]="",AI1427,BetTable[Result]+AI1427)</f>
        <v>2226.1727499999997</v>
      </c>
      <c r="AJ1428" s="160"/>
    </row>
    <row r="1429" spans="1:36" x14ac:dyDescent="0.2">
      <c r="A1429" s="159" t="s">
        <v>3324</v>
      </c>
      <c r="B1429" s="160" t="s">
        <v>7</v>
      </c>
      <c r="C1429" s="161" t="s">
        <v>91</v>
      </c>
      <c r="D1429" s="161"/>
      <c r="E1429" s="161"/>
      <c r="F1429" s="162"/>
      <c r="G1429" s="162"/>
      <c r="H1429" s="162"/>
      <c r="I1429" s="160" t="s">
        <v>3289</v>
      </c>
      <c r="J1429" s="163">
        <v>1.76</v>
      </c>
      <c r="K1429" s="163"/>
      <c r="L1429" s="163"/>
      <c r="M1429" s="164">
        <v>49</v>
      </c>
      <c r="N1429" s="164"/>
      <c r="O1429" s="164"/>
      <c r="P1429" s="159" t="s">
        <v>2317</v>
      </c>
      <c r="Q1429" s="159" t="s">
        <v>485</v>
      </c>
      <c r="R1429" s="159" t="s">
        <v>3416</v>
      </c>
      <c r="S1429" s="165">
        <v>1.8921443216450999E-2</v>
      </c>
      <c r="T1429" s="166" t="s">
        <v>372</v>
      </c>
      <c r="U1429" s="166"/>
      <c r="V1429" s="166"/>
      <c r="W1429" s="167">
        <f>IF(BetTable[Sport]="","",BetTable[Stake]+BetTable[S2]+BetTable[S3])</f>
        <v>49</v>
      </c>
      <c r="X1429" s="164">
        <f>IF(BetTable[Odds]="","",(BetTable[WBA1-Commission])-BetTable[TS])</f>
        <v>37.240000000000009</v>
      </c>
      <c r="Y1429" s="168">
        <f>IF(BetTable[Outcome]="","",BetTable[WBA1]+BetTable[WBA2]+BetTable[WBA3]-BetTable[TS])</f>
        <v>37.240000000000009</v>
      </c>
      <c r="Z1429" s="164">
        <f>(((BetTable[Odds]-1)*BetTable[Stake])*(1-(BetTable[Comm %]))+BetTable[Stake])</f>
        <v>86.240000000000009</v>
      </c>
      <c r="AA1429" s="164">
        <f>(((BetTable[O2]-1)*BetTable[S2])*(1-(BetTable[C% 2]))+BetTable[S2])</f>
        <v>0</v>
      </c>
      <c r="AB1429" s="164">
        <f>(((BetTable[O3]-1)*BetTable[S3])*(1-(BetTable[C% 3]))+BetTable[S3])</f>
        <v>0</v>
      </c>
      <c r="AC1429" s="165">
        <f>IFERROR(IF(BetTable[Sport]="","",BetTable[R1]/BetTable[TS]),"")</f>
        <v>0.76000000000000023</v>
      </c>
      <c r="AD1429" s="165" t="str">
        <f>IF(BetTable[O2]="","",#REF!/BetTable[TS])</f>
        <v/>
      </c>
      <c r="AE1429" s="165" t="str">
        <f>IFERROR(IF(BetTable[Sport]="","",#REF!/BetTable[TS]),"")</f>
        <v/>
      </c>
      <c r="AF1429" s="164">
        <f>IF(BetTable[Outcome]="Win",BetTable[WBA1-Commission],IF(BetTable[Outcome]="Win Half Stake",(BetTable[Stake]/2)+BetTable[WBA1-Commission]/2,IF(BetTable[Outcome]="Lose Half Stake",BetTable[Stake]/2,IF(BetTable[Outcome]="Lose",0,IF(BetTable[Outcome]="Void",BetTable[Stake],)))))</f>
        <v>86.240000000000009</v>
      </c>
      <c r="AG1429" s="164">
        <f>IF(BetTable[Outcome2]="Win",BetTable[WBA2-Commission],IF(BetTable[Outcome2]="Win Half Stake",(BetTable[S2]/2)+BetTable[WBA2-Commission]/2,IF(BetTable[Outcome2]="Lose Half Stake",BetTable[S2]/2,IF(BetTable[Outcome2]="Lose",0,IF(BetTable[Outcome2]="Void",BetTable[S2],)))))</f>
        <v>0</v>
      </c>
      <c r="AH1429" s="164">
        <f>IF(BetTable[Outcome3]="Win",BetTable[WBA3-Commission],IF(BetTable[Outcome3]="Win Half Stake",(BetTable[S3]/2)+BetTable[WBA3-Commission]/2,IF(BetTable[Outcome3]="Lose Half Stake",BetTable[S3]/2,IF(BetTable[Outcome3]="Lose",0,IF(BetTable[Outcome3]="Void",BetTable[S3],)))))</f>
        <v>0</v>
      </c>
      <c r="AI1429" s="168">
        <f>IF(BetTable[Outcome]="",AI1428,BetTable[Result]+AI1428)</f>
        <v>2263.4127499999995</v>
      </c>
      <c r="AJ1429" s="160"/>
    </row>
    <row r="1430" spans="1:36" x14ac:dyDescent="0.2">
      <c r="A1430" s="159" t="s">
        <v>3324</v>
      </c>
      <c r="B1430" s="160" t="s">
        <v>200</v>
      </c>
      <c r="C1430" s="161" t="s">
        <v>1714</v>
      </c>
      <c r="D1430" s="161"/>
      <c r="E1430" s="161"/>
      <c r="F1430" s="162"/>
      <c r="G1430" s="162"/>
      <c r="H1430" s="162"/>
      <c r="I1430" s="160" t="s">
        <v>3417</v>
      </c>
      <c r="J1430" s="163">
        <v>2.0699999999999998</v>
      </c>
      <c r="K1430" s="163"/>
      <c r="L1430" s="163"/>
      <c r="M1430" s="164">
        <v>33</v>
      </c>
      <c r="N1430" s="164"/>
      <c r="O1430" s="164"/>
      <c r="P1430" s="159" t="s">
        <v>852</v>
      </c>
      <c r="Q1430" s="159" t="s">
        <v>581</v>
      </c>
      <c r="R1430" s="159" t="s">
        <v>3418</v>
      </c>
      <c r="S1430" s="165">
        <v>1.80056768515326E-2</v>
      </c>
      <c r="T1430" s="166" t="s">
        <v>549</v>
      </c>
      <c r="U1430" s="166"/>
      <c r="V1430" s="166"/>
      <c r="W1430" s="167">
        <f>IF(BetTable[Sport]="","",BetTable[Stake]+BetTable[S2]+BetTable[S3])</f>
        <v>33</v>
      </c>
      <c r="X1430" s="164">
        <f>IF(BetTable[Odds]="","",(BetTable[WBA1-Commission])-BetTable[TS])</f>
        <v>35.31</v>
      </c>
      <c r="Y1430" s="168">
        <f>IF(BetTable[Outcome]="","",BetTable[WBA1]+BetTable[WBA2]+BetTable[WBA3]-BetTable[TS])</f>
        <v>-16.5</v>
      </c>
      <c r="Z1430" s="164">
        <f>(((BetTable[Odds]-1)*BetTable[Stake])*(1-(BetTable[Comm %]))+BetTable[Stake])</f>
        <v>68.31</v>
      </c>
      <c r="AA1430" s="164">
        <f>(((BetTable[O2]-1)*BetTable[S2])*(1-(BetTable[C% 2]))+BetTable[S2])</f>
        <v>0</v>
      </c>
      <c r="AB1430" s="164">
        <f>(((BetTable[O3]-1)*BetTable[S3])*(1-(BetTable[C% 3]))+BetTable[S3])</f>
        <v>0</v>
      </c>
      <c r="AC1430" s="165">
        <f>IFERROR(IF(BetTable[Sport]="","",BetTable[R1]/BetTable[TS]),"")</f>
        <v>1.07</v>
      </c>
      <c r="AD1430" s="165" t="str">
        <f>IF(BetTable[O2]="","",#REF!/BetTable[TS])</f>
        <v/>
      </c>
      <c r="AE1430" s="165" t="str">
        <f>IFERROR(IF(BetTable[Sport]="","",#REF!/BetTable[TS]),"")</f>
        <v/>
      </c>
      <c r="AF1430" s="164">
        <f>IF(BetTable[Outcome]="Win",BetTable[WBA1-Commission],IF(BetTable[Outcome]="Win Half Stake",(BetTable[Stake]/2)+BetTable[WBA1-Commission]/2,IF(BetTable[Outcome]="Lose Half Stake",BetTable[Stake]/2,IF(BetTable[Outcome]="Lose",0,IF(BetTable[Outcome]="Void",BetTable[Stake],)))))</f>
        <v>16.5</v>
      </c>
      <c r="AG1430" s="164">
        <f>IF(BetTable[Outcome2]="Win",BetTable[WBA2-Commission],IF(BetTable[Outcome2]="Win Half Stake",(BetTable[S2]/2)+BetTable[WBA2-Commission]/2,IF(BetTable[Outcome2]="Lose Half Stake",BetTable[S2]/2,IF(BetTable[Outcome2]="Lose",0,IF(BetTable[Outcome2]="Void",BetTable[S2],)))))</f>
        <v>0</v>
      </c>
      <c r="AH1430" s="164">
        <f>IF(BetTable[Outcome3]="Win",BetTable[WBA3-Commission],IF(BetTable[Outcome3]="Win Half Stake",(BetTable[S3]/2)+BetTable[WBA3-Commission]/2,IF(BetTable[Outcome3]="Lose Half Stake",BetTable[S3]/2,IF(BetTable[Outcome3]="Lose",0,IF(BetTable[Outcome3]="Void",BetTable[S3],)))))</f>
        <v>0</v>
      </c>
      <c r="AI1430" s="168">
        <f>IF(BetTable[Outcome]="",AI1429,BetTable[Result]+AI1429)</f>
        <v>2246.9127499999995</v>
      </c>
      <c r="AJ1430" s="160"/>
    </row>
    <row r="1431" spans="1:36" x14ac:dyDescent="0.2">
      <c r="A1431" s="159" t="s">
        <v>3324</v>
      </c>
      <c r="B1431" s="160" t="s">
        <v>7</v>
      </c>
      <c r="C1431" s="161" t="s">
        <v>1714</v>
      </c>
      <c r="D1431" s="161"/>
      <c r="E1431" s="161"/>
      <c r="F1431" s="162"/>
      <c r="G1431" s="162"/>
      <c r="H1431" s="162"/>
      <c r="I1431" s="160" t="s">
        <v>3419</v>
      </c>
      <c r="J1431" s="163">
        <v>1.84</v>
      </c>
      <c r="K1431" s="163"/>
      <c r="L1431" s="163"/>
      <c r="M1431" s="164">
        <v>50</v>
      </c>
      <c r="N1431" s="164"/>
      <c r="O1431" s="164"/>
      <c r="P1431" s="159" t="s">
        <v>2877</v>
      </c>
      <c r="Q1431" s="159" t="s">
        <v>506</v>
      </c>
      <c r="R1431" s="159" t="s">
        <v>3420</v>
      </c>
      <c r="S1431" s="165">
        <v>2.1639916158400701E-2</v>
      </c>
      <c r="T1431" s="166" t="s">
        <v>382</v>
      </c>
      <c r="U1431" s="166"/>
      <c r="V1431" s="166"/>
      <c r="W1431" s="167">
        <f>IF(BetTable[Sport]="","",BetTable[Stake]+BetTable[S2]+BetTable[S3])</f>
        <v>50</v>
      </c>
      <c r="X1431" s="164">
        <f>IF(BetTable[Odds]="","",(BetTable[WBA1-Commission])-BetTable[TS])</f>
        <v>42</v>
      </c>
      <c r="Y1431" s="168">
        <f>IF(BetTable[Outcome]="","",BetTable[WBA1]+BetTable[WBA2]+BetTable[WBA3]-BetTable[TS])</f>
        <v>-50</v>
      </c>
      <c r="Z1431" s="164">
        <f>(((BetTable[Odds]-1)*BetTable[Stake])*(1-(BetTable[Comm %]))+BetTable[Stake])</f>
        <v>92</v>
      </c>
      <c r="AA1431" s="164">
        <f>(((BetTable[O2]-1)*BetTable[S2])*(1-(BetTable[C% 2]))+BetTable[S2])</f>
        <v>0</v>
      </c>
      <c r="AB1431" s="164">
        <f>(((BetTable[O3]-1)*BetTable[S3])*(1-(BetTable[C% 3]))+BetTable[S3])</f>
        <v>0</v>
      </c>
      <c r="AC1431" s="165">
        <f>IFERROR(IF(BetTable[Sport]="","",BetTable[R1]/BetTable[TS]),"")</f>
        <v>0.84</v>
      </c>
      <c r="AD1431" s="165" t="str">
        <f>IF(BetTable[O2]="","",#REF!/BetTable[TS])</f>
        <v/>
      </c>
      <c r="AE1431" s="165" t="str">
        <f>IFERROR(IF(BetTable[Sport]="","",#REF!/BetTable[TS]),"")</f>
        <v/>
      </c>
      <c r="AF1431" s="164">
        <f>IF(BetTable[Outcome]="Win",BetTable[WBA1-Commission],IF(BetTable[Outcome]="Win Half Stake",(BetTable[Stake]/2)+BetTable[WBA1-Commission]/2,IF(BetTable[Outcome]="Lose Half Stake",BetTable[Stake]/2,IF(BetTable[Outcome]="Lose",0,IF(BetTable[Outcome]="Void",BetTable[Stake],)))))</f>
        <v>0</v>
      </c>
      <c r="AG1431" s="164">
        <f>IF(BetTable[Outcome2]="Win",BetTable[WBA2-Commission],IF(BetTable[Outcome2]="Win Half Stake",(BetTable[S2]/2)+BetTable[WBA2-Commission]/2,IF(BetTable[Outcome2]="Lose Half Stake",BetTable[S2]/2,IF(BetTable[Outcome2]="Lose",0,IF(BetTable[Outcome2]="Void",BetTable[S2],)))))</f>
        <v>0</v>
      </c>
      <c r="AH1431" s="164">
        <f>IF(BetTable[Outcome3]="Win",BetTable[WBA3-Commission],IF(BetTable[Outcome3]="Win Half Stake",(BetTable[S3]/2)+BetTable[WBA3-Commission]/2,IF(BetTable[Outcome3]="Lose Half Stake",BetTable[S3]/2,IF(BetTable[Outcome3]="Lose",0,IF(BetTable[Outcome3]="Void",BetTable[S3],)))))</f>
        <v>0</v>
      </c>
      <c r="AI1431" s="168">
        <f>IF(BetTable[Outcome]="",AI1430,BetTable[Result]+AI1430)</f>
        <v>2196.9127499999995</v>
      </c>
      <c r="AJ1431" s="160"/>
    </row>
    <row r="1432" spans="1:36" x14ac:dyDescent="0.2">
      <c r="A1432" s="159" t="s">
        <v>3324</v>
      </c>
      <c r="B1432" s="160" t="s">
        <v>7</v>
      </c>
      <c r="C1432" s="161" t="s">
        <v>1714</v>
      </c>
      <c r="D1432" s="161"/>
      <c r="E1432" s="161"/>
      <c r="F1432" s="162"/>
      <c r="G1432" s="162"/>
      <c r="H1432" s="162"/>
      <c r="I1432" s="160" t="s">
        <v>3421</v>
      </c>
      <c r="J1432" s="163">
        <v>1.92</v>
      </c>
      <c r="K1432" s="163"/>
      <c r="L1432" s="163"/>
      <c r="M1432" s="164">
        <v>39</v>
      </c>
      <c r="N1432" s="164"/>
      <c r="O1432" s="164"/>
      <c r="P1432" s="159" t="s">
        <v>1627</v>
      </c>
      <c r="Q1432" s="159" t="s">
        <v>485</v>
      </c>
      <c r="R1432" s="159" t="s">
        <v>3422</v>
      </c>
      <c r="S1432" s="165">
        <v>3.9617224880382697E-2</v>
      </c>
      <c r="T1432" s="166" t="s">
        <v>372</v>
      </c>
      <c r="U1432" s="166"/>
      <c r="V1432" s="166"/>
      <c r="W1432" s="167">
        <f>IF(BetTable[Sport]="","",BetTable[Stake]+BetTable[S2]+BetTable[S3])</f>
        <v>39</v>
      </c>
      <c r="X1432" s="164">
        <f>IF(BetTable[Odds]="","",(BetTable[WBA1-Commission])-BetTable[TS])</f>
        <v>35.879999999999995</v>
      </c>
      <c r="Y1432" s="168">
        <f>IF(BetTable[Outcome]="","",BetTable[WBA1]+BetTable[WBA2]+BetTable[WBA3]-BetTable[TS])</f>
        <v>35.879999999999995</v>
      </c>
      <c r="Z1432" s="164">
        <f>(((BetTable[Odds]-1)*BetTable[Stake])*(1-(BetTable[Comm %]))+BetTable[Stake])</f>
        <v>74.88</v>
      </c>
      <c r="AA1432" s="164">
        <f>(((BetTable[O2]-1)*BetTable[S2])*(1-(BetTable[C% 2]))+BetTable[S2])</f>
        <v>0</v>
      </c>
      <c r="AB1432" s="164">
        <f>(((BetTable[O3]-1)*BetTable[S3])*(1-(BetTable[C% 3]))+BetTable[S3])</f>
        <v>0</v>
      </c>
      <c r="AC1432" s="165">
        <f>IFERROR(IF(BetTable[Sport]="","",BetTable[R1]/BetTable[TS]),"")</f>
        <v>0.91999999999999993</v>
      </c>
      <c r="AD1432" s="165" t="str">
        <f>IF(BetTable[O2]="","",#REF!/BetTable[TS])</f>
        <v/>
      </c>
      <c r="AE1432" s="165" t="str">
        <f>IFERROR(IF(BetTable[Sport]="","",#REF!/BetTable[TS]),"")</f>
        <v/>
      </c>
      <c r="AF1432" s="164">
        <f>IF(BetTable[Outcome]="Win",BetTable[WBA1-Commission],IF(BetTable[Outcome]="Win Half Stake",(BetTable[Stake]/2)+BetTable[WBA1-Commission]/2,IF(BetTable[Outcome]="Lose Half Stake",BetTable[Stake]/2,IF(BetTable[Outcome]="Lose",0,IF(BetTable[Outcome]="Void",BetTable[Stake],)))))</f>
        <v>74.88</v>
      </c>
      <c r="AG1432" s="164">
        <f>IF(BetTable[Outcome2]="Win",BetTable[WBA2-Commission],IF(BetTable[Outcome2]="Win Half Stake",(BetTable[S2]/2)+BetTable[WBA2-Commission]/2,IF(BetTable[Outcome2]="Lose Half Stake",BetTable[S2]/2,IF(BetTable[Outcome2]="Lose",0,IF(BetTable[Outcome2]="Void",BetTable[S2],)))))</f>
        <v>0</v>
      </c>
      <c r="AH1432" s="164">
        <f>IF(BetTable[Outcome3]="Win",BetTable[WBA3-Commission],IF(BetTable[Outcome3]="Win Half Stake",(BetTable[S3]/2)+BetTable[WBA3-Commission]/2,IF(BetTable[Outcome3]="Lose Half Stake",BetTable[S3]/2,IF(BetTable[Outcome3]="Lose",0,IF(BetTable[Outcome3]="Void",BetTable[S3],)))))</f>
        <v>0</v>
      </c>
      <c r="AI1432" s="168">
        <f>IF(BetTable[Outcome]="",AI1431,BetTable[Result]+AI1431)</f>
        <v>2232.7927499999996</v>
      </c>
      <c r="AJ1432" s="160"/>
    </row>
    <row r="1433" spans="1:36" x14ac:dyDescent="0.2">
      <c r="A1433" s="159" t="s">
        <v>3324</v>
      </c>
      <c r="B1433" s="160" t="s">
        <v>7</v>
      </c>
      <c r="C1433" s="161" t="s">
        <v>1714</v>
      </c>
      <c r="D1433" s="161"/>
      <c r="E1433" s="161"/>
      <c r="F1433" s="162"/>
      <c r="G1433" s="162"/>
      <c r="H1433" s="162"/>
      <c r="I1433" s="160" t="s">
        <v>3423</v>
      </c>
      <c r="J1433" s="163">
        <v>1.88</v>
      </c>
      <c r="K1433" s="163"/>
      <c r="L1433" s="163"/>
      <c r="M1433" s="164">
        <v>36</v>
      </c>
      <c r="N1433" s="164"/>
      <c r="O1433" s="164"/>
      <c r="P1433" s="159" t="s">
        <v>400</v>
      </c>
      <c r="Q1433" s="159" t="s">
        <v>3424</v>
      </c>
      <c r="R1433" s="159" t="s">
        <v>3425</v>
      </c>
      <c r="S1433" s="165">
        <v>1.6142781501343999E-2</v>
      </c>
      <c r="T1433" s="166" t="s">
        <v>372</v>
      </c>
      <c r="U1433" s="166"/>
      <c r="V1433" s="166"/>
      <c r="W1433" s="167">
        <f>IF(BetTable[Sport]="","",BetTable[Stake]+BetTable[S2]+BetTable[S3])</f>
        <v>36</v>
      </c>
      <c r="X1433" s="164">
        <f>IF(BetTable[Odds]="","",(BetTable[WBA1-Commission])-BetTable[TS])</f>
        <v>31.679999999999993</v>
      </c>
      <c r="Y1433" s="168">
        <f>IF(BetTable[Outcome]="","",BetTable[WBA1]+BetTable[WBA2]+BetTable[WBA3]-BetTable[TS])</f>
        <v>31.679999999999993</v>
      </c>
      <c r="Z1433" s="164">
        <f>(((BetTable[Odds]-1)*BetTable[Stake])*(1-(BetTable[Comm %]))+BetTable[Stake])</f>
        <v>67.679999999999993</v>
      </c>
      <c r="AA1433" s="164">
        <f>(((BetTable[O2]-1)*BetTable[S2])*(1-(BetTable[C% 2]))+BetTable[S2])</f>
        <v>0</v>
      </c>
      <c r="AB1433" s="164">
        <f>(((BetTable[O3]-1)*BetTable[S3])*(1-(BetTable[C% 3]))+BetTable[S3])</f>
        <v>0</v>
      </c>
      <c r="AC1433" s="165">
        <f>IFERROR(IF(BetTable[Sport]="","",BetTable[R1]/BetTable[TS]),"")</f>
        <v>0.87999999999999978</v>
      </c>
      <c r="AD1433" s="165" t="str">
        <f>IF(BetTable[O2]="","",#REF!/BetTable[TS])</f>
        <v/>
      </c>
      <c r="AE1433" s="165" t="str">
        <f>IFERROR(IF(BetTable[Sport]="","",#REF!/BetTable[TS]),"")</f>
        <v/>
      </c>
      <c r="AF1433" s="164">
        <f>IF(BetTable[Outcome]="Win",BetTable[WBA1-Commission],IF(BetTable[Outcome]="Win Half Stake",(BetTable[Stake]/2)+BetTable[WBA1-Commission]/2,IF(BetTable[Outcome]="Lose Half Stake",BetTable[Stake]/2,IF(BetTable[Outcome]="Lose",0,IF(BetTable[Outcome]="Void",BetTable[Stake],)))))</f>
        <v>67.679999999999993</v>
      </c>
      <c r="AG1433" s="164">
        <f>IF(BetTable[Outcome2]="Win",BetTable[WBA2-Commission],IF(BetTable[Outcome2]="Win Half Stake",(BetTable[S2]/2)+BetTable[WBA2-Commission]/2,IF(BetTable[Outcome2]="Lose Half Stake",BetTable[S2]/2,IF(BetTable[Outcome2]="Lose",0,IF(BetTable[Outcome2]="Void",BetTable[S2],)))))</f>
        <v>0</v>
      </c>
      <c r="AH1433" s="164">
        <f>IF(BetTable[Outcome3]="Win",BetTable[WBA3-Commission],IF(BetTable[Outcome3]="Win Half Stake",(BetTable[S3]/2)+BetTable[WBA3-Commission]/2,IF(BetTable[Outcome3]="Lose Half Stake",BetTable[S3]/2,IF(BetTable[Outcome3]="Lose",0,IF(BetTable[Outcome3]="Void",BetTable[S3],)))))</f>
        <v>0</v>
      </c>
      <c r="AI1433" s="168">
        <f>IF(BetTable[Outcome]="",AI1432,BetTable[Result]+AI1432)</f>
        <v>2264.4727499999995</v>
      </c>
      <c r="AJ1433" s="160"/>
    </row>
    <row r="1434" spans="1:36" x14ac:dyDescent="0.2">
      <c r="A1434" s="159" t="s">
        <v>3324</v>
      </c>
      <c r="B1434" s="160" t="s">
        <v>200</v>
      </c>
      <c r="C1434" s="161" t="s">
        <v>1714</v>
      </c>
      <c r="D1434" s="161"/>
      <c r="E1434" s="161"/>
      <c r="F1434" s="162"/>
      <c r="G1434" s="162"/>
      <c r="H1434" s="162"/>
      <c r="I1434" s="160" t="s">
        <v>3426</v>
      </c>
      <c r="J1434" s="163">
        <v>1.8</v>
      </c>
      <c r="K1434" s="163"/>
      <c r="L1434" s="163"/>
      <c r="M1434" s="164">
        <v>48</v>
      </c>
      <c r="N1434" s="164"/>
      <c r="O1434" s="164"/>
      <c r="P1434" s="159" t="s">
        <v>635</v>
      </c>
      <c r="Q1434" s="159" t="s">
        <v>703</v>
      </c>
      <c r="R1434" s="159" t="s">
        <v>3427</v>
      </c>
      <c r="S1434" s="165">
        <v>1.9742043241080798E-2</v>
      </c>
      <c r="T1434" s="166" t="s">
        <v>382</v>
      </c>
      <c r="U1434" s="166"/>
      <c r="V1434" s="166"/>
      <c r="W1434" s="167">
        <f>IF(BetTable[Sport]="","",BetTable[Stake]+BetTable[S2]+BetTable[S3])</f>
        <v>48</v>
      </c>
      <c r="X1434" s="164">
        <f>IF(BetTable[Odds]="","",(BetTable[WBA1-Commission])-BetTable[TS])</f>
        <v>38.400000000000006</v>
      </c>
      <c r="Y1434" s="168">
        <f>IF(BetTable[Outcome]="","",BetTable[WBA1]+BetTable[WBA2]+BetTable[WBA3]-BetTable[TS])</f>
        <v>-48</v>
      </c>
      <c r="Z1434" s="164">
        <f>(((BetTable[Odds]-1)*BetTable[Stake])*(1-(BetTable[Comm %]))+BetTable[Stake])</f>
        <v>86.4</v>
      </c>
      <c r="AA1434" s="164">
        <f>(((BetTable[O2]-1)*BetTable[S2])*(1-(BetTable[C% 2]))+BetTable[S2])</f>
        <v>0</v>
      </c>
      <c r="AB1434" s="164">
        <f>(((BetTable[O3]-1)*BetTable[S3])*(1-(BetTable[C% 3]))+BetTable[S3])</f>
        <v>0</v>
      </c>
      <c r="AC1434" s="165">
        <f>IFERROR(IF(BetTable[Sport]="","",BetTable[R1]/BetTable[TS]),"")</f>
        <v>0.80000000000000016</v>
      </c>
      <c r="AD1434" s="165" t="str">
        <f>IF(BetTable[O2]="","",#REF!/BetTable[TS])</f>
        <v/>
      </c>
      <c r="AE1434" s="165" t="str">
        <f>IFERROR(IF(BetTable[Sport]="","",#REF!/BetTable[TS]),"")</f>
        <v/>
      </c>
      <c r="AF1434" s="164">
        <f>IF(BetTable[Outcome]="Win",BetTable[WBA1-Commission],IF(BetTable[Outcome]="Win Half Stake",(BetTable[Stake]/2)+BetTable[WBA1-Commission]/2,IF(BetTable[Outcome]="Lose Half Stake",BetTable[Stake]/2,IF(BetTable[Outcome]="Lose",0,IF(BetTable[Outcome]="Void",BetTable[Stake],)))))</f>
        <v>0</v>
      </c>
      <c r="AG1434" s="164">
        <f>IF(BetTable[Outcome2]="Win",BetTable[WBA2-Commission],IF(BetTable[Outcome2]="Win Half Stake",(BetTable[S2]/2)+BetTable[WBA2-Commission]/2,IF(BetTable[Outcome2]="Lose Half Stake",BetTable[S2]/2,IF(BetTable[Outcome2]="Lose",0,IF(BetTable[Outcome2]="Void",BetTable[S2],)))))</f>
        <v>0</v>
      </c>
      <c r="AH1434" s="164">
        <f>IF(BetTable[Outcome3]="Win",BetTable[WBA3-Commission],IF(BetTable[Outcome3]="Win Half Stake",(BetTable[S3]/2)+BetTable[WBA3-Commission]/2,IF(BetTable[Outcome3]="Lose Half Stake",BetTable[S3]/2,IF(BetTable[Outcome3]="Lose",0,IF(BetTable[Outcome3]="Void",BetTable[S3],)))))</f>
        <v>0</v>
      </c>
      <c r="AI1434" s="168">
        <f>IF(BetTable[Outcome]="",AI1433,BetTable[Result]+AI1433)</f>
        <v>2216.4727499999995</v>
      </c>
      <c r="AJ1434" s="160"/>
    </row>
    <row r="1435" spans="1:36" x14ac:dyDescent="0.2">
      <c r="A1435" s="159" t="s">
        <v>3324</v>
      </c>
      <c r="B1435" s="160" t="s">
        <v>200</v>
      </c>
      <c r="C1435" s="161" t="s">
        <v>1714</v>
      </c>
      <c r="D1435" s="161"/>
      <c r="E1435" s="161"/>
      <c r="F1435" s="162"/>
      <c r="G1435" s="162"/>
      <c r="H1435" s="162"/>
      <c r="I1435" s="160" t="s">
        <v>3428</v>
      </c>
      <c r="J1435" s="163">
        <v>3.3</v>
      </c>
      <c r="K1435" s="163"/>
      <c r="L1435" s="163"/>
      <c r="M1435" s="164">
        <v>28</v>
      </c>
      <c r="N1435" s="164"/>
      <c r="O1435" s="164"/>
      <c r="P1435" s="159" t="s">
        <v>494</v>
      </c>
      <c r="Q1435" s="159" t="s">
        <v>1475</v>
      </c>
      <c r="R1435" s="159" t="s">
        <v>3429</v>
      </c>
      <c r="S1435" s="165">
        <v>5.4571485118413698E-2</v>
      </c>
      <c r="T1435" s="166" t="s">
        <v>372</v>
      </c>
      <c r="U1435" s="166"/>
      <c r="V1435" s="166"/>
      <c r="W1435" s="167">
        <f>IF(BetTable[Sport]="","",BetTable[Stake]+BetTable[S2]+BetTable[S3])</f>
        <v>28</v>
      </c>
      <c r="X1435" s="164">
        <f>IF(BetTable[Odds]="","",(BetTable[WBA1-Commission])-BetTable[TS])</f>
        <v>64.399999999999991</v>
      </c>
      <c r="Y1435" s="168">
        <f>IF(BetTable[Outcome]="","",BetTable[WBA1]+BetTable[WBA2]+BetTable[WBA3]-BetTable[TS])</f>
        <v>64.399999999999991</v>
      </c>
      <c r="Z1435" s="164">
        <f>(((BetTable[Odds]-1)*BetTable[Stake])*(1-(BetTable[Comm %]))+BetTable[Stake])</f>
        <v>92.399999999999991</v>
      </c>
      <c r="AA1435" s="164">
        <f>(((BetTable[O2]-1)*BetTable[S2])*(1-(BetTable[C% 2]))+BetTable[S2])</f>
        <v>0</v>
      </c>
      <c r="AB1435" s="164">
        <f>(((BetTable[O3]-1)*BetTable[S3])*(1-(BetTable[C% 3]))+BetTable[S3])</f>
        <v>0</v>
      </c>
      <c r="AC1435" s="165">
        <f>IFERROR(IF(BetTable[Sport]="","",BetTable[R1]/BetTable[TS]),"")</f>
        <v>2.2999999999999998</v>
      </c>
      <c r="AD1435" s="165" t="str">
        <f>IF(BetTable[O2]="","",#REF!/BetTable[TS])</f>
        <v/>
      </c>
      <c r="AE1435" s="165" t="str">
        <f>IFERROR(IF(BetTable[Sport]="","",#REF!/BetTable[TS]),"")</f>
        <v/>
      </c>
      <c r="AF1435" s="164">
        <f>IF(BetTable[Outcome]="Win",BetTable[WBA1-Commission],IF(BetTable[Outcome]="Win Half Stake",(BetTable[Stake]/2)+BetTable[WBA1-Commission]/2,IF(BetTable[Outcome]="Lose Half Stake",BetTable[Stake]/2,IF(BetTable[Outcome]="Lose",0,IF(BetTable[Outcome]="Void",BetTable[Stake],)))))</f>
        <v>92.399999999999991</v>
      </c>
      <c r="AG1435" s="164">
        <f>IF(BetTable[Outcome2]="Win",BetTable[WBA2-Commission],IF(BetTable[Outcome2]="Win Half Stake",(BetTable[S2]/2)+BetTable[WBA2-Commission]/2,IF(BetTable[Outcome2]="Lose Half Stake",BetTable[S2]/2,IF(BetTable[Outcome2]="Lose",0,IF(BetTable[Outcome2]="Void",BetTable[S2],)))))</f>
        <v>0</v>
      </c>
      <c r="AH1435" s="164">
        <f>IF(BetTable[Outcome3]="Win",BetTable[WBA3-Commission],IF(BetTable[Outcome3]="Win Half Stake",(BetTable[S3]/2)+BetTable[WBA3-Commission]/2,IF(BetTable[Outcome3]="Lose Half Stake",BetTable[S3]/2,IF(BetTable[Outcome3]="Lose",0,IF(BetTable[Outcome3]="Void",BetTable[S3],)))))</f>
        <v>0</v>
      </c>
      <c r="AI1435" s="168">
        <f>IF(BetTable[Outcome]="",AI1434,BetTable[Result]+AI1434)</f>
        <v>2280.8727499999995</v>
      </c>
      <c r="AJ1435" s="160"/>
    </row>
    <row r="1436" spans="1:36" x14ac:dyDescent="0.2">
      <c r="A1436" s="159" t="s">
        <v>3324</v>
      </c>
      <c r="B1436" s="160" t="s">
        <v>200</v>
      </c>
      <c r="C1436" s="161" t="s">
        <v>1714</v>
      </c>
      <c r="D1436" s="161"/>
      <c r="E1436" s="161"/>
      <c r="F1436" s="162"/>
      <c r="G1436" s="162"/>
      <c r="H1436" s="162"/>
      <c r="I1436" s="160" t="s">
        <v>3430</v>
      </c>
      <c r="J1436" s="163">
        <v>1.69</v>
      </c>
      <c r="K1436" s="163"/>
      <c r="L1436" s="163"/>
      <c r="M1436" s="164">
        <v>55</v>
      </c>
      <c r="N1436" s="164"/>
      <c r="O1436" s="164"/>
      <c r="P1436" s="159" t="s">
        <v>1302</v>
      </c>
      <c r="Q1436" s="159" t="s">
        <v>506</v>
      </c>
      <c r="R1436" s="159" t="s">
        <v>3431</v>
      </c>
      <c r="S1436" s="165">
        <v>1.93005632447052E-2</v>
      </c>
      <c r="T1436" s="166" t="s">
        <v>383</v>
      </c>
      <c r="U1436" s="166"/>
      <c r="V1436" s="166"/>
      <c r="W1436" s="167">
        <f>IF(BetTable[Sport]="","",BetTable[Stake]+BetTable[S2]+BetTable[S3])</f>
        <v>55</v>
      </c>
      <c r="X1436" s="164">
        <f>IF(BetTable[Odds]="","",(BetTable[WBA1-Commission])-BetTable[TS])</f>
        <v>37.949999999999989</v>
      </c>
      <c r="Y1436" s="168">
        <f>IF(BetTable[Outcome]="","",BetTable[WBA1]+BetTable[WBA2]+BetTable[WBA3]-BetTable[TS])</f>
        <v>0</v>
      </c>
      <c r="Z1436" s="164">
        <f>(((BetTable[Odds]-1)*BetTable[Stake])*(1-(BetTable[Comm %]))+BetTable[Stake])</f>
        <v>92.949999999999989</v>
      </c>
      <c r="AA1436" s="164">
        <f>(((BetTable[O2]-1)*BetTable[S2])*(1-(BetTable[C% 2]))+BetTable[S2])</f>
        <v>0</v>
      </c>
      <c r="AB1436" s="164">
        <f>(((BetTable[O3]-1)*BetTable[S3])*(1-(BetTable[C% 3]))+BetTable[S3])</f>
        <v>0</v>
      </c>
      <c r="AC1436" s="165">
        <f>IFERROR(IF(BetTable[Sport]="","",BetTable[R1]/BetTable[TS]),"")</f>
        <v>0.68999999999999984</v>
      </c>
      <c r="AD1436" s="165" t="str">
        <f>IF(BetTable[O2]="","",#REF!/BetTable[TS])</f>
        <v/>
      </c>
      <c r="AE1436" s="165" t="str">
        <f>IFERROR(IF(BetTable[Sport]="","",#REF!/BetTable[TS]),"")</f>
        <v/>
      </c>
      <c r="AF1436" s="164">
        <f>IF(BetTable[Outcome]="Win",BetTable[WBA1-Commission],IF(BetTable[Outcome]="Win Half Stake",(BetTable[Stake]/2)+BetTable[WBA1-Commission]/2,IF(BetTable[Outcome]="Lose Half Stake",BetTable[Stake]/2,IF(BetTable[Outcome]="Lose",0,IF(BetTable[Outcome]="Void",BetTable[Stake],)))))</f>
        <v>55</v>
      </c>
      <c r="AG1436" s="164">
        <f>IF(BetTable[Outcome2]="Win",BetTable[WBA2-Commission],IF(BetTable[Outcome2]="Win Half Stake",(BetTable[S2]/2)+BetTable[WBA2-Commission]/2,IF(BetTable[Outcome2]="Lose Half Stake",BetTable[S2]/2,IF(BetTable[Outcome2]="Lose",0,IF(BetTable[Outcome2]="Void",BetTable[S2],)))))</f>
        <v>0</v>
      </c>
      <c r="AH1436" s="164">
        <f>IF(BetTable[Outcome3]="Win",BetTable[WBA3-Commission],IF(BetTable[Outcome3]="Win Half Stake",(BetTable[S3]/2)+BetTable[WBA3-Commission]/2,IF(BetTable[Outcome3]="Lose Half Stake",BetTable[S3]/2,IF(BetTable[Outcome3]="Lose",0,IF(BetTable[Outcome3]="Void",BetTable[S3],)))))</f>
        <v>0</v>
      </c>
      <c r="AI1436" s="168">
        <f>IF(BetTable[Outcome]="",AI1435,BetTable[Result]+AI1435)</f>
        <v>2280.8727499999995</v>
      </c>
      <c r="AJ1436" s="160"/>
    </row>
    <row r="1437" spans="1:36" x14ac:dyDescent="0.2">
      <c r="A1437" s="159" t="s">
        <v>3324</v>
      </c>
      <c r="B1437" s="160" t="s">
        <v>201</v>
      </c>
      <c r="C1437" s="161" t="s">
        <v>91</v>
      </c>
      <c r="D1437" s="161"/>
      <c r="E1437" s="161"/>
      <c r="F1437" s="162"/>
      <c r="G1437" s="162"/>
      <c r="H1437" s="162"/>
      <c r="I1437" s="160" t="s">
        <v>3432</v>
      </c>
      <c r="J1437" s="163">
        <v>1.9</v>
      </c>
      <c r="K1437" s="163"/>
      <c r="L1437" s="163"/>
      <c r="M1437" s="164">
        <v>42</v>
      </c>
      <c r="N1437" s="164"/>
      <c r="O1437" s="164"/>
      <c r="P1437" s="159" t="s">
        <v>3433</v>
      </c>
      <c r="Q1437" s="159" t="s">
        <v>3434</v>
      </c>
      <c r="R1437" s="159" t="s">
        <v>3435</v>
      </c>
      <c r="S1437" s="165">
        <v>1.9162557459701E-2</v>
      </c>
      <c r="T1437" s="166" t="s">
        <v>372</v>
      </c>
      <c r="U1437" s="166"/>
      <c r="V1437" s="166"/>
      <c r="W1437" s="167">
        <f>IF(BetTable[Sport]="","",BetTable[Stake]+BetTable[S2]+BetTable[S3])</f>
        <v>42</v>
      </c>
      <c r="X1437" s="164">
        <f>IF(BetTable[Odds]="","",(BetTable[WBA1-Commission])-BetTable[TS])</f>
        <v>37.799999999999997</v>
      </c>
      <c r="Y1437" s="168">
        <f>IF(BetTable[Outcome]="","",BetTable[WBA1]+BetTable[WBA2]+BetTable[WBA3]-BetTable[TS])</f>
        <v>37.799999999999997</v>
      </c>
      <c r="Z1437" s="164">
        <f>(((BetTable[Odds]-1)*BetTable[Stake])*(1-(BetTable[Comm %]))+BetTable[Stake])</f>
        <v>79.8</v>
      </c>
      <c r="AA1437" s="164">
        <f>(((BetTable[O2]-1)*BetTable[S2])*(1-(BetTable[C% 2]))+BetTable[S2])</f>
        <v>0</v>
      </c>
      <c r="AB1437" s="164">
        <f>(((BetTable[O3]-1)*BetTable[S3])*(1-(BetTable[C% 3]))+BetTable[S3])</f>
        <v>0</v>
      </c>
      <c r="AC1437" s="165">
        <f>IFERROR(IF(BetTable[Sport]="","",BetTable[R1]/BetTable[TS]),"")</f>
        <v>0.89999999999999991</v>
      </c>
      <c r="AD1437" s="165" t="str">
        <f>IF(BetTable[O2]="","",#REF!/BetTable[TS])</f>
        <v/>
      </c>
      <c r="AE1437" s="165" t="str">
        <f>IFERROR(IF(BetTable[Sport]="","",#REF!/BetTable[TS]),"")</f>
        <v/>
      </c>
      <c r="AF1437" s="164">
        <f>IF(BetTable[Outcome]="Win",BetTable[WBA1-Commission],IF(BetTable[Outcome]="Win Half Stake",(BetTable[Stake]/2)+BetTable[WBA1-Commission]/2,IF(BetTable[Outcome]="Lose Half Stake",BetTable[Stake]/2,IF(BetTable[Outcome]="Lose",0,IF(BetTable[Outcome]="Void",BetTable[Stake],)))))</f>
        <v>79.8</v>
      </c>
      <c r="AG1437" s="164">
        <f>IF(BetTable[Outcome2]="Win",BetTable[WBA2-Commission],IF(BetTable[Outcome2]="Win Half Stake",(BetTable[S2]/2)+BetTable[WBA2-Commission]/2,IF(BetTable[Outcome2]="Lose Half Stake",BetTable[S2]/2,IF(BetTable[Outcome2]="Lose",0,IF(BetTable[Outcome2]="Void",BetTable[S2],)))))</f>
        <v>0</v>
      </c>
      <c r="AH1437" s="164">
        <f>IF(BetTable[Outcome3]="Win",BetTable[WBA3-Commission],IF(BetTable[Outcome3]="Win Half Stake",(BetTable[S3]/2)+BetTable[WBA3-Commission]/2,IF(BetTable[Outcome3]="Lose Half Stake",BetTable[S3]/2,IF(BetTable[Outcome3]="Lose",0,IF(BetTable[Outcome3]="Void",BetTable[S3],)))))</f>
        <v>0</v>
      </c>
      <c r="AI1437" s="168">
        <f>IF(BetTable[Outcome]="",AI1436,BetTable[Result]+AI1436)</f>
        <v>2318.6727499999997</v>
      </c>
      <c r="AJ1437" s="160"/>
    </row>
    <row r="1438" spans="1:36" x14ac:dyDescent="0.2">
      <c r="A1438" s="159" t="s">
        <v>3324</v>
      </c>
      <c r="B1438" s="160" t="s">
        <v>200</v>
      </c>
      <c r="C1438" s="161" t="s">
        <v>1714</v>
      </c>
      <c r="D1438" s="161"/>
      <c r="E1438" s="161"/>
      <c r="F1438" s="162"/>
      <c r="G1438" s="162"/>
      <c r="H1438" s="162"/>
      <c r="I1438" s="160" t="s">
        <v>3436</v>
      </c>
      <c r="J1438" s="163">
        <v>1.97</v>
      </c>
      <c r="K1438" s="163"/>
      <c r="L1438" s="163"/>
      <c r="M1438" s="164">
        <v>36</v>
      </c>
      <c r="N1438" s="164"/>
      <c r="O1438" s="164"/>
      <c r="P1438" s="159" t="s">
        <v>864</v>
      </c>
      <c r="Q1438" s="159" t="s">
        <v>540</v>
      </c>
      <c r="R1438" s="159" t="s">
        <v>3437</v>
      </c>
      <c r="S1438" s="165">
        <v>1.8070717383908801E-2</v>
      </c>
      <c r="T1438" s="166" t="s">
        <v>549</v>
      </c>
      <c r="U1438" s="166"/>
      <c r="V1438" s="166"/>
      <c r="W1438" s="167">
        <f>IF(BetTable[Sport]="","",BetTable[Stake]+BetTable[S2]+BetTable[S3])</f>
        <v>36</v>
      </c>
      <c r="X1438" s="164">
        <f>IF(BetTable[Odds]="","",(BetTable[WBA1-Commission])-BetTable[TS])</f>
        <v>34.92</v>
      </c>
      <c r="Y1438" s="168">
        <f>IF(BetTable[Outcome]="","",BetTable[WBA1]+BetTable[WBA2]+BetTable[WBA3]-BetTable[TS])</f>
        <v>-18</v>
      </c>
      <c r="Z1438" s="164">
        <f>(((BetTable[Odds]-1)*BetTable[Stake])*(1-(BetTable[Comm %]))+BetTable[Stake])</f>
        <v>70.92</v>
      </c>
      <c r="AA1438" s="164">
        <f>(((BetTable[O2]-1)*BetTable[S2])*(1-(BetTable[C% 2]))+BetTable[S2])</f>
        <v>0</v>
      </c>
      <c r="AB1438" s="164">
        <f>(((BetTable[O3]-1)*BetTable[S3])*(1-(BetTable[C% 3]))+BetTable[S3])</f>
        <v>0</v>
      </c>
      <c r="AC1438" s="165">
        <f>IFERROR(IF(BetTable[Sport]="","",BetTable[R1]/BetTable[TS]),"")</f>
        <v>0.97000000000000008</v>
      </c>
      <c r="AD1438" s="165" t="str">
        <f>IF(BetTable[O2]="","",#REF!/BetTable[TS])</f>
        <v/>
      </c>
      <c r="AE1438" s="165" t="str">
        <f>IFERROR(IF(BetTable[Sport]="","",#REF!/BetTable[TS]),"")</f>
        <v/>
      </c>
      <c r="AF1438" s="164">
        <f>IF(BetTable[Outcome]="Win",BetTable[WBA1-Commission],IF(BetTable[Outcome]="Win Half Stake",(BetTable[Stake]/2)+BetTable[WBA1-Commission]/2,IF(BetTable[Outcome]="Lose Half Stake",BetTable[Stake]/2,IF(BetTable[Outcome]="Lose",0,IF(BetTable[Outcome]="Void",BetTable[Stake],)))))</f>
        <v>18</v>
      </c>
      <c r="AG1438" s="164">
        <f>IF(BetTable[Outcome2]="Win",BetTable[WBA2-Commission],IF(BetTable[Outcome2]="Win Half Stake",(BetTable[S2]/2)+BetTable[WBA2-Commission]/2,IF(BetTable[Outcome2]="Lose Half Stake",BetTable[S2]/2,IF(BetTable[Outcome2]="Lose",0,IF(BetTable[Outcome2]="Void",BetTable[S2],)))))</f>
        <v>0</v>
      </c>
      <c r="AH1438" s="164">
        <f>IF(BetTable[Outcome3]="Win",BetTable[WBA3-Commission],IF(BetTable[Outcome3]="Win Half Stake",(BetTable[S3]/2)+BetTable[WBA3-Commission]/2,IF(BetTable[Outcome3]="Lose Half Stake",BetTable[S3]/2,IF(BetTable[Outcome3]="Lose",0,IF(BetTable[Outcome3]="Void",BetTable[S3],)))))</f>
        <v>0</v>
      </c>
      <c r="AI1438" s="168">
        <f>IF(BetTable[Outcome]="",AI1437,BetTable[Result]+AI1437)</f>
        <v>2300.6727499999997</v>
      </c>
      <c r="AJ1438" s="160"/>
    </row>
    <row r="1439" spans="1:36" x14ac:dyDescent="0.2">
      <c r="A1439" s="159" t="s">
        <v>3324</v>
      </c>
      <c r="B1439" s="160" t="s">
        <v>200</v>
      </c>
      <c r="C1439" s="161" t="s">
        <v>1714</v>
      </c>
      <c r="D1439" s="161"/>
      <c r="E1439" s="161"/>
      <c r="F1439" s="162"/>
      <c r="G1439" s="162"/>
      <c r="H1439" s="162"/>
      <c r="I1439" s="160" t="s">
        <v>3438</v>
      </c>
      <c r="J1439" s="163">
        <v>1.82</v>
      </c>
      <c r="K1439" s="163"/>
      <c r="L1439" s="163"/>
      <c r="M1439" s="164">
        <v>41</v>
      </c>
      <c r="N1439" s="164"/>
      <c r="O1439" s="164"/>
      <c r="P1439" s="159" t="s">
        <v>498</v>
      </c>
      <c r="Q1439" s="159" t="s">
        <v>779</v>
      </c>
      <c r="R1439" s="159" t="s">
        <v>3439</v>
      </c>
      <c r="S1439" s="165">
        <v>1.7241065745250899E-2</v>
      </c>
      <c r="T1439" s="166" t="s">
        <v>382</v>
      </c>
      <c r="U1439" s="166"/>
      <c r="V1439" s="166"/>
      <c r="W1439" s="167">
        <f>IF(BetTable[Sport]="","",BetTable[Stake]+BetTable[S2]+BetTable[S3])</f>
        <v>41</v>
      </c>
      <c r="X1439" s="164">
        <f>IF(BetTable[Odds]="","",(BetTable[WBA1-Commission])-BetTable[TS])</f>
        <v>33.620000000000005</v>
      </c>
      <c r="Y1439" s="168">
        <f>IF(BetTable[Outcome]="","",BetTable[WBA1]+BetTable[WBA2]+BetTable[WBA3]-BetTable[TS])</f>
        <v>-41</v>
      </c>
      <c r="Z1439" s="164">
        <f>(((BetTable[Odds]-1)*BetTable[Stake])*(1-(BetTable[Comm %]))+BetTable[Stake])</f>
        <v>74.62</v>
      </c>
      <c r="AA1439" s="164">
        <f>(((BetTable[O2]-1)*BetTable[S2])*(1-(BetTable[C% 2]))+BetTable[S2])</f>
        <v>0</v>
      </c>
      <c r="AB1439" s="164">
        <f>(((BetTable[O3]-1)*BetTable[S3])*(1-(BetTable[C% 3]))+BetTable[S3])</f>
        <v>0</v>
      </c>
      <c r="AC1439" s="165">
        <f>IFERROR(IF(BetTable[Sport]="","",BetTable[R1]/BetTable[TS]),"")</f>
        <v>0.82000000000000006</v>
      </c>
      <c r="AD1439" s="165" t="str">
        <f>IF(BetTable[O2]="","",#REF!/BetTable[TS])</f>
        <v/>
      </c>
      <c r="AE1439" s="165" t="str">
        <f>IFERROR(IF(BetTable[Sport]="","",#REF!/BetTable[TS]),"")</f>
        <v/>
      </c>
      <c r="AF1439" s="164">
        <f>IF(BetTable[Outcome]="Win",BetTable[WBA1-Commission],IF(BetTable[Outcome]="Win Half Stake",(BetTable[Stake]/2)+BetTable[WBA1-Commission]/2,IF(BetTable[Outcome]="Lose Half Stake",BetTable[Stake]/2,IF(BetTable[Outcome]="Lose",0,IF(BetTable[Outcome]="Void",BetTable[Stake],)))))</f>
        <v>0</v>
      </c>
      <c r="AG1439" s="164">
        <f>IF(BetTable[Outcome2]="Win",BetTable[WBA2-Commission],IF(BetTable[Outcome2]="Win Half Stake",(BetTable[S2]/2)+BetTable[WBA2-Commission]/2,IF(BetTable[Outcome2]="Lose Half Stake",BetTable[S2]/2,IF(BetTable[Outcome2]="Lose",0,IF(BetTable[Outcome2]="Void",BetTable[S2],)))))</f>
        <v>0</v>
      </c>
      <c r="AH1439" s="164">
        <f>IF(BetTable[Outcome3]="Win",BetTable[WBA3-Commission],IF(BetTable[Outcome3]="Win Half Stake",(BetTable[S3]/2)+BetTable[WBA3-Commission]/2,IF(BetTable[Outcome3]="Lose Half Stake",BetTable[S3]/2,IF(BetTable[Outcome3]="Lose",0,IF(BetTable[Outcome3]="Void",BetTable[S3],)))))</f>
        <v>0</v>
      </c>
      <c r="AI1439" s="168">
        <f>IF(BetTable[Outcome]="",AI1438,BetTable[Result]+AI1438)</f>
        <v>2259.6727499999997</v>
      </c>
      <c r="AJ1439" s="160"/>
    </row>
    <row r="1440" spans="1:36" x14ac:dyDescent="0.2">
      <c r="A1440" s="159" t="s">
        <v>3324</v>
      </c>
      <c r="B1440" s="160" t="s">
        <v>200</v>
      </c>
      <c r="C1440" s="161" t="s">
        <v>1714</v>
      </c>
      <c r="D1440" s="161"/>
      <c r="E1440" s="161"/>
      <c r="F1440" s="162"/>
      <c r="G1440" s="162"/>
      <c r="H1440" s="162"/>
      <c r="I1440" s="160" t="s">
        <v>3440</v>
      </c>
      <c r="J1440" s="163">
        <v>1.85</v>
      </c>
      <c r="K1440" s="163"/>
      <c r="L1440" s="163"/>
      <c r="M1440" s="164">
        <v>65</v>
      </c>
      <c r="N1440" s="164"/>
      <c r="O1440" s="164"/>
      <c r="P1440" s="159" t="s">
        <v>688</v>
      </c>
      <c r="Q1440" s="159" t="s">
        <v>677</v>
      </c>
      <c r="R1440" s="159" t="s">
        <v>3441</v>
      </c>
      <c r="S1440" s="165">
        <v>3.0426880744979901E-2</v>
      </c>
      <c r="T1440" s="166" t="s">
        <v>372</v>
      </c>
      <c r="U1440" s="166"/>
      <c r="V1440" s="166"/>
      <c r="W1440" s="167">
        <f>IF(BetTable[Sport]="","",BetTable[Stake]+BetTable[S2]+BetTable[S3])</f>
        <v>65</v>
      </c>
      <c r="X1440" s="164">
        <f>IF(BetTable[Odds]="","",(BetTable[WBA1-Commission])-BetTable[TS])</f>
        <v>55.25</v>
      </c>
      <c r="Y1440" s="168">
        <f>IF(BetTable[Outcome]="","",BetTable[WBA1]+BetTable[WBA2]+BetTable[WBA3]-BetTable[TS])</f>
        <v>55.25</v>
      </c>
      <c r="Z1440" s="164">
        <f>(((BetTable[Odds]-1)*BetTable[Stake])*(1-(BetTable[Comm %]))+BetTable[Stake])</f>
        <v>120.25</v>
      </c>
      <c r="AA1440" s="164">
        <f>(((BetTable[O2]-1)*BetTable[S2])*(1-(BetTable[C% 2]))+BetTable[S2])</f>
        <v>0</v>
      </c>
      <c r="AB1440" s="164">
        <f>(((BetTable[O3]-1)*BetTable[S3])*(1-(BetTable[C% 3]))+BetTable[S3])</f>
        <v>0</v>
      </c>
      <c r="AC1440" s="165">
        <f>IFERROR(IF(BetTable[Sport]="","",BetTable[R1]/BetTable[TS]),"")</f>
        <v>0.85</v>
      </c>
      <c r="AD1440" s="165" t="str">
        <f>IF(BetTable[O2]="","",#REF!/BetTable[TS])</f>
        <v/>
      </c>
      <c r="AE1440" s="165" t="str">
        <f>IFERROR(IF(BetTable[Sport]="","",#REF!/BetTable[TS]),"")</f>
        <v/>
      </c>
      <c r="AF1440" s="164">
        <f>IF(BetTable[Outcome]="Win",BetTable[WBA1-Commission],IF(BetTable[Outcome]="Win Half Stake",(BetTable[Stake]/2)+BetTable[WBA1-Commission]/2,IF(BetTable[Outcome]="Lose Half Stake",BetTable[Stake]/2,IF(BetTable[Outcome]="Lose",0,IF(BetTable[Outcome]="Void",BetTable[Stake],)))))</f>
        <v>120.25</v>
      </c>
      <c r="AG1440" s="164">
        <f>IF(BetTable[Outcome2]="Win",BetTable[WBA2-Commission],IF(BetTable[Outcome2]="Win Half Stake",(BetTable[S2]/2)+BetTable[WBA2-Commission]/2,IF(BetTable[Outcome2]="Lose Half Stake",BetTable[S2]/2,IF(BetTable[Outcome2]="Lose",0,IF(BetTable[Outcome2]="Void",BetTable[S2],)))))</f>
        <v>0</v>
      </c>
      <c r="AH1440" s="164">
        <f>IF(BetTable[Outcome3]="Win",BetTable[WBA3-Commission],IF(BetTable[Outcome3]="Win Half Stake",(BetTable[S3]/2)+BetTable[WBA3-Commission]/2,IF(BetTable[Outcome3]="Lose Half Stake",BetTable[S3]/2,IF(BetTable[Outcome3]="Lose",0,IF(BetTable[Outcome3]="Void",BetTable[S3],)))))</f>
        <v>0</v>
      </c>
      <c r="AI1440" s="168">
        <f>IF(BetTable[Outcome]="",AI1439,BetTable[Result]+AI1439)</f>
        <v>2314.9227499999997</v>
      </c>
      <c r="AJ1440" s="160"/>
    </row>
    <row r="1441" spans="1:36" x14ac:dyDescent="0.2">
      <c r="A1441" s="159" t="s">
        <v>3324</v>
      </c>
      <c r="B1441" s="160" t="s">
        <v>200</v>
      </c>
      <c r="C1441" s="161" t="s">
        <v>1714</v>
      </c>
      <c r="D1441" s="161"/>
      <c r="E1441" s="161"/>
      <c r="F1441" s="162"/>
      <c r="G1441" s="162"/>
      <c r="H1441" s="162"/>
      <c r="I1441" s="160" t="s">
        <v>3442</v>
      </c>
      <c r="J1441" s="163">
        <v>3.1</v>
      </c>
      <c r="K1441" s="163"/>
      <c r="L1441" s="163"/>
      <c r="M1441" s="164">
        <v>37</v>
      </c>
      <c r="N1441" s="164"/>
      <c r="O1441" s="164"/>
      <c r="P1441" s="159" t="s">
        <v>494</v>
      </c>
      <c r="Q1441" s="159" t="s">
        <v>677</v>
      </c>
      <c r="R1441" s="159" t="s">
        <v>3443</v>
      </c>
      <c r="S1441" s="165">
        <v>4.41285372351937E-2</v>
      </c>
      <c r="T1441" s="166" t="s">
        <v>372</v>
      </c>
      <c r="U1441" s="166"/>
      <c r="V1441" s="166"/>
      <c r="W1441" s="167">
        <f>IF(BetTable[Sport]="","",BetTable[Stake]+BetTable[S2]+BetTable[S3])</f>
        <v>37</v>
      </c>
      <c r="X1441" s="164">
        <f>IF(BetTable[Odds]="","",(BetTable[WBA1-Commission])-BetTable[TS])</f>
        <v>77.7</v>
      </c>
      <c r="Y1441" s="168">
        <f>IF(BetTable[Outcome]="","",BetTable[WBA1]+BetTable[WBA2]+BetTable[WBA3]-BetTable[TS])</f>
        <v>77.7</v>
      </c>
      <c r="Z1441" s="164">
        <f>(((BetTable[Odds]-1)*BetTable[Stake])*(1-(BetTable[Comm %]))+BetTable[Stake])</f>
        <v>114.7</v>
      </c>
      <c r="AA1441" s="164">
        <f>(((BetTable[O2]-1)*BetTable[S2])*(1-(BetTable[C% 2]))+BetTable[S2])</f>
        <v>0</v>
      </c>
      <c r="AB1441" s="164">
        <f>(((BetTable[O3]-1)*BetTable[S3])*(1-(BetTable[C% 3]))+BetTable[S3])</f>
        <v>0</v>
      </c>
      <c r="AC1441" s="165">
        <f>IFERROR(IF(BetTable[Sport]="","",BetTable[R1]/BetTable[TS]),"")</f>
        <v>2.1</v>
      </c>
      <c r="AD1441" s="165" t="str">
        <f>IF(BetTable[O2]="","",#REF!/BetTable[TS])</f>
        <v/>
      </c>
      <c r="AE1441" s="165" t="str">
        <f>IFERROR(IF(BetTable[Sport]="","",#REF!/BetTable[TS]),"")</f>
        <v/>
      </c>
      <c r="AF1441" s="164">
        <f>IF(BetTable[Outcome]="Win",BetTable[WBA1-Commission],IF(BetTable[Outcome]="Win Half Stake",(BetTable[Stake]/2)+BetTable[WBA1-Commission]/2,IF(BetTable[Outcome]="Lose Half Stake",BetTable[Stake]/2,IF(BetTable[Outcome]="Lose",0,IF(BetTable[Outcome]="Void",BetTable[Stake],)))))</f>
        <v>114.7</v>
      </c>
      <c r="AG1441" s="164">
        <f>IF(BetTable[Outcome2]="Win",BetTable[WBA2-Commission],IF(BetTable[Outcome2]="Win Half Stake",(BetTable[S2]/2)+BetTable[WBA2-Commission]/2,IF(BetTable[Outcome2]="Lose Half Stake",BetTable[S2]/2,IF(BetTable[Outcome2]="Lose",0,IF(BetTable[Outcome2]="Void",BetTable[S2],)))))</f>
        <v>0</v>
      </c>
      <c r="AH1441" s="164">
        <f>IF(BetTable[Outcome3]="Win",BetTable[WBA3-Commission],IF(BetTable[Outcome3]="Win Half Stake",(BetTable[S3]/2)+BetTable[WBA3-Commission]/2,IF(BetTable[Outcome3]="Lose Half Stake",BetTable[S3]/2,IF(BetTable[Outcome3]="Lose",0,IF(BetTable[Outcome3]="Void",BetTable[S3],)))))</f>
        <v>0</v>
      </c>
      <c r="AI1441" s="168">
        <f>IF(BetTable[Outcome]="",AI1440,BetTable[Result]+AI1440)</f>
        <v>2392.6227499999995</v>
      </c>
      <c r="AJ1441" s="160"/>
    </row>
    <row r="1442" spans="1:36" x14ac:dyDescent="0.2">
      <c r="A1442" s="159" t="s">
        <v>3324</v>
      </c>
      <c r="B1442" s="160" t="s">
        <v>9</v>
      </c>
      <c r="C1442" s="161" t="s">
        <v>91</v>
      </c>
      <c r="D1442" s="161"/>
      <c r="E1442" s="161"/>
      <c r="F1442" s="162"/>
      <c r="G1442" s="162"/>
      <c r="H1442" s="162"/>
      <c r="I1442" s="160" t="s">
        <v>3335</v>
      </c>
      <c r="J1442" s="163">
        <v>2.0099999999999998</v>
      </c>
      <c r="K1442" s="163"/>
      <c r="L1442" s="163"/>
      <c r="M1442" s="164">
        <v>42</v>
      </c>
      <c r="N1442" s="164"/>
      <c r="O1442" s="164"/>
      <c r="P1442" s="159" t="s">
        <v>1418</v>
      </c>
      <c r="Q1442" s="159" t="s">
        <v>485</v>
      </c>
      <c r="R1442" s="159" t="s">
        <v>3444</v>
      </c>
      <c r="S1442" s="165">
        <v>3.21102604934859E-2</v>
      </c>
      <c r="T1442" s="166" t="s">
        <v>383</v>
      </c>
      <c r="U1442" s="166"/>
      <c r="V1442" s="166"/>
      <c r="W1442" s="167">
        <f>IF(BetTable[Sport]="","",BetTable[Stake]+BetTable[S2]+BetTable[S3])</f>
        <v>42</v>
      </c>
      <c r="X1442" s="164">
        <f>IF(BetTable[Odds]="","",(BetTable[WBA1-Commission])-BetTable[TS])</f>
        <v>42.419999999999987</v>
      </c>
      <c r="Y1442" s="168">
        <f>IF(BetTable[Outcome]="","",BetTable[WBA1]+BetTable[WBA2]+BetTable[WBA3]-BetTable[TS])</f>
        <v>0</v>
      </c>
      <c r="Z1442" s="164">
        <f>(((BetTable[Odds]-1)*BetTable[Stake])*(1-(BetTable[Comm %]))+BetTable[Stake])</f>
        <v>84.419999999999987</v>
      </c>
      <c r="AA1442" s="164">
        <f>(((BetTable[O2]-1)*BetTable[S2])*(1-(BetTable[C% 2]))+BetTable[S2])</f>
        <v>0</v>
      </c>
      <c r="AB1442" s="164">
        <f>(((BetTable[O3]-1)*BetTable[S3])*(1-(BetTable[C% 3]))+BetTable[S3])</f>
        <v>0</v>
      </c>
      <c r="AC1442" s="165">
        <f>IFERROR(IF(BetTable[Sport]="","",BetTable[R1]/BetTable[TS]),"")</f>
        <v>1.0099999999999998</v>
      </c>
      <c r="AD1442" s="165" t="str">
        <f>IF(BetTable[O2]="","",#REF!/BetTable[TS])</f>
        <v/>
      </c>
      <c r="AE1442" s="165" t="str">
        <f>IFERROR(IF(BetTable[Sport]="","",#REF!/BetTable[TS]),"")</f>
        <v/>
      </c>
      <c r="AF1442" s="164">
        <f>IF(BetTable[Outcome]="Win",BetTable[WBA1-Commission],IF(BetTable[Outcome]="Win Half Stake",(BetTable[Stake]/2)+BetTable[WBA1-Commission]/2,IF(BetTable[Outcome]="Lose Half Stake",BetTable[Stake]/2,IF(BetTable[Outcome]="Lose",0,IF(BetTable[Outcome]="Void",BetTable[Stake],)))))</f>
        <v>42</v>
      </c>
      <c r="AG1442" s="164">
        <f>IF(BetTable[Outcome2]="Win",BetTable[WBA2-Commission],IF(BetTable[Outcome2]="Win Half Stake",(BetTable[S2]/2)+BetTable[WBA2-Commission]/2,IF(BetTable[Outcome2]="Lose Half Stake",BetTable[S2]/2,IF(BetTable[Outcome2]="Lose",0,IF(BetTable[Outcome2]="Void",BetTable[S2],)))))</f>
        <v>0</v>
      </c>
      <c r="AH1442" s="164">
        <f>IF(BetTable[Outcome3]="Win",BetTable[WBA3-Commission],IF(BetTable[Outcome3]="Win Half Stake",(BetTable[S3]/2)+BetTable[WBA3-Commission]/2,IF(BetTable[Outcome3]="Lose Half Stake",BetTable[S3]/2,IF(BetTable[Outcome3]="Lose",0,IF(BetTable[Outcome3]="Void",BetTable[S3],)))))</f>
        <v>0</v>
      </c>
      <c r="AI1442" s="168">
        <f>IF(BetTable[Outcome]="",AI1441,BetTable[Result]+AI1441)</f>
        <v>2392.6227499999995</v>
      </c>
      <c r="AJ1442" s="160"/>
    </row>
    <row r="1443" spans="1:36" x14ac:dyDescent="0.2">
      <c r="A1443" s="159" t="s">
        <v>3324</v>
      </c>
      <c r="B1443" s="160" t="s">
        <v>200</v>
      </c>
      <c r="C1443" s="161" t="s">
        <v>1714</v>
      </c>
      <c r="D1443" s="161"/>
      <c r="E1443" s="161"/>
      <c r="F1443" s="162"/>
      <c r="G1443" s="162"/>
      <c r="H1443" s="162"/>
      <c r="I1443" s="160" t="s">
        <v>3445</v>
      </c>
      <c r="J1443" s="163">
        <v>2.19</v>
      </c>
      <c r="K1443" s="163"/>
      <c r="L1443" s="163"/>
      <c r="M1443" s="164">
        <v>33</v>
      </c>
      <c r="N1443" s="164"/>
      <c r="O1443" s="164"/>
      <c r="P1443" s="159" t="s">
        <v>357</v>
      </c>
      <c r="Q1443" s="159" t="s">
        <v>3446</v>
      </c>
      <c r="R1443" s="159" t="s">
        <v>3447</v>
      </c>
      <c r="S1443" s="165">
        <v>2.00175203075292E-2</v>
      </c>
      <c r="T1443" s="166" t="s">
        <v>382</v>
      </c>
      <c r="U1443" s="166"/>
      <c r="V1443" s="166"/>
      <c r="W1443" s="167">
        <f>IF(BetTable[Sport]="","",BetTable[Stake]+BetTable[S2]+BetTable[S3])</f>
        <v>33</v>
      </c>
      <c r="X1443" s="164">
        <f>IF(BetTable[Odds]="","",(BetTable[WBA1-Commission])-BetTable[TS])</f>
        <v>39.269999999999996</v>
      </c>
      <c r="Y1443" s="168">
        <f>IF(BetTable[Outcome]="","",BetTable[WBA1]+BetTable[WBA2]+BetTable[WBA3]-BetTable[TS])</f>
        <v>-33</v>
      </c>
      <c r="Z1443" s="164">
        <f>(((BetTable[Odds]-1)*BetTable[Stake])*(1-(BetTable[Comm %]))+BetTable[Stake])</f>
        <v>72.27</v>
      </c>
      <c r="AA1443" s="164">
        <f>(((BetTable[O2]-1)*BetTable[S2])*(1-(BetTable[C% 2]))+BetTable[S2])</f>
        <v>0</v>
      </c>
      <c r="AB1443" s="164">
        <f>(((BetTable[O3]-1)*BetTable[S3])*(1-(BetTable[C% 3]))+BetTable[S3])</f>
        <v>0</v>
      </c>
      <c r="AC1443" s="165">
        <f>IFERROR(IF(BetTable[Sport]="","",BetTable[R1]/BetTable[TS]),"")</f>
        <v>1.19</v>
      </c>
      <c r="AD1443" s="165" t="str">
        <f>IF(BetTable[O2]="","",#REF!/BetTable[TS])</f>
        <v/>
      </c>
      <c r="AE1443" s="165" t="str">
        <f>IFERROR(IF(BetTable[Sport]="","",#REF!/BetTable[TS]),"")</f>
        <v/>
      </c>
      <c r="AF1443" s="164">
        <f>IF(BetTable[Outcome]="Win",BetTable[WBA1-Commission],IF(BetTable[Outcome]="Win Half Stake",(BetTable[Stake]/2)+BetTable[WBA1-Commission]/2,IF(BetTable[Outcome]="Lose Half Stake",BetTable[Stake]/2,IF(BetTable[Outcome]="Lose",0,IF(BetTable[Outcome]="Void",BetTable[Stake],)))))</f>
        <v>0</v>
      </c>
      <c r="AG1443" s="164">
        <f>IF(BetTable[Outcome2]="Win",BetTable[WBA2-Commission],IF(BetTable[Outcome2]="Win Half Stake",(BetTable[S2]/2)+BetTable[WBA2-Commission]/2,IF(BetTable[Outcome2]="Lose Half Stake",BetTable[S2]/2,IF(BetTable[Outcome2]="Lose",0,IF(BetTable[Outcome2]="Void",BetTable[S2],)))))</f>
        <v>0</v>
      </c>
      <c r="AH1443" s="164">
        <f>IF(BetTable[Outcome3]="Win",BetTable[WBA3-Commission],IF(BetTable[Outcome3]="Win Half Stake",(BetTable[S3]/2)+BetTable[WBA3-Commission]/2,IF(BetTable[Outcome3]="Lose Half Stake",BetTable[S3]/2,IF(BetTable[Outcome3]="Lose",0,IF(BetTable[Outcome3]="Void",BetTable[S3],)))))</f>
        <v>0</v>
      </c>
      <c r="AI1443" s="168">
        <f>IF(BetTable[Outcome]="",AI1442,BetTable[Result]+AI1442)</f>
        <v>2359.6227499999995</v>
      </c>
      <c r="AJ1443" s="160"/>
    </row>
    <row r="1444" spans="1:36" x14ac:dyDescent="0.2">
      <c r="A1444" s="159" t="s">
        <v>3324</v>
      </c>
      <c r="B1444" s="160" t="s">
        <v>7</v>
      </c>
      <c r="C1444" s="161" t="s">
        <v>1714</v>
      </c>
      <c r="D1444" s="161"/>
      <c r="E1444" s="161"/>
      <c r="F1444" s="162"/>
      <c r="G1444" s="162"/>
      <c r="H1444" s="162"/>
      <c r="I1444" s="160" t="s">
        <v>3448</v>
      </c>
      <c r="J1444" s="163">
        <v>2.2000000000000002</v>
      </c>
      <c r="K1444" s="163"/>
      <c r="L1444" s="163"/>
      <c r="M1444" s="164">
        <v>29</v>
      </c>
      <c r="N1444" s="164"/>
      <c r="O1444" s="164"/>
      <c r="P1444" s="159" t="s">
        <v>428</v>
      </c>
      <c r="Q1444" s="159" t="s">
        <v>503</v>
      </c>
      <c r="R1444" s="159" t="s">
        <v>3449</v>
      </c>
      <c r="S1444" s="165">
        <v>2.1548306694355E-2</v>
      </c>
      <c r="T1444" s="166" t="s">
        <v>372</v>
      </c>
      <c r="U1444" s="166"/>
      <c r="V1444" s="166"/>
      <c r="W1444" s="167">
        <f>IF(BetTable[Sport]="","",BetTable[Stake]+BetTable[S2]+BetTable[S3])</f>
        <v>29</v>
      </c>
      <c r="X1444" s="164">
        <f>IF(BetTable[Odds]="","",(BetTable[WBA1-Commission])-BetTable[TS])</f>
        <v>34.800000000000004</v>
      </c>
      <c r="Y1444" s="168">
        <f>IF(BetTable[Outcome]="","",BetTable[WBA1]+BetTable[WBA2]+BetTable[WBA3]-BetTable[TS])</f>
        <v>34.800000000000004</v>
      </c>
      <c r="Z1444" s="164">
        <f>(((BetTable[Odds]-1)*BetTable[Stake])*(1-(BetTable[Comm %]))+BetTable[Stake])</f>
        <v>63.800000000000004</v>
      </c>
      <c r="AA1444" s="164">
        <f>(((BetTable[O2]-1)*BetTable[S2])*(1-(BetTable[C% 2]))+BetTable[S2])</f>
        <v>0</v>
      </c>
      <c r="AB1444" s="164">
        <f>(((BetTable[O3]-1)*BetTable[S3])*(1-(BetTable[C% 3]))+BetTable[S3])</f>
        <v>0</v>
      </c>
      <c r="AC1444" s="165">
        <f>IFERROR(IF(BetTable[Sport]="","",BetTable[R1]/BetTable[TS]),"")</f>
        <v>1.2000000000000002</v>
      </c>
      <c r="AD1444" s="165" t="str">
        <f>IF(BetTable[O2]="","",#REF!/BetTable[TS])</f>
        <v/>
      </c>
      <c r="AE1444" s="165" t="str">
        <f>IFERROR(IF(BetTable[Sport]="","",#REF!/BetTable[TS]),"")</f>
        <v/>
      </c>
      <c r="AF1444" s="164">
        <f>IF(BetTable[Outcome]="Win",BetTable[WBA1-Commission],IF(BetTable[Outcome]="Win Half Stake",(BetTable[Stake]/2)+BetTable[WBA1-Commission]/2,IF(BetTable[Outcome]="Lose Half Stake",BetTable[Stake]/2,IF(BetTable[Outcome]="Lose",0,IF(BetTable[Outcome]="Void",BetTable[Stake],)))))</f>
        <v>63.800000000000004</v>
      </c>
      <c r="AG1444" s="164">
        <f>IF(BetTable[Outcome2]="Win",BetTable[WBA2-Commission],IF(BetTable[Outcome2]="Win Half Stake",(BetTable[S2]/2)+BetTable[WBA2-Commission]/2,IF(BetTable[Outcome2]="Lose Half Stake",BetTable[S2]/2,IF(BetTable[Outcome2]="Lose",0,IF(BetTable[Outcome2]="Void",BetTable[S2],)))))</f>
        <v>0</v>
      </c>
      <c r="AH1444" s="164">
        <f>IF(BetTable[Outcome3]="Win",BetTable[WBA3-Commission],IF(BetTable[Outcome3]="Win Half Stake",(BetTable[S3]/2)+BetTable[WBA3-Commission]/2,IF(BetTable[Outcome3]="Lose Half Stake",BetTable[S3]/2,IF(BetTable[Outcome3]="Lose",0,IF(BetTable[Outcome3]="Void",BetTable[S3],)))))</f>
        <v>0</v>
      </c>
      <c r="AI1444" s="168">
        <f>IF(BetTable[Outcome]="",AI1443,BetTable[Result]+AI1443)</f>
        <v>2394.4227499999997</v>
      </c>
      <c r="AJ1444" s="160"/>
    </row>
    <row r="1445" spans="1:36" x14ac:dyDescent="0.2">
      <c r="A1445" s="159" t="s">
        <v>3324</v>
      </c>
      <c r="B1445" s="160" t="s">
        <v>200</v>
      </c>
      <c r="C1445" s="161" t="s">
        <v>1714</v>
      </c>
      <c r="D1445" s="161"/>
      <c r="E1445" s="161"/>
      <c r="F1445" s="162"/>
      <c r="G1445" s="162"/>
      <c r="H1445" s="162"/>
      <c r="I1445" s="160" t="s">
        <v>3450</v>
      </c>
      <c r="J1445" s="163">
        <v>2</v>
      </c>
      <c r="K1445" s="163"/>
      <c r="L1445" s="163"/>
      <c r="M1445" s="164">
        <v>44</v>
      </c>
      <c r="N1445" s="164"/>
      <c r="O1445" s="164"/>
      <c r="P1445" s="159" t="s">
        <v>448</v>
      </c>
      <c r="Q1445" s="159" t="s">
        <v>677</v>
      </c>
      <c r="R1445" s="159" t="s">
        <v>3451</v>
      </c>
      <c r="S1445" s="165">
        <v>2.2474631036900401E-2</v>
      </c>
      <c r="T1445" s="166" t="s">
        <v>372</v>
      </c>
      <c r="U1445" s="166"/>
      <c r="V1445" s="166"/>
      <c r="W1445" s="167">
        <f>IF(BetTable[Sport]="","",BetTable[Stake]+BetTable[S2]+BetTable[S3])</f>
        <v>44</v>
      </c>
      <c r="X1445" s="164">
        <f>IF(BetTable[Odds]="","",(BetTable[WBA1-Commission])-BetTable[TS])</f>
        <v>44</v>
      </c>
      <c r="Y1445" s="168">
        <f>IF(BetTable[Outcome]="","",BetTable[WBA1]+BetTable[WBA2]+BetTable[WBA3]-BetTable[TS])</f>
        <v>44</v>
      </c>
      <c r="Z1445" s="164">
        <f>(((BetTable[Odds]-1)*BetTable[Stake])*(1-(BetTable[Comm %]))+BetTable[Stake])</f>
        <v>88</v>
      </c>
      <c r="AA1445" s="164">
        <f>(((BetTable[O2]-1)*BetTable[S2])*(1-(BetTable[C% 2]))+BetTable[S2])</f>
        <v>0</v>
      </c>
      <c r="AB1445" s="164">
        <f>(((BetTable[O3]-1)*BetTable[S3])*(1-(BetTable[C% 3]))+BetTable[S3])</f>
        <v>0</v>
      </c>
      <c r="AC1445" s="165">
        <f>IFERROR(IF(BetTable[Sport]="","",BetTable[R1]/BetTable[TS]),"")</f>
        <v>1</v>
      </c>
      <c r="AD1445" s="165" t="str">
        <f>IF(BetTable[O2]="","",#REF!/BetTable[TS])</f>
        <v/>
      </c>
      <c r="AE1445" s="165" t="str">
        <f>IFERROR(IF(BetTable[Sport]="","",#REF!/BetTable[TS]),"")</f>
        <v/>
      </c>
      <c r="AF1445" s="164">
        <f>IF(BetTable[Outcome]="Win",BetTable[WBA1-Commission],IF(BetTable[Outcome]="Win Half Stake",(BetTable[Stake]/2)+BetTable[WBA1-Commission]/2,IF(BetTable[Outcome]="Lose Half Stake",BetTable[Stake]/2,IF(BetTable[Outcome]="Lose",0,IF(BetTable[Outcome]="Void",BetTable[Stake],)))))</f>
        <v>88</v>
      </c>
      <c r="AG1445" s="164">
        <f>IF(BetTable[Outcome2]="Win",BetTable[WBA2-Commission],IF(BetTable[Outcome2]="Win Half Stake",(BetTable[S2]/2)+BetTable[WBA2-Commission]/2,IF(BetTable[Outcome2]="Lose Half Stake",BetTable[S2]/2,IF(BetTable[Outcome2]="Lose",0,IF(BetTable[Outcome2]="Void",BetTable[S2],)))))</f>
        <v>0</v>
      </c>
      <c r="AH1445" s="164">
        <f>IF(BetTable[Outcome3]="Win",BetTable[WBA3-Commission],IF(BetTable[Outcome3]="Win Half Stake",(BetTable[S3]/2)+BetTable[WBA3-Commission]/2,IF(BetTable[Outcome3]="Lose Half Stake",BetTable[S3]/2,IF(BetTable[Outcome3]="Lose",0,IF(BetTable[Outcome3]="Void",BetTable[S3],)))))</f>
        <v>0</v>
      </c>
      <c r="AI1445" s="168">
        <f>IF(BetTable[Outcome]="",AI1444,BetTable[Result]+AI1444)</f>
        <v>2438.4227499999997</v>
      </c>
      <c r="AJ1445" s="160"/>
    </row>
    <row r="1446" spans="1:36" x14ac:dyDescent="0.2">
      <c r="A1446" s="159" t="s">
        <v>3324</v>
      </c>
      <c r="B1446" s="160" t="s">
        <v>200</v>
      </c>
      <c r="C1446" s="161" t="s">
        <v>1714</v>
      </c>
      <c r="D1446" s="161"/>
      <c r="E1446" s="161"/>
      <c r="F1446" s="162"/>
      <c r="G1446" s="162"/>
      <c r="H1446" s="162"/>
      <c r="I1446" s="160" t="s">
        <v>3452</v>
      </c>
      <c r="J1446" s="163">
        <v>1.77</v>
      </c>
      <c r="K1446" s="163"/>
      <c r="L1446" s="163"/>
      <c r="M1446" s="164">
        <v>48</v>
      </c>
      <c r="N1446" s="164"/>
      <c r="O1446" s="164"/>
      <c r="P1446" s="159" t="s">
        <v>864</v>
      </c>
      <c r="Q1446" s="159" t="s">
        <v>677</v>
      </c>
      <c r="R1446" s="159" t="s">
        <v>3453</v>
      </c>
      <c r="S1446" s="165">
        <v>1.9143104954664199E-2</v>
      </c>
      <c r="T1446" s="166" t="s">
        <v>372</v>
      </c>
      <c r="U1446" s="166"/>
      <c r="V1446" s="166"/>
      <c r="W1446" s="167">
        <f>IF(BetTable[Sport]="","",BetTable[Stake]+BetTable[S2]+BetTable[S3])</f>
        <v>48</v>
      </c>
      <c r="X1446" s="164">
        <f>IF(BetTable[Odds]="","",(BetTable[WBA1-Commission])-BetTable[TS])</f>
        <v>36.960000000000008</v>
      </c>
      <c r="Y1446" s="168">
        <f>IF(BetTable[Outcome]="","",BetTable[WBA1]+BetTable[WBA2]+BetTable[WBA3]-BetTable[TS])</f>
        <v>36.960000000000008</v>
      </c>
      <c r="Z1446" s="164">
        <f>(((BetTable[Odds]-1)*BetTable[Stake])*(1-(BetTable[Comm %]))+BetTable[Stake])</f>
        <v>84.960000000000008</v>
      </c>
      <c r="AA1446" s="164">
        <f>(((BetTable[O2]-1)*BetTable[S2])*(1-(BetTable[C% 2]))+BetTable[S2])</f>
        <v>0</v>
      </c>
      <c r="AB1446" s="164">
        <f>(((BetTable[O3]-1)*BetTable[S3])*(1-(BetTable[C% 3]))+BetTable[S3])</f>
        <v>0</v>
      </c>
      <c r="AC1446" s="165">
        <f>IFERROR(IF(BetTable[Sport]="","",BetTable[R1]/BetTable[TS]),"")</f>
        <v>0.77000000000000013</v>
      </c>
      <c r="AD1446" s="165" t="str">
        <f>IF(BetTable[O2]="","",#REF!/BetTable[TS])</f>
        <v/>
      </c>
      <c r="AE1446" s="165" t="str">
        <f>IFERROR(IF(BetTable[Sport]="","",#REF!/BetTable[TS]),"")</f>
        <v/>
      </c>
      <c r="AF1446" s="164">
        <f>IF(BetTable[Outcome]="Win",BetTable[WBA1-Commission],IF(BetTable[Outcome]="Win Half Stake",(BetTable[Stake]/2)+BetTable[WBA1-Commission]/2,IF(BetTable[Outcome]="Lose Half Stake",BetTable[Stake]/2,IF(BetTable[Outcome]="Lose",0,IF(BetTable[Outcome]="Void",BetTable[Stake],)))))</f>
        <v>84.960000000000008</v>
      </c>
      <c r="AG1446" s="164">
        <f>IF(BetTable[Outcome2]="Win",BetTable[WBA2-Commission],IF(BetTable[Outcome2]="Win Half Stake",(BetTable[S2]/2)+BetTable[WBA2-Commission]/2,IF(BetTable[Outcome2]="Lose Half Stake",BetTable[S2]/2,IF(BetTable[Outcome2]="Lose",0,IF(BetTable[Outcome2]="Void",BetTable[S2],)))))</f>
        <v>0</v>
      </c>
      <c r="AH1446" s="164">
        <f>IF(BetTable[Outcome3]="Win",BetTable[WBA3-Commission],IF(BetTable[Outcome3]="Win Half Stake",(BetTable[S3]/2)+BetTable[WBA3-Commission]/2,IF(BetTable[Outcome3]="Lose Half Stake",BetTable[S3]/2,IF(BetTable[Outcome3]="Lose",0,IF(BetTable[Outcome3]="Void",BetTable[S3],)))))</f>
        <v>0</v>
      </c>
      <c r="AI1446" s="168">
        <f>IF(BetTable[Outcome]="",AI1445,BetTable[Result]+AI1445)</f>
        <v>2475.3827499999998</v>
      </c>
      <c r="AJ1446" s="160"/>
    </row>
    <row r="1447" spans="1:36" x14ac:dyDescent="0.2">
      <c r="A1447" s="159" t="s">
        <v>3324</v>
      </c>
      <c r="B1447" s="160" t="s">
        <v>200</v>
      </c>
      <c r="C1447" s="161" t="s">
        <v>1714</v>
      </c>
      <c r="D1447" s="161"/>
      <c r="E1447" s="161"/>
      <c r="F1447" s="162"/>
      <c r="G1447" s="162"/>
      <c r="H1447" s="162"/>
      <c r="I1447" s="160" t="s">
        <v>3454</v>
      </c>
      <c r="J1447" s="163">
        <v>2.06</v>
      </c>
      <c r="K1447" s="163"/>
      <c r="L1447" s="163"/>
      <c r="M1447" s="164">
        <v>33</v>
      </c>
      <c r="N1447" s="164"/>
      <c r="O1447" s="164"/>
      <c r="P1447" s="159" t="s">
        <v>368</v>
      </c>
      <c r="Q1447" s="159" t="s">
        <v>429</v>
      </c>
      <c r="R1447" s="159" t="s">
        <v>3455</v>
      </c>
      <c r="S1447" s="165">
        <v>1.80371665166673E-2</v>
      </c>
      <c r="T1447" s="166" t="s">
        <v>372</v>
      </c>
      <c r="U1447" s="166"/>
      <c r="V1447" s="166"/>
      <c r="W1447" s="167">
        <f>IF(BetTable[Sport]="","",BetTable[Stake]+BetTable[S2]+BetTable[S3])</f>
        <v>33</v>
      </c>
      <c r="X1447" s="164">
        <f>IF(BetTable[Odds]="","",(BetTable[WBA1-Commission])-BetTable[TS])</f>
        <v>34.980000000000004</v>
      </c>
      <c r="Y1447" s="168">
        <f>IF(BetTable[Outcome]="","",BetTable[WBA1]+BetTable[WBA2]+BetTable[WBA3]-BetTable[TS])</f>
        <v>34.980000000000004</v>
      </c>
      <c r="Z1447" s="164">
        <f>(((BetTable[Odds]-1)*BetTable[Stake])*(1-(BetTable[Comm %]))+BetTable[Stake])</f>
        <v>67.98</v>
      </c>
      <c r="AA1447" s="164">
        <f>(((BetTable[O2]-1)*BetTable[S2])*(1-(BetTable[C% 2]))+BetTable[S2])</f>
        <v>0</v>
      </c>
      <c r="AB1447" s="164">
        <f>(((BetTable[O3]-1)*BetTable[S3])*(1-(BetTable[C% 3]))+BetTable[S3])</f>
        <v>0</v>
      </c>
      <c r="AC1447" s="165">
        <f>IFERROR(IF(BetTable[Sport]="","",BetTable[R1]/BetTable[TS]),"")</f>
        <v>1.06</v>
      </c>
      <c r="AD1447" s="165" t="str">
        <f>IF(BetTable[O2]="","",#REF!/BetTable[TS])</f>
        <v/>
      </c>
      <c r="AE1447" s="165" t="str">
        <f>IFERROR(IF(BetTable[Sport]="","",#REF!/BetTable[TS]),"")</f>
        <v/>
      </c>
      <c r="AF1447" s="164">
        <f>IF(BetTable[Outcome]="Win",BetTable[WBA1-Commission],IF(BetTable[Outcome]="Win Half Stake",(BetTable[Stake]/2)+BetTable[WBA1-Commission]/2,IF(BetTable[Outcome]="Lose Half Stake",BetTable[Stake]/2,IF(BetTable[Outcome]="Lose",0,IF(BetTable[Outcome]="Void",BetTable[Stake],)))))</f>
        <v>67.98</v>
      </c>
      <c r="AG1447" s="164">
        <f>IF(BetTable[Outcome2]="Win",BetTable[WBA2-Commission],IF(BetTable[Outcome2]="Win Half Stake",(BetTable[S2]/2)+BetTable[WBA2-Commission]/2,IF(BetTable[Outcome2]="Lose Half Stake",BetTable[S2]/2,IF(BetTable[Outcome2]="Lose",0,IF(BetTable[Outcome2]="Void",BetTable[S2],)))))</f>
        <v>0</v>
      </c>
      <c r="AH1447" s="164">
        <f>IF(BetTable[Outcome3]="Win",BetTable[WBA3-Commission],IF(BetTable[Outcome3]="Win Half Stake",(BetTable[S3]/2)+BetTable[WBA3-Commission]/2,IF(BetTable[Outcome3]="Lose Half Stake",BetTable[S3]/2,IF(BetTable[Outcome3]="Lose",0,IF(BetTable[Outcome3]="Void",BetTable[S3],)))))</f>
        <v>0</v>
      </c>
      <c r="AI1447" s="168">
        <f>IF(BetTable[Outcome]="",AI1446,BetTable[Result]+AI1446)</f>
        <v>2510.3627499999998</v>
      </c>
      <c r="AJ1447" s="160"/>
    </row>
    <row r="1448" spans="1:36" x14ac:dyDescent="0.2">
      <c r="A1448" s="159" t="s">
        <v>3324</v>
      </c>
      <c r="B1448" s="160" t="s">
        <v>200</v>
      </c>
      <c r="C1448" s="161" t="s">
        <v>1714</v>
      </c>
      <c r="D1448" s="161"/>
      <c r="E1448" s="161"/>
      <c r="F1448" s="162"/>
      <c r="G1448" s="162"/>
      <c r="H1448" s="162"/>
      <c r="I1448" s="160" t="s">
        <v>3456</v>
      </c>
      <c r="J1448" s="163">
        <v>1.71</v>
      </c>
      <c r="K1448" s="163"/>
      <c r="L1448" s="163"/>
      <c r="M1448" s="164">
        <v>51</v>
      </c>
      <c r="N1448" s="164"/>
      <c r="O1448" s="164"/>
      <c r="P1448" s="159" t="s">
        <v>508</v>
      </c>
      <c r="Q1448" s="159" t="s">
        <v>506</v>
      </c>
      <c r="R1448" s="159" t="s">
        <v>3457</v>
      </c>
      <c r="S1448" s="165">
        <v>1.8583359232597699E-2</v>
      </c>
      <c r="T1448" s="166" t="s">
        <v>382</v>
      </c>
      <c r="U1448" s="166"/>
      <c r="V1448" s="166"/>
      <c r="W1448" s="167">
        <f>IF(BetTable[Sport]="","",BetTable[Stake]+BetTable[S2]+BetTable[S3])</f>
        <v>51</v>
      </c>
      <c r="X1448" s="164">
        <f>IF(BetTable[Odds]="","",(BetTable[WBA1-Commission])-BetTable[TS])</f>
        <v>36.210000000000008</v>
      </c>
      <c r="Y1448" s="168">
        <f>IF(BetTable[Outcome]="","",BetTable[WBA1]+BetTable[WBA2]+BetTable[WBA3]-BetTable[TS])</f>
        <v>-51</v>
      </c>
      <c r="Z1448" s="164">
        <f>(((BetTable[Odds]-1)*BetTable[Stake])*(1-(BetTable[Comm %]))+BetTable[Stake])</f>
        <v>87.210000000000008</v>
      </c>
      <c r="AA1448" s="164">
        <f>(((BetTable[O2]-1)*BetTable[S2])*(1-(BetTable[C% 2]))+BetTable[S2])</f>
        <v>0</v>
      </c>
      <c r="AB1448" s="164">
        <f>(((BetTable[O3]-1)*BetTable[S3])*(1-(BetTable[C% 3]))+BetTable[S3])</f>
        <v>0</v>
      </c>
      <c r="AC1448" s="165">
        <f>IFERROR(IF(BetTable[Sport]="","",BetTable[R1]/BetTable[TS]),"")</f>
        <v>0.71000000000000019</v>
      </c>
      <c r="AD1448" s="165" t="str">
        <f>IF(BetTable[O2]="","",#REF!/BetTable[TS])</f>
        <v/>
      </c>
      <c r="AE1448" s="165" t="str">
        <f>IFERROR(IF(BetTable[Sport]="","",#REF!/BetTable[TS]),"")</f>
        <v/>
      </c>
      <c r="AF1448" s="164">
        <f>IF(BetTable[Outcome]="Win",BetTable[WBA1-Commission],IF(BetTable[Outcome]="Win Half Stake",(BetTable[Stake]/2)+BetTable[WBA1-Commission]/2,IF(BetTable[Outcome]="Lose Half Stake",BetTable[Stake]/2,IF(BetTable[Outcome]="Lose",0,IF(BetTable[Outcome]="Void",BetTable[Stake],)))))</f>
        <v>0</v>
      </c>
      <c r="AG1448" s="164">
        <f>IF(BetTable[Outcome2]="Win",BetTable[WBA2-Commission],IF(BetTable[Outcome2]="Win Half Stake",(BetTable[S2]/2)+BetTable[WBA2-Commission]/2,IF(BetTable[Outcome2]="Lose Half Stake",BetTable[S2]/2,IF(BetTable[Outcome2]="Lose",0,IF(BetTable[Outcome2]="Void",BetTable[S2],)))))</f>
        <v>0</v>
      </c>
      <c r="AH1448" s="164">
        <f>IF(BetTable[Outcome3]="Win",BetTable[WBA3-Commission],IF(BetTable[Outcome3]="Win Half Stake",(BetTable[S3]/2)+BetTable[WBA3-Commission]/2,IF(BetTable[Outcome3]="Lose Half Stake",BetTable[S3]/2,IF(BetTable[Outcome3]="Lose",0,IF(BetTable[Outcome3]="Void",BetTable[S3],)))))</f>
        <v>0</v>
      </c>
      <c r="AI1448" s="168">
        <f>IF(BetTable[Outcome]="",AI1447,BetTable[Result]+AI1447)</f>
        <v>2459.3627499999998</v>
      </c>
      <c r="AJ1448" s="160"/>
    </row>
    <row r="1449" spans="1:36" x14ac:dyDescent="0.2">
      <c r="A1449" s="159" t="s">
        <v>3324</v>
      </c>
      <c r="B1449" s="160" t="s">
        <v>7</v>
      </c>
      <c r="C1449" s="161" t="s">
        <v>91</v>
      </c>
      <c r="D1449" s="161"/>
      <c r="E1449" s="161"/>
      <c r="F1449" s="162"/>
      <c r="G1449" s="162"/>
      <c r="H1449" s="162"/>
      <c r="I1449" s="160" t="s">
        <v>3458</v>
      </c>
      <c r="J1449" s="163">
        <v>2.25</v>
      </c>
      <c r="K1449" s="163"/>
      <c r="L1449" s="163"/>
      <c r="M1449" s="164">
        <v>47</v>
      </c>
      <c r="N1449" s="164"/>
      <c r="O1449" s="164"/>
      <c r="P1449" s="159" t="s">
        <v>2267</v>
      </c>
      <c r="Q1449" s="159" t="s">
        <v>506</v>
      </c>
      <c r="R1449" s="159" t="s">
        <v>3459</v>
      </c>
      <c r="S1449" s="165">
        <v>2.9995542932844701E-2</v>
      </c>
      <c r="T1449" s="166" t="s">
        <v>382</v>
      </c>
      <c r="U1449" s="166"/>
      <c r="V1449" s="166"/>
      <c r="W1449" s="167">
        <f>IF(BetTable[Sport]="","",BetTable[Stake]+BetTable[S2]+BetTable[S3])</f>
        <v>47</v>
      </c>
      <c r="X1449" s="164">
        <f>IF(BetTable[Odds]="","",(BetTable[WBA1-Commission])-BetTable[TS])</f>
        <v>58.75</v>
      </c>
      <c r="Y1449" s="168">
        <f>IF(BetTable[Outcome]="","",BetTable[WBA1]+BetTable[WBA2]+BetTable[WBA3]-BetTable[TS])</f>
        <v>-47</v>
      </c>
      <c r="Z1449" s="164">
        <f>(((BetTable[Odds]-1)*BetTable[Stake])*(1-(BetTable[Comm %]))+BetTable[Stake])</f>
        <v>105.75</v>
      </c>
      <c r="AA1449" s="164">
        <f>(((BetTable[O2]-1)*BetTable[S2])*(1-(BetTable[C% 2]))+BetTable[S2])</f>
        <v>0</v>
      </c>
      <c r="AB1449" s="164">
        <f>(((BetTable[O3]-1)*BetTable[S3])*(1-(BetTable[C% 3]))+BetTable[S3])</f>
        <v>0</v>
      </c>
      <c r="AC1449" s="165">
        <f>IFERROR(IF(BetTable[Sport]="","",BetTable[R1]/BetTable[TS]),"")</f>
        <v>1.25</v>
      </c>
      <c r="AD1449" s="165" t="str">
        <f>IF(BetTable[O2]="","",#REF!/BetTable[TS])</f>
        <v/>
      </c>
      <c r="AE1449" s="165" t="str">
        <f>IFERROR(IF(BetTable[Sport]="","",#REF!/BetTable[TS]),"")</f>
        <v/>
      </c>
      <c r="AF1449" s="164">
        <f>IF(BetTable[Outcome]="Win",BetTable[WBA1-Commission],IF(BetTable[Outcome]="Win Half Stake",(BetTable[Stake]/2)+BetTable[WBA1-Commission]/2,IF(BetTable[Outcome]="Lose Half Stake",BetTable[Stake]/2,IF(BetTable[Outcome]="Lose",0,IF(BetTable[Outcome]="Void",BetTable[Stake],)))))</f>
        <v>0</v>
      </c>
      <c r="AG1449" s="164">
        <f>IF(BetTable[Outcome2]="Win",BetTable[WBA2-Commission],IF(BetTable[Outcome2]="Win Half Stake",(BetTable[S2]/2)+BetTable[WBA2-Commission]/2,IF(BetTable[Outcome2]="Lose Half Stake",BetTable[S2]/2,IF(BetTable[Outcome2]="Lose",0,IF(BetTable[Outcome2]="Void",BetTable[S2],)))))</f>
        <v>0</v>
      </c>
      <c r="AH1449" s="164">
        <f>IF(BetTable[Outcome3]="Win",BetTable[WBA3-Commission],IF(BetTable[Outcome3]="Win Half Stake",(BetTable[S3]/2)+BetTable[WBA3-Commission]/2,IF(BetTable[Outcome3]="Lose Half Stake",BetTable[S3]/2,IF(BetTable[Outcome3]="Lose",0,IF(BetTable[Outcome3]="Void",BetTable[S3],)))))</f>
        <v>0</v>
      </c>
      <c r="AI1449" s="168">
        <f>IF(BetTable[Outcome]="",AI1448,BetTable[Result]+AI1448)</f>
        <v>2412.3627499999998</v>
      </c>
      <c r="AJ1449" s="160"/>
    </row>
    <row r="1450" spans="1:36" x14ac:dyDescent="0.2">
      <c r="A1450" s="159" t="s">
        <v>3324</v>
      </c>
      <c r="B1450" s="160" t="s">
        <v>9</v>
      </c>
      <c r="C1450" s="161" t="s">
        <v>91</v>
      </c>
      <c r="D1450" s="161"/>
      <c r="E1450" s="161"/>
      <c r="F1450" s="162"/>
      <c r="G1450" s="162"/>
      <c r="H1450" s="162"/>
      <c r="I1450" s="160" t="s">
        <v>3389</v>
      </c>
      <c r="J1450" s="163">
        <v>1.79</v>
      </c>
      <c r="K1450" s="163"/>
      <c r="L1450" s="163"/>
      <c r="M1450" s="164">
        <v>49</v>
      </c>
      <c r="N1450" s="164"/>
      <c r="O1450" s="164"/>
      <c r="P1450" s="159" t="s">
        <v>1320</v>
      </c>
      <c r="Q1450" s="159" t="s">
        <v>491</v>
      </c>
      <c r="R1450" s="159" t="s">
        <v>3460</v>
      </c>
      <c r="S1450" s="165">
        <v>2.8401559049271399E-2</v>
      </c>
      <c r="T1450" s="166" t="s">
        <v>383</v>
      </c>
      <c r="U1450" s="166"/>
      <c r="V1450" s="166"/>
      <c r="W1450" s="167">
        <f>IF(BetTable[Sport]="","",BetTable[Stake]+BetTable[S2]+BetTable[S3])</f>
        <v>49</v>
      </c>
      <c r="X1450" s="164">
        <f>IF(BetTable[Odds]="","",(BetTable[WBA1-Commission])-BetTable[TS])</f>
        <v>38.710000000000008</v>
      </c>
      <c r="Y1450" s="168">
        <f>IF(BetTable[Outcome]="","",BetTable[WBA1]+BetTable[WBA2]+BetTable[WBA3]-BetTable[TS])</f>
        <v>0</v>
      </c>
      <c r="Z1450" s="164">
        <f>(((BetTable[Odds]-1)*BetTable[Stake])*(1-(BetTable[Comm %]))+BetTable[Stake])</f>
        <v>87.710000000000008</v>
      </c>
      <c r="AA1450" s="164">
        <f>(((BetTable[O2]-1)*BetTable[S2])*(1-(BetTable[C% 2]))+BetTable[S2])</f>
        <v>0</v>
      </c>
      <c r="AB1450" s="164">
        <f>(((BetTable[O3]-1)*BetTable[S3])*(1-(BetTable[C% 3]))+BetTable[S3])</f>
        <v>0</v>
      </c>
      <c r="AC1450" s="165">
        <f>IFERROR(IF(BetTable[Sport]="","",BetTable[R1]/BetTable[TS]),"")</f>
        <v>0.79000000000000015</v>
      </c>
      <c r="AD1450" s="165" t="str">
        <f>IF(BetTable[O2]="","",#REF!/BetTable[TS])</f>
        <v/>
      </c>
      <c r="AE1450" s="165" t="str">
        <f>IFERROR(IF(BetTable[Sport]="","",#REF!/BetTable[TS]),"")</f>
        <v/>
      </c>
      <c r="AF1450" s="164">
        <f>IF(BetTable[Outcome]="Win",BetTable[WBA1-Commission],IF(BetTable[Outcome]="Win Half Stake",(BetTable[Stake]/2)+BetTable[WBA1-Commission]/2,IF(BetTable[Outcome]="Lose Half Stake",BetTable[Stake]/2,IF(BetTable[Outcome]="Lose",0,IF(BetTable[Outcome]="Void",BetTable[Stake],)))))</f>
        <v>49</v>
      </c>
      <c r="AG1450" s="164">
        <f>IF(BetTable[Outcome2]="Win",BetTable[WBA2-Commission],IF(BetTable[Outcome2]="Win Half Stake",(BetTable[S2]/2)+BetTable[WBA2-Commission]/2,IF(BetTable[Outcome2]="Lose Half Stake",BetTable[S2]/2,IF(BetTable[Outcome2]="Lose",0,IF(BetTable[Outcome2]="Void",BetTable[S2],)))))</f>
        <v>0</v>
      </c>
      <c r="AH1450" s="164">
        <f>IF(BetTable[Outcome3]="Win",BetTable[WBA3-Commission],IF(BetTable[Outcome3]="Win Half Stake",(BetTable[S3]/2)+BetTable[WBA3-Commission]/2,IF(BetTable[Outcome3]="Lose Half Stake",BetTable[S3]/2,IF(BetTable[Outcome3]="Lose",0,IF(BetTable[Outcome3]="Void",BetTable[S3],)))))</f>
        <v>0</v>
      </c>
      <c r="AI1450" s="168">
        <f>IF(BetTable[Outcome]="",AI1449,BetTable[Result]+AI1449)</f>
        <v>2412.3627499999998</v>
      </c>
      <c r="AJ1450" s="160"/>
    </row>
    <row r="1451" spans="1:36" x14ac:dyDescent="0.2">
      <c r="A1451" s="159" t="s">
        <v>3324</v>
      </c>
      <c r="B1451" s="160" t="s">
        <v>7</v>
      </c>
      <c r="C1451" s="161" t="s">
        <v>1714</v>
      </c>
      <c r="D1451" s="161"/>
      <c r="E1451" s="161"/>
      <c r="F1451" s="162"/>
      <c r="G1451" s="162"/>
      <c r="H1451" s="162"/>
      <c r="I1451" s="160" t="s">
        <v>3347</v>
      </c>
      <c r="J1451" s="163">
        <v>1.98</v>
      </c>
      <c r="K1451" s="163"/>
      <c r="L1451" s="163"/>
      <c r="M1451" s="164">
        <v>31</v>
      </c>
      <c r="N1451" s="164"/>
      <c r="O1451" s="164"/>
      <c r="P1451" s="159" t="s">
        <v>1602</v>
      </c>
      <c r="Q1451" s="159" t="s">
        <v>530</v>
      </c>
      <c r="R1451" s="159" t="s">
        <v>3461</v>
      </c>
      <c r="S1451" s="165">
        <v>2.86197170338242E-2</v>
      </c>
      <c r="T1451" s="166" t="s">
        <v>372</v>
      </c>
      <c r="U1451" s="166"/>
      <c r="V1451" s="166"/>
      <c r="W1451" s="167">
        <f>IF(BetTable[Sport]="","",BetTable[Stake]+BetTable[S2]+BetTable[S3])</f>
        <v>31</v>
      </c>
      <c r="X1451" s="164">
        <f>IF(BetTable[Odds]="","",(BetTable[WBA1-Commission])-BetTable[TS])</f>
        <v>30.379999999999995</v>
      </c>
      <c r="Y1451" s="168">
        <f>IF(BetTable[Outcome]="","",BetTable[WBA1]+BetTable[WBA2]+BetTable[WBA3]-BetTable[TS])</f>
        <v>30.379999999999995</v>
      </c>
      <c r="Z1451" s="164">
        <f>(((BetTable[Odds]-1)*BetTable[Stake])*(1-(BetTable[Comm %]))+BetTable[Stake])</f>
        <v>61.379999999999995</v>
      </c>
      <c r="AA1451" s="164">
        <f>(((BetTable[O2]-1)*BetTable[S2])*(1-(BetTable[C% 2]))+BetTable[S2])</f>
        <v>0</v>
      </c>
      <c r="AB1451" s="164">
        <f>(((BetTable[O3]-1)*BetTable[S3])*(1-(BetTable[C% 3]))+BetTable[S3])</f>
        <v>0</v>
      </c>
      <c r="AC1451" s="165">
        <f>IFERROR(IF(BetTable[Sport]="","",BetTable[R1]/BetTable[TS]),"")</f>
        <v>0.97999999999999987</v>
      </c>
      <c r="AD1451" s="165" t="str">
        <f>IF(BetTable[O2]="","",#REF!/BetTable[TS])</f>
        <v/>
      </c>
      <c r="AE1451" s="165" t="str">
        <f>IFERROR(IF(BetTable[Sport]="","",#REF!/BetTable[TS]),"")</f>
        <v/>
      </c>
      <c r="AF1451" s="164">
        <f>IF(BetTable[Outcome]="Win",BetTable[WBA1-Commission],IF(BetTable[Outcome]="Win Half Stake",(BetTable[Stake]/2)+BetTable[WBA1-Commission]/2,IF(BetTable[Outcome]="Lose Half Stake",BetTable[Stake]/2,IF(BetTable[Outcome]="Lose",0,IF(BetTable[Outcome]="Void",BetTable[Stake],)))))</f>
        <v>61.379999999999995</v>
      </c>
      <c r="AG1451" s="164">
        <f>IF(BetTable[Outcome2]="Win",BetTable[WBA2-Commission],IF(BetTable[Outcome2]="Win Half Stake",(BetTable[S2]/2)+BetTable[WBA2-Commission]/2,IF(BetTable[Outcome2]="Lose Half Stake",BetTable[S2]/2,IF(BetTable[Outcome2]="Lose",0,IF(BetTable[Outcome2]="Void",BetTable[S2],)))))</f>
        <v>0</v>
      </c>
      <c r="AH1451" s="164">
        <f>IF(BetTable[Outcome3]="Win",BetTable[WBA3-Commission],IF(BetTable[Outcome3]="Win Half Stake",(BetTable[S3]/2)+BetTable[WBA3-Commission]/2,IF(BetTable[Outcome3]="Lose Half Stake",BetTable[S3]/2,IF(BetTable[Outcome3]="Lose",0,IF(BetTable[Outcome3]="Void",BetTable[S3],)))))</f>
        <v>0</v>
      </c>
      <c r="AI1451" s="168">
        <f>IF(BetTable[Outcome]="",AI1450,BetTable[Result]+AI1450)</f>
        <v>2442.7427499999999</v>
      </c>
      <c r="AJ1451" s="160"/>
    </row>
    <row r="1452" spans="1:36" x14ac:dyDescent="0.2">
      <c r="A1452" s="159" t="s">
        <v>3324</v>
      </c>
      <c r="B1452" s="160" t="s">
        <v>7</v>
      </c>
      <c r="C1452" s="161" t="s">
        <v>1714</v>
      </c>
      <c r="D1452" s="161"/>
      <c r="E1452" s="161"/>
      <c r="F1452" s="162"/>
      <c r="G1452" s="162"/>
      <c r="H1452" s="162"/>
      <c r="I1452" s="160" t="s">
        <v>3462</v>
      </c>
      <c r="J1452" s="163">
        <v>1.86</v>
      </c>
      <c r="K1452" s="163"/>
      <c r="L1452" s="163"/>
      <c r="M1452" s="164">
        <v>38</v>
      </c>
      <c r="N1452" s="164"/>
      <c r="O1452" s="164"/>
      <c r="P1452" s="159" t="s">
        <v>1617</v>
      </c>
      <c r="Q1452" s="159" t="s">
        <v>1132</v>
      </c>
      <c r="R1452" s="159" t="s">
        <v>3463</v>
      </c>
      <c r="S1452" s="165">
        <v>2.2516935498217799E-2</v>
      </c>
      <c r="T1452" s="166" t="s">
        <v>382</v>
      </c>
      <c r="U1452" s="166"/>
      <c r="V1452" s="166"/>
      <c r="W1452" s="167">
        <f>IF(BetTable[Sport]="","",BetTable[Stake]+BetTable[S2]+BetTable[S3])</f>
        <v>38</v>
      </c>
      <c r="X1452" s="164">
        <f>IF(BetTable[Odds]="","",(BetTable[WBA1-Commission])-BetTable[TS])</f>
        <v>32.680000000000007</v>
      </c>
      <c r="Y1452" s="168">
        <f>IF(BetTable[Outcome]="","",BetTable[WBA1]+BetTable[WBA2]+BetTable[WBA3]-BetTable[TS])</f>
        <v>-38</v>
      </c>
      <c r="Z1452" s="164">
        <f>(((BetTable[Odds]-1)*BetTable[Stake])*(1-(BetTable[Comm %]))+BetTable[Stake])</f>
        <v>70.680000000000007</v>
      </c>
      <c r="AA1452" s="164">
        <f>(((BetTable[O2]-1)*BetTable[S2])*(1-(BetTable[C% 2]))+BetTable[S2])</f>
        <v>0</v>
      </c>
      <c r="AB1452" s="164">
        <f>(((BetTable[O3]-1)*BetTable[S3])*(1-(BetTable[C% 3]))+BetTable[S3])</f>
        <v>0</v>
      </c>
      <c r="AC1452" s="165">
        <f>IFERROR(IF(BetTable[Sport]="","",BetTable[R1]/BetTable[TS]),"")</f>
        <v>0.86000000000000021</v>
      </c>
      <c r="AD1452" s="165" t="str">
        <f>IF(BetTable[O2]="","",#REF!/BetTable[TS])</f>
        <v/>
      </c>
      <c r="AE1452" s="165" t="str">
        <f>IFERROR(IF(BetTable[Sport]="","",#REF!/BetTable[TS]),"")</f>
        <v/>
      </c>
      <c r="AF1452" s="164">
        <f>IF(BetTable[Outcome]="Win",BetTable[WBA1-Commission],IF(BetTable[Outcome]="Win Half Stake",(BetTable[Stake]/2)+BetTable[WBA1-Commission]/2,IF(BetTable[Outcome]="Lose Half Stake",BetTable[Stake]/2,IF(BetTable[Outcome]="Lose",0,IF(BetTable[Outcome]="Void",BetTable[Stake],)))))</f>
        <v>0</v>
      </c>
      <c r="AG1452" s="164">
        <f>IF(BetTable[Outcome2]="Win",BetTable[WBA2-Commission],IF(BetTable[Outcome2]="Win Half Stake",(BetTable[S2]/2)+BetTable[WBA2-Commission]/2,IF(BetTable[Outcome2]="Lose Half Stake",BetTable[S2]/2,IF(BetTable[Outcome2]="Lose",0,IF(BetTable[Outcome2]="Void",BetTable[S2],)))))</f>
        <v>0</v>
      </c>
      <c r="AH1452" s="164">
        <f>IF(BetTable[Outcome3]="Win",BetTable[WBA3-Commission],IF(BetTable[Outcome3]="Win Half Stake",(BetTable[S3]/2)+BetTable[WBA3-Commission]/2,IF(BetTable[Outcome3]="Lose Half Stake",BetTable[S3]/2,IF(BetTable[Outcome3]="Lose",0,IF(BetTable[Outcome3]="Void",BetTable[S3],)))))</f>
        <v>0</v>
      </c>
      <c r="AI1452" s="168">
        <f>IF(BetTable[Outcome]="",AI1451,BetTable[Result]+AI1451)</f>
        <v>2404.7427499999999</v>
      </c>
      <c r="AJ1452" s="160"/>
    </row>
    <row r="1453" spans="1:36" x14ac:dyDescent="0.2">
      <c r="A1453" s="159" t="s">
        <v>3324</v>
      </c>
      <c r="B1453" s="160" t="s">
        <v>7</v>
      </c>
      <c r="C1453" s="161" t="s">
        <v>91</v>
      </c>
      <c r="D1453" s="161"/>
      <c r="E1453" s="161"/>
      <c r="F1453" s="162"/>
      <c r="G1453" s="162"/>
      <c r="H1453" s="162"/>
      <c r="I1453" s="160" t="s">
        <v>3464</v>
      </c>
      <c r="J1453" s="163">
        <v>2.17</v>
      </c>
      <c r="K1453" s="163"/>
      <c r="L1453" s="163"/>
      <c r="M1453" s="164">
        <v>54</v>
      </c>
      <c r="N1453" s="164"/>
      <c r="O1453" s="164"/>
      <c r="P1453" s="159" t="s">
        <v>414</v>
      </c>
      <c r="Q1453" s="159" t="s">
        <v>1475</v>
      </c>
      <c r="R1453" s="159" t="s">
        <v>3465</v>
      </c>
      <c r="S1453" s="165">
        <v>3.2563741181273302E-2</v>
      </c>
      <c r="T1453" s="166" t="s">
        <v>372</v>
      </c>
      <c r="U1453" s="166"/>
      <c r="V1453" s="166"/>
      <c r="W1453" s="167">
        <f>IF(BetTable[Sport]="","",BetTable[Stake]+BetTable[S2]+BetTable[S3])</f>
        <v>54</v>
      </c>
      <c r="X1453" s="164">
        <f>IF(BetTable[Odds]="","",(BetTable[WBA1-Commission])-BetTable[TS])</f>
        <v>63.179999999999993</v>
      </c>
      <c r="Y1453" s="168">
        <f>IF(BetTable[Outcome]="","",BetTable[WBA1]+BetTable[WBA2]+BetTable[WBA3]-BetTable[TS])</f>
        <v>63.179999999999993</v>
      </c>
      <c r="Z1453" s="164">
        <f>(((BetTable[Odds]-1)*BetTable[Stake])*(1-(BetTable[Comm %]))+BetTable[Stake])</f>
        <v>117.17999999999999</v>
      </c>
      <c r="AA1453" s="164">
        <f>(((BetTable[O2]-1)*BetTable[S2])*(1-(BetTable[C% 2]))+BetTable[S2])</f>
        <v>0</v>
      </c>
      <c r="AB1453" s="164">
        <f>(((BetTable[O3]-1)*BetTable[S3])*(1-(BetTable[C% 3]))+BetTable[S3])</f>
        <v>0</v>
      </c>
      <c r="AC1453" s="165">
        <f>IFERROR(IF(BetTable[Sport]="","",BetTable[R1]/BetTable[TS]),"")</f>
        <v>1.17</v>
      </c>
      <c r="AD1453" s="165" t="str">
        <f>IF(BetTable[O2]="","",#REF!/BetTable[TS])</f>
        <v/>
      </c>
      <c r="AE1453" s="165" t="str">
        <f>IFERROR(IF(BetTable[Sport]="","",#REF!/BetTable[TS]),"")</f>
        <v/>
      </c>
      <c r="AF1453" s="164">
        <f>IF(BetTable[Outcome]="Win",BetTable[WBA1-Commission],IF(BetTable[Outcome]="Win Half Stake",(BetTable[Stake]/2)+BetTable[WBA1-Commission]/2,IF(BetTable[Outcome]="Lose Half Stake",BetTable[Stake]/2,IF(BetTable[Outcome]="Lose",0,IF(BetTable[Outcome]="Void",BetTable[Stake],)))))</f>
        <v>117.17999999999999</v>
      </c>
      <c r="AG1453" s="164">
        <f>IF(BetTable[Outcome2]="Win",BetTable[WBA2-Commission],IF(BetTable[Outcome2]="Win Half Stake",(BetTable[S2]/2)+BetTable[WBA2-Commission]/2,IF(BetTable[Outcome2]="Lose Half Stake",BetTable[S2]/2,IF(BetTable[Outcome2]="Lose",0,IF(BetTable[Outcome2]="Void",BetTable[S2],)))))</f>
        <v>0</v>
      </c>
      <c r="AH1453" s="164">
        <f>IF(BetTable[Outcome3]="Win",BetTable[WBA3-Commission],IF(BetTable[Outcome3]="Win Half Stake",(BetTable[S3]/2)+BetTable[WBA3-Commission]/2,IF(BetTable[Outcome3]="Lose Half Stake",BetTable[S3]/2,IF(BetTable[Outcome3]="Lose",0,IF(BetTable[Outcome3]="Void",BetTable[S3],)))))</f>
        <v>0</v>
      </c>
      <c r="AI1453" s="168">
        <f>IF(BetTable[Outcome]="",AI1452,BetTable[Result]+AI1452)</f>
        <v>2467.9227499999997</v>
      </c>
      <c r="AJ1453" s="160"/>
    </row>
    <row r="1454" spans="1:36" x14ac:dyDescent="0.2">
      <c r="A1454" s="159" t="s">
        <v>3324</v>
      </c>
      <c r="B1454" s="160" t="s">
        <v>7</v>
      </c>
      <c r="C1454" s="161" t="s">
        <v>91</v>
      </c>
      <c r="D1454" s="161"/>
      <c r="E1454" s="161"/>
      <c r="F1454" s="162"/>
      <c r="G1454" s="162"/>
      <c r="H1454" s="162"/>
      <c r="I1454" s="160" t="s">
        <v>3466</v>
      </c>
      <c r="J1454" s="163">
        <v>1.89</v>
      </c>
      <c r="K1454" s="163"/>
      <c r="L1454" s="163"/>
      <c r="M1454" s="164">
        <v>44</v>
      </c>
      <c r="N1454" s="164"/>
      <c r="O1454" s="164"/>
      <c r="P1454" s="159" t="s">
        <v>1799</v>
      </c>
      <c r="Q1454" s="159" t="s">
        <v>540</v>
      </c>
      <c r="R1454" s="159" t="s">
        <v>3467</v>
      </c>
      <c r="S1454" s="165">
        <v>2.76590172112746E-2</v>
      </c>
      <c r="T1454" s="166" t="s">
        <v>372</v>
      </c>
      <c r="U1454" s="166"/>
      <c r="V1454" s="166"/>
      <c r="W1454" s="167">
        <f>IF(BetTable[Sport]="","",BetTable[Stake]+BetTable[S2]+BetTable[S3])</f>
        <v>44</v>
      </c>
      <c r="X1454" s="164">
        <f>IF(BetTable[Odds]="","",(BetTable[WBA1-Commission])-BetTable[TS])</f>
        <v>39.159999999999997</v>
      </c>
      <c r="Y1454" s="168">
        <f>IF(BetTable[Outcome]="","",BetTable[WBA1]+BetTable[WBA2]+BetTable[WBA3]-BetTable[TS])</f>
        <v>39.159999999999997</v>
      </c>
      <c r="Z1454" s="164">
        <f>(((BetTable[Odds]-1)*BetTable[Stake])*(1-(BetTable[Comm %]))+BetTable[Stake])</f>
        <v>83.16</v>
      </c>
      <c r="AA1454" s="164">
        <f>(((BetTable[O2]-1)*BetTable[S2])*(1-(BetTable[C% 2]))+BetTable[S2])</f>
        <v>0</v>
      </c>
      <c r="AB1454" s="164">
        <f>(((BetTable[O3]-1)*BetTable[S3])*(1-(BetTable[C% 3]))+BetTable[S3])</f>
        <v>0</v>
      </c>
      <c r="AC1454" s="165">
        <f>IFERROR(IF(BetTable[Sport]="","",BetTable[R1]/BetTable[TS]),"")</f>
        <v>0.8899999999999999</v>
      </c>
      <c r="AD1454" s="165" t="str">
        <f>IF(BetTable[O2]="","",#REF!/BetTable[TS])</f>
        <v/>
      </c>
      <c r="AE1454" s="165" t="str">
        <f>IFERROR(IF(BetTable[Sport]="","",#REF!/BetTable[TS]),"")</f>
        <v/>
      </c>
      <c r="AF1454" s="164">
        <f>IF(BetTable[Outcome]="Win",BetTable[WBA1-Commission],IF(BetTable[Outcome]="Win Half Stake",(BetTable[Stake]/2)+BetTable[WBA1-Commission]/2,IF(BetTable[Outcome]="Lose Half Stake",BetTable[Stake]/2,IF(BetTable[Outcome]="Lose",0,IF(BetTable[Outcome]="Void",BetTable[Stake],)))))</f>
        <v>83.16</v>
      </c>
      <c r="AG1454" s="164">
        <f>IF(BetTable[Outcome2]="Win",BetTable[WBA2-Commission],IF(BetTable[Outcome2]="Win Half Stake",(BetTable[S2]/2)+BetTable[WBA2-Commission]/2,IF(BetTable[Outcome2]="Lose Half Stake",BetTable[S2]/2,IF(BetTable[Outcome2]="Lose",0,IF(BetTable[Outcome2]="Void",BetTable[S2],)))))</f>
        <v>0</v>
      </c>
      <c r="AH1454" s="164">
        <f>IF(BetTable[Outcome3]="Win",BetTable[WBA3-Commission],IF(BetTable[Outcome3]="Win Half Stake",(BetTable[S3]/2)+BetTable[WBA3-Commission]/2,IF(BetTable[Outcome3]="Lose Half Stake",BetTable[S3]/2,IF(BetTable[Outcome3]="Lose",0,IF(BetTable[Outcome3]="Void",BetTable[S3],)))))</f>
        <v>0</v>
      </c>
      <c r="AI1454" s="168">
        <f>IF(BetTable[Outcome]="",AI1453,BetTable[Result]+AI1453)</f>
        <v>2507.0827499999996</v>
      </c>
      <c r="AJ1454" s="160"/>
    </row>
    <row r="1455" spans="1:36" x14ac:dyDescent="0.2">
      <c r="A1455" s="159" t="s">
        <v>3324</v>
      </c>
      <c r="B1455" s="160" t="s">
        <v>7</v>
      </c>
      <c r="C1455" s="161" t="s">
        <v>1714</v>
      </c>
      <c r="D1455" s="161"/>
      <c r="E1455" s="161"/>
      <c r="F1455" s="162"/>
      <c r="G1455" s="162"/>
      <c r="H1455" s="162"/>
      <c r="I1455" s="160" t="s">
        <v>3344</v>
      </c>
      <c r="J1455" s="163">
        <v>1.9</v>
      </c>
      <c r="K1455" s="163"/>
      <c r="L1455" s="163"/>
      <c r="M1455" s="164">
        <v>46</v>
      </c>
      <c r="N1455" s="164"/>
      <c r="O1455" s="164"/>
      <c r="P1455" s="159" t="s">
        <v>3468</v>
      </c>
      <c r="Q1455" s="159" t="s">
        <v>1209</v>
      </c>
      <c r="R1455" s="159" t="s">
        <v>3469</v>
      </c>
      <c r="S1455" s="165">
        <v>2.1379859622330199E-2</v>
      </c>
      <c r="T1455" s="166" t="s">
        <v>372</v>
      </c>
      <c r="U1455" s="166"/>
      <c r="V1455" s="166"/>
      <c r="W1455" s="167">
        <f>IF(BetTable[Sport]="","",BetTable[Stake]+BetTable[S2]+BetTable[S3])</f>
        <v>46</v>
      </c>
      <c r="X1455" s="164">
        <f>IF(BetTable[Odds]="","",(BetTable[WBA1-Commission])-BetTable[TS])</f>
        <v>41.400000000000006</v>
      </c>
      <c r="Y1455" s="168">
        <f>IF(BetTable[Outcome]="","",BetTable[WBA1]+BetTable[WBA2]+BetTable[WBA3]-BetTable[TS])</f>
        <v>41.400000000000006</v>
      </c>
      <c r="Z1455" s="164">
        <f>(((BetTable[Odds]-1)*BetTable[Stake])*(1-(BetTable[Comm %]))+BetTable[Stake])</f>
        <v>87.4</v>
      </c>
      <c r="AA1455" s="164">
        <f>(((BetTable[O2]-1)*BetTable[S2])*(1-(BetTable[C% 2]))+BetTable[S2])</f>
        <v>0</v>
      </c>
      <c r="AB1455" s="164">
        <f>(((BetTable[O3]-1)*BetTable[S3])*(1-(BetTable[C% 3]))+BetTable[S3])</f>
        <v>0</v>
      </c>
      <c r="AC1455" s="165">
        <f>IFERROR(IF(BetTable[Sport]="","",BetTable[R1]/BetTable[TS]),"")</f>
        <v>0.90000000000000013</v>
      </c>
      <c r="AD1455" s="165" t="str">
        <f>IF(BetTable[O2]="","",#REF!/BetTable[TS])</f>
        <v/>
      </c>
      <c r="AE1455" s="165" t="str">
        <f>IFERROR(IF(BetTable[Sport]="","",#REF!/BetTable[TS]),"")</f>
        <v/>
      </c>
      <c r="AF1455" s="164">
        <f>IF(BetTable[Outcome]="Win",BetTable[WBA1-Commission],IF(BetTable[Outcome]="Win Half Stake",(BetTable[Stake]/2)+BetTable[WBA1-Commission]/2,IF(BetTable[Outcome]="Lose Half Stake",BetTable[Stake]/2,IF(BetTable[Outcome]="Lose",0,IF(BetTable[Outcome]="Void",BetTable[Stake],)))))</f>
        <v>87.4</v>
      </c>
      <c r="AG1455" s="164">
        <f>IF(BetTable[Outcome2]="Win",BetTable[WBA2-Commission],IF(BetTable[Outcome2]="Win Half Stake",(BetTable[S2]/2)+BetTable[WBA2-Commission]/2,IF(BetTable[Outcome2]="Lose Half Stake",BetTable[S2]/2,IF(BetTable[Outcome2]="Lose",0,IF(BetTable[Outcome2]="Void",BetTable[S2],)))))</f>
        <v>0</v>
      </c>
      <c r="AH1455" s="164">
        <f>IF(BetTable[Outcome3]="Win",BetTable[WBA3-Commission],IF(BetTable[Outcome3]="Win Half Stake",(BetTable[S3]/2)+BetTable[WBA3-Commission]/2,IF(BetTable[Outcome3]="Lose Half Stake",BetTable[S3]/2,IF(BetTable[Outcome3]="Lose",0,IF(BetTable[Outcome3]="Void",BetTable[S3],)))))</f>
        <v>0</v>
      </c>
      <c r="AI1455" s="168">
        <f>IF(BetTable[Outcome]="",AI1454,BetTable[Result]+AI1454)</f>
        <v>2548.4827499999997</v>
      </c>
      <c r="AJ1455" s="160"/>
    </row>
    <row r="1456" spans="1:36" x14ac:dyDescent="0.2">
      <c r="A1456" s="159" t="s">
        <v>3324</v>
      </c>
      <c r="B1456" s="160" t="s">
        <v>200</v>
      </c>
      <c r="C1456" s="161" t="s">
        <v>1714</v>
      </c>
      <c r="D1456" s="161"/>
      <c r="E1456" s="161"/>
      <c r="F1456" s="162"/>
      <c r="G1456" s="162"/>
      <c r="H1456" s="162"/>
      <c r="I1456" s="160" t="s">
        <v>3470</v>
      </c>
      <c r="J1456" s="163">
        <v>1.73</v>
      </c>
      <c r="K1456" s="163"/>
      <c r="L1456" s="163"/>
      <c r="M1456" s="164">
        <v>58</v>
      </c>
      <c r="N1456" s="164"/>
      <c r="O1456" s="164"/>
      <c r="P1456" s="159" t="s">
        <v>448</v>
      </c>
      <c r="Q1456" s="159" t="s">
        <v>1083</v>
      </c>
      <c r="R1456" s="159" t="s">
        <v>3471</v>
      </c>
      <c r="S1456" s="165">
        <v>2.18843062913491E-2</v>
      </c>
      <c r="T1456" s="166" t="s">
        <v>372</v>
      </c>
      <c r="U1456" s="166"/>
      <c r="V1456" s="166"/>
      <c r="W1456" s="167">
        <f>IF(BetTable[Sport]="","",BetTable[Stake]+BetTable[S2]+BetTable[S3])</f>
        <v>58</v>
      </c>
      <c r="X1456" s="164">
        <f>IF(BetTable[Odds]="","",(BetTable[WBA1-Commission])-BetTable[TS])</f>
        <v>42.34</v>
      </c>
      <c r="Y1456" s="168">
        <f>IF(BetTable[Outcome]="","",BetTable[WBA1]+BetTable[WBA2]+BetTable[WBA3]-BetTable[TS])</f>
        <v>42.34</v>
      </c>
      <c r="Z1456" s="164">
        <f>(((BetTable[Odds]-1)*BetTable[Stake])*(1-(BetTable[Comm %]))+BetTable[Stake])</f>
        <v>100.34</v>
      </c>
      <c r="AA1456" s="164">
        <f>(((BetTable[O2]-1)*BetTable[S2])*(1-(BetTable[C% 2]))+BetTable[S2])</f>
        <v>0</v>
      </c>
      <c r="AB1456" s="164">
        <f>(((BetTable[O3]-1)*BetTable[S3])*(1-(BetTable[C% 3]))+BetTable[S3])</f>
        <v>0</v>
      </c>
      <c r="AC1456" s="165">
        <f>IFERROR(IF(BetTable[Sport]="","",BetTable[R1]/BetTable[TS]),"")</f>
        <v>0.73000000000000009</v>
      </c>
      <c r="AD1456" s="165" t="str">
        <f>IF(BetTable[O2]="","",#REF!/BetTable[TS])</f>
        <v/>
      </c>
      <c r="AE1456" s="165" t="str">
        <f>IFERROR(IF(BetTable[Sport]="","",#REF!/BetTable[TS]),"")</f>
        <v/>
      </c>
      <c r="AF1456" s="164">
        <f>IF(BetTable[Outcome]="Win",BetTable[WBA1-Commission],IF(BetTable[Outcome]="Win Half Stake",(BetTable[Stake]/2)+BetTable[WBA1-Commission]/2,IF(BetTable[Outcome]="Lose Half Stake",BetTable[Stake]/2,IF(BetTable[Outcome]="Lose",0,IF(BetTable[Outcome]="Void",BetTable[Stake],)))))</f>
        <v>100.34</v>
      </c>
      <c r="AG1456" s="164">
        <f>IF(BetTable[Outcome2]="Win",BetTable[WBA2-Commission],IF(BetTable[Outcome2]="Win Half Stake",(BetTable[S2]/2)+BetTable[WBA2-Commission]/2,IF(BetTable[Outcome2]="Lose Half Stake",BetTable[S2]/2,IF(BetTable[Outcome2]="Lose",0,IF(BetTable[Outcome2]="Void",BetTable[S2],)))))</f>
        <v>0</v>
      </c>
      <c r="AH1456" s="164">
        <f>IF(BetTable[Outcome3]="Win",BetTable[WBA3-Commission],IF(BetTable[Outcome3]="Win Half Stake",(BetTable[S3]/2)+BetTable[WBA3-Commission]/2,IF(BetTable[Outcome3]="Lose Half Stake",BetTable[S3]/2,IF(BetTable[Outcome3]="Lose",0,IF(BetTable[Outcome3]="Void",BetTable[S3],)))))</f>
        <v>0</v>
      </c>
      <c r="AI1456" s="168">
        <f>IF(BetTable[Outcome]="",AI1455,BetTable[Result]+AI1455)</f>
        <v>2590.8227499999998</v>
      </c>
      <c r="AJ1456" s="160"/>
    </row>
    <row r="1457" spans="1:36" x14ac:dyDescent="0.2">
      <c r="A1457" s="159" t="s">
        <v>3324</v>
      </c>
      <c r="B1457" s="160" t="s">
        <v>7</v>
      </c>
      <c r="C1457" s="161" t="s">
        <v>1714</v>
      </c>
      <c r="D1457" s="161"/>
      <c r="E1457" s="161"/>
      <c r="F1457" s="162"/>
      <c r="G1457" s="162"/>
      <c r="H1457" s="162"/>
      <c r="I1457" s="160" t="s">
        <v>3472</v>
      </c>
      <c r="J1457" s="163">
        <v>1.85</v>
      </c>
      <c r="K1457" s="163"/>
      <c r="L1457" s="163"/>
      <c r="M1457" s="164">
        <v>56</v>
      </c>
      <c r="N1457" s="164"/>
      <c r="O1457" s="164"/>
      <c r="P1457" s="159" t="s">
        <v>3473</v>
      </c>
      <c r="Q1457" s="159" t="s">
        <v>569</v>
      </c>
      <c r="R1457" s="159" t="s">
        <v>3474</v>
      </c>
      <c r="S1457" s="165">
        <v>2.6150646704382E-2</v>
      </c>
      <c r="T1457" s="166" t="s">
        <v>372</v>
      </c>
      <c r="U1457" s="166"/>
      <c r="V1457" s="166"/>
      <c r="W1457" s="167">
        <f>IF(BetTable[Sport]="","",BetTable[Stake]+BetTable[S2]+BetTable[S3])</f>
        <v>56</v>
      </c>
      <c r="X1457" s="164">
        <f>IF(BetTable[Odds]="","",(BetTable[WBA1-Commission])-BetTable[TS])</f>
        <v>47.600000000000009</v>
      </c>
      <c r="Y1457" s="168">
        <f>IF(BetTable[Outcome]="","",BetTable[WBA1]+BetTable[WBA2]+BetTable[WBA3]-BetTable[TS])</f>
        <v>47.600000000000009</v>
      </c>
      <c r="Z1457" s="164">
        <f>(((BetTable[Odds]-1)*BetTable[Stake])*(1-(BetTable[Comm %]))+BetTable[Stake])</f>
        <v>103.60000000000001</v>
      </c>
      <c r="AA1457" s="164">
        <f>(((BetTable[O2]-1)*BetTable[S2])*(1-(BetTable[C% 2]))+BetTable[S2])</f>
        <v>0</v>
      </c>
      <c r="AB1457" s="164">
        <f>(((BetTable[O3]-1)*BetTable[S3])*(1-(BetTable[C% 3]))+BetTable[S3])</f>
        <v>0</v>
      </c>
      <c r="AC1457" s="165">
        <f>IFERROR(IF(BetTable[Sport]="","",BetTable[R1]/BetTable[TS]),"")</f>
        <v>0.8500000000000002</v>
      </c>
      <c r="AD1457" s="165" t="str">
        <f>IF(BetTable[O2]="","",#REF!/BetTable[TS])</f>
        <v/>
      </c>
      <c r="AE1457" s="165" t="str">
        <f>IFERROR(IF(BetTable[Sport]="","",#REF!/BetTable[TS]),"")</f>
        <v/>
      </c>
      <c r="AF1457" s="164">
        <f>IF(BetTable[Outcome]="Win",BetTable[WBA1-Commission],IF(BetTable[Outcome]="Win Half Stake",(BetTable[Stake]/2)+BetTable[WBA1-Commission]/2,IF(BetTable[Outcome]="Lose Half Stake",BetTable[Stake]/2,IF(BetTable[Outcome]="Lose",0,IF(BetTable[Outcome]="Void",BetTable[Stake],)))))</f>
        <v>103.60000000000001</v>
      </c>
      <c r="AG1457" s="164">
        <f>IF(BetTable[Outcome2]="Win",BetTable[WBA2-Commission],IF(BetTable[Outcome2]="Win Half Stake",(BetTable[S2]/2)+BetTable[WBA2-Commission]/2,IF(BetTable[Outcome2]="Lose Half Stake",BetTable[S2]/2,IF(BetTable[Outcome2]="Lose",0,IF(BetTable[Outcome2]="Void",BetTable[S2],)))))</f>
        <v>0</v>
      </c>
      <c r="AH1457" s="164">
        <f>IF(BetTable[Outcome3]="Win",BetTable[WBA3-Commission],IF(BetTable[Outcome3]="Win Half Stake",(BetTable[S3]/2)+BetTable[WBA3-Commission]/2,IF(BetTable[Outcome3]="Lose Half Stake",BetTable[S3]/2,IF(BetTable[Outcome3]="Lose",0,IF(BetTable[Outcome3]="Void",BetTable[S3],)))))</f>
        <v>0</v>
      </c>
      <c r="AI1457" s="168">
        <f>IF(BetTable[Outcome]="",AI1456,BetTable[Result]+AI1456)</f>
        <v>2638.4227499999997</v>
      </c>
      <c r="AJ1457" s="160"/>
    </row>
    <row r="1458" spans="1:36" x14ac:dyDescent="0.2">
      <c r="A1458" s="159" t="s">
        <v>3324</v>
      </c>
      <c r="B1458" s="160" t="s">
        <v>7</v>
      </c>
      <c r="C1458" s="161" t="s">
        <v>1714</v>
      </c>
      <c r="D1458" s="161"/>
      <c r="E1458" s="161"/>
      <c r="F1458" s="162"/>
      <c r="G1458" s="162"/>
      <c r="H1458" s="162"/>
      <c r="I1458" s="160" t="s">
        <v>3475</v>
      </c>
      <c r="J1458" s="163">
        <v>1.9</v>
      </c>
      <c r="K1458" s="163"/>
      <c r="L1458" s="163"/>
      <c r="M1458" s="164">
        <v>51</v>
      </c>
      <c r="N1458" s="164"/>
      <c r="O1458" s="164"/>
      <c r="P1458" s="159" t="s">
        <v>3476</v>
      </c>
      <c r="Q1458" s="159" t="s">
        <v>466</v>
      </c>
      <c r="R1458" s="159" t="s">
        <v>3477</v>
      </c>
      <c r="S1458" s="165">
        <v>5.3926439050432803E-2</v>
      </c>
      <c r="T1458" s="166" t="s">
        <v>372</v>
      </c>
      <c r="U1458" s="166"/>
      <c r="V1458" s="166"/>
      <c r="W1458" s="167">
        <f>IF(BetTable[Sport]="","",BetTable[Stake]+BetTable[S2]+BetTable[S3])</f>
        <v>51</v>
      </c>
      <c r="X1458" s="164">
        <f>IF(BetTable[Odds]="","",(BetTable[WBA1-Commission])-BetTable[TS])</f>
        <v>45.900000000000006</v>
      </c>
      <c r="Y1458" s="168">
        <f>IF(BetTable[Outcome]="","",BetTable[WBA1]+BetTable[WBA2]+BetTable[WBA3]-BetTable[TS])</f>
        <v>45.900000000000006</v>
      </c>
      <c r="Z1458" s="164">
        <f>(((BetTable[Odds]-1)*BetTable[Stake])*(1-(BetTable[Comm %]))+BetTable[Stake])</f>
        <v>96.9</v>
      </c>
      <c r="AA1458" s="164">
        <f>(((BetTable[O2]-1)*BetTable[S2])*(1-(BetTable[C% 2]))+BetTable[S2])</f>
        <v>0</v>
      </c>
      <c r="AB1458" s="164">
        <f>(((BetTable[O3]-1)*BetTable[S3])*(1-(BetTable[C% 3]))+BetTable[S3])</f>
        <v>0</v>
      </c>
      <c r="AC1458" s="165">
        <f>IFERROR(IF(BetTable[Sport]="","",BetTable[R1]/BetTable[TS]),"")</f>
        <v>0.90000000000000013</v>
      </c>
      <c r="AD1458" s="165" t="str">
        <f>IF(BetTable[O2]="","",#REF!/BetTable[TS])</f>
        <v/>
      </c>
      <c r="AE1458" s="165" t="str">
        <f>IFERROR(IF(BetTable[Sport]="","",#REF!/BetTable[TS]),"")</f>
        <v/>
      </c>
      <c r="AF1458" s="164">
        <f>IF(BetTable[Outcome]="Win",BetTable[WBA1-Commission],IF(BetTable[Outcome]="Win Half Stake",(BetTable[Stake]/2)+BetTable[WBA1-Commission]/2,IF(BetTable[Outcome]="Lose Half Stake",BetTable[Stake]/2,IF(BetTable[Outcome]="Lose",0,IF(BetTable[Outcome]="Void",BetTable[Stake],)))))</f>
        <v>96.9</v>
      </c>
      <c r="AG1458" s="164">
        <f>IF(BetTable[Outcome2]="Win",BetTable[WBA2-Commission],IF(BetTable[Outcome2]="Win Half Stake",(BetTable[S2]/2)+BetTable[WBA2-Commission]/2,IF(BetTable[Outcome2]="Lose Half Stake",BetTable[S2]/2,IF(BetTable[Outcome2]="Lose",0,IF(BetTable[Outcome2]="Void",BetTable[S2],)))))</f>
        <v>0</v>
      </c>
      <c r="AH1458" s="164">
        <f>IF(BetTable[Outcome3]="Win",BetTable[WBA3-Commission],IF(BetTable[Outcome3]="Win Half Stake",(BetTable[S3]/2)+BetTable[WBA3-Commission]/2,IF(BetTable[Outcome3]="Lose Half Stake",BetTable[S3]/2,IF(BetTable[Outcome3]="Lose",0,IF(BetTable[Outcome3]="Void",BetTable[S3],)))))</f>
        <v>0</v>
      </c>
      <c r="AI1458" s="168">
        <f>IF(BetTable[Outcome]="",AI1457,BetTable[Result]+AI1457)</f>
        <v>2684.3227499999998</v>
      </c>
      <c r="AJ1458" s="160"/>
    </row>
    <row r="1459" spans="1:36" x14ac:dyDescent="0.2">
      <c r="A1459" s="159" t="s">
        <v>3324</v>
      </c>
      <c r="B1459" s="160" t="s">
        <v>7</v>
      </c>
      <c r="C1459" s="161" t="s">
        <v>1714</v>
      </c>
      <c r="D1459" s="161"/>
      <c r="E1459" s="161"/>
      <c r="F1459" s="162"/>
      <c r="G1459" s="162"/>
      <c r="H1459" s="162"/>
      <c r="I1459" s="160" t="s">
        <v>3478</v>
      </c>
      <c r="J1459" s="163">
        <v>1.86</v>
      </c>
      <c r="K1459" s="163"/>
      <c r="L1459" s="163"/>
      <c r="M1459" s="164">
        <v>57</v>
      </c>
      <c r="N1459" s="164"/>
      <c r="O1459" s="164"/>
      <c r="P1459" s="159" t="s">
        <v>1872</v>
      </c>
      <c r="Q1459" s="159" t="s">
        <v>530</v>
      </c>
      <c r="R1459" s="159" t="s">
        <v>3479</v>
      </c>
      <c r="S1459" s="165">
        <v>3.1697406956838099E-2</v>
      </c>
      <c r="T1459" s="166" t="s">
        <v>382</v>
      </c>
      <c r="U1459" s="166"/>
      <c r="V1459" s="166"/>
      <c r="W1459" s="167">
        <f>IF(BetTable[Sport]="","",BetTable[Stake]+BetTable[S2]+BetTable[S3])</f>
        <v>57</v>
      </c>
      <c r="X1459" s="164">
        <f>IF(BetTable[Odds]="","",(BetTable[WBA1-Commission])-BetTable[TS])</f>
        <v>49.02000000000001</v>
      </c>
      <c r="Y1459" s="168">
        <f>IF(BetTable[Outcome]="","",BetTable[WBA1]+BetTable[WBA2]+BetTable[WBA3]-BetTable[TS])</f>
        <v>-57</v>
      </c>
      <c r="Z1459" s="164">
        <f>(((BetTable[Odds]-1)*BetTable[Stake])*(1-(BetTable[Comm %]))+BetTable[Stake])</f>
        <v>106.02000000000001</v>
      </c>
      <c r="AA1459" s="164">
        <f>(((BetTable[O2]-1)*BetTable[S2])*(1-(BetTable[C% 2]))+BetTable[S2])</f>
        <v>0</v>
      </c>
      <c r="AB1459" s="164">
        <f>(((BetTable[O3]-1)*BetTable[S3])*(1-(BetTable[C% 3]))+BetTable[S3])</f>
        <v>0</v>
      </c>
      <c r="AC1459" s="165">
        <f>IFERROR(IF(BetTable[Sport]="","",BetTable[R1]/BetTable[TS]),"")</f>
        <v>0.86000000000000021</v>
      </c>
      <c r="AD1459" s="165" t="str">
        <f>IF(BetTable[O2]="","",#REF!/BetTable[TS])</f>
        <v/>
      </c>
      <c r="AE1459" s="165" t="str">
        <f>IFERROR(IF(BetTable[Sport]="","",#REF!/BetTable[TS]),"")</f>
        <v/>
      </c>
      <c r="AF1459" s="164">
        <f>IF(BetTable[Outcome]="Win",BetTable[WBA1-Commission],IF(BetTable[Outcome]="Win Half Stake",(BetTable[Stake]/2)+BetTable[WBA1-Commission]/2,IF(BetTable[Outcome]="Lose Half Stake",BetTable[Stake]/2,IF(BetTable[Outcome]="Lose",0,IF(BetTable[Outcome]="Void",BetTable[Stake],)))))</f>
        <v>0</v>
      </c>
      <c r="AG1459" s="164">
        <f>IF(BetTable[Outcome2]="Win",BetTable[WBA2-Commission],IF(BetTable[Outcome2]="Win Half Stake",(BetTable[S2]/2)+BetTable[WBA2-Commission]/2,IF(BetTable[Outcome2]="Lose Half Stake",BetTable[S2]/2,IF(BetTable[Outcome2]="Lose",0,IF(BetTable[Outcome2]="Void",BetTable[S2],)))))</f>
        <v>0</v>
      </c>
      <c r="AH1459" s="164">
        <f>IF(BetTable[Outcome3]="Win",BetTable[WBA3-Commission],IF(BetTable[Outcome3]="Win Half Stake",(BetTable[S3]/2)+BetTable[WBA3-Commission]/2,IF(BetTable[Outcome3]="Lose Half Stake",BetTable[S3]/2,IF(BetTable[Outcome3]="Lose",0,IF(BetTable[Outcome3]="Void",BetTable[S3],)))))</f>
        <v>0</v>
      </c>
      <c r="AI1459" s="168">
        <f>IF(BetTable[Outcome]="",AI1458,BetTable[Result]+AI1458)</f>
        <v>2627.3227499999998</v>
      </c>
      <c r="AJ1459" s="160"/>
    </row>
    <row r="1460" spans="1:36" x14ac:dyDescent="0.2">
      <c r="A1460" s="159" t="s">
        <v>3324</v>
      </c>
      <c r="B1460" s="160" t="s">
        <v>7</v>
      </c>
      <c r="C1460" s="161" t="s">
        <v>1714</v>
      </c>
      <c r="D1460" s="161"/>
      <c r="E1460" s="161"/>
      <c r="F1460" s="162"/>
      <c r="G1460" s="162"/>
      <c r="H1460" s="162"/>
      <c r="I1460" s="160" t="s">
        <v>3480</v>
      </c>
      <c r="J1460" s="163">
        <v>1.98</v>
      </c>
      <c r="K1460" s="163"/>
      <c r="L1460" s="163"/>
      <c r="M1460" s="164">
        <v>47</v>
      </c>
      <c r="N1460" s="164"/>
      <c r="O1460" s="164"/>
      <c r="P1460" s="159" t="s">
        <v>3481</v>
      </c>
      <c r="Q1460" s="159" t="s">
        <v>458</v>
      </c>
      <c r="R1460" s="159" t="s">
        <v>3482</v>
      </c>
      <c r="S1460" s="165">
        <v>2.35546353815087E-2</v>
      </c>
      <c r="T1460" s="166" t="s">
        <v>382</v>
      </c>
      <c r="U1460" s="166"/>
      <c r="V1460" s="166"/>
      <c r="W1460" s="167">
        <f>IF(BetTable[Sport]="","",BetTable[Stake]+BetTable[S2]+BetTable[S3])</f>
        <v>47</v>
      </c>
      <c r="X1460" s="164">
        <f>IF(BetTable[Odds]="","",(BetTable[WBA1-Commission])-BetTable[TS])</f>
        <v>46.06</v>
      </c>
      <c r="Y1460" s="168">
        <f>IF(BetTable[Outcome]="","",BetTable[WBA1]+BetTable[WBA2]+BetTable[WBA3]-BetTable[TS])</f>
        <v>-47</v>
      </c>
      <c r="Z1460" s="164">
        <f>(((BetTable[Odds]-1)*BetTable[Stake])*(1-(BetTable[Comm %]))+BetTable[Stake])</f>
        <v>93.06</v>
      </c>
      <c r="AA1460" s="164">
        <f>(((BetTable[O2]-1)*BetTable[S2])*(1-(BetTable[C% 2]))+BetTable[S2])</f>
        <v>0</v>
      </c>
      <c r="AB1460" s="164">
        <f>(((BetTable[O3]-1)*BetTable[S3])*(1-(BetTable[C% 3]))+BetTable[S3])</f>
        <v>0</v>
      </c>
      <c r="AC1460" s="165">
        <f>IFERROR(IF(BetTable[Sport]="","",BetTable[R1]/BetTable[TS]),"")</f>
        <v>0.98000000000000009</v>
      </c>
      <c r="AD1460" s="165" t="str">
        <f>IF(BetTable[O2]="","",#REF!/BetTable[TS])</f>
        <v/>
      </c>
      <c r="AE1460" s="165" t="str">
        <f>IFERROR(IF(BetTable[Sport]="","",#REF!/BetTable[TS]),"")</f>
        <v/>
      </c>
      <c r="AF1460" s="164">
        <f>IF(BetTable[Outcome]="Win",BetTable[WBA1-Commission],IF(BetTable[Outcome]="Win Half Stake",(BetTable[Stake]/2)+BetTable[WBA1-Commission]/2,IF(BetTable[Outcome]="Lose Half Stake",BetTable[Stake]/2,IF(BetTable[Outcome]="Lose",0,IF(BetTable[Outcome]="Void",BetTable[Stake],)))))</f>
        <v>0</v>
      </c>
      <c r="AG1460" s="164">
        <f>IF(BetTable[Outcome2]="Win",BetTable[WBA2-Commission],IF(BetTable[Outcome2]="Win Half Stake",(BetTable[S2]/2)+BetTable[WBA2-Commission]/2,IF(BetTable[Outcome2]="Lose Half Stake",BetTable[S2]/2,IF(BetTable[Outcome2]="Lose",0,IF(BetTable[Outcome2]="Void",BetTable[S2],)))))</f>
        <v>0</v>
      </c>
      <c r="AH1460" s="164">
        <f>IF(BetTable[Outcome3]="Win",BetTable[WBA3-Commission],IF(BetTable[Outcome3]="Win Half Stake",(BetTable[S3]/2)+BetTable[WBA3-Commission]/2,IF(BetTable[Outcome3]="Lose Half Stake",BetTable[S3]/2,IF(BetTable[Outcome3]="Lose",0,IF(BetTable[Outcome3]="Void",BetTable[S3],)))))</f>
        <v>0</v>
      </c>
      <c r="AI1460" s="168">
        <f>IF(BetTable[Outcome]="",AI1459,BetTable[Result]+AI1459)</f>
        <v>2580.3227499999998</v>
      </c>
      <c r="AJ1460" s="160"/>
    </row>
    <row r="1461" spans="1:36" x14ac:dyDescent="0.2">
      <c r="A1461" s="159" t="s">
        <v>3324</v>
      </c>
      <c r="B1461" s="160" t="s">
        <v>7</v>
      </c>
      <c r="C1461" s="161" t="s">
        <v>1714</v>
      </c>
      <c r="D1461" s="161"/>
      <c r="E1461" s="161"/>
      <c r="F1461" s="162"/>
      <c r="G1461" s="162"/>
      <c r="H1461" s="162"/>
      <c r="I1461" s="160" t="s">
        <v>3458</v>
      </c>
      <c r="J1461" s="163">
        <v>2.25</v>
      </c>
      <c r="K1461" s="163"/>
      <c r="L1461" s="163"/>
      <c r="M1461" s="164">
        <v>30</v>
      </c>
      <c r="N1461" s="164"/>
      <c r="O1461" s="164"/>
      <c r="P1461" s="159" t="s">
        <v>3056</v>
      </c>
      <c r="Q1461" s="159" t="s">
        <v>506</v>
      </c>
      <c r="R1461" s="159" t="s">
        <v>3483</v>
      </c>
      <c r="S1461" s="165">
        <v>2.7878813523832102E-2</v>
      </c>
      <c r="T1461" s="166" t="s">
        <v>382</v>
      </c>
      <c r="U1461" s="166"/>
      <c r="V1461" s="166"/>
      <c r="W1461" s="167">
        <f>IF(BetTable[Sport]="","",BetTable[Stake]+BetTable[S2]+BetTable[S3])</f>
        <v>30</v>
      </c>
      <c r="X1461" s="164">
        <f>IF(BetTable[Odds]="","",(BetTable[WBA1-Commission])-BetTable[TS])</f>
        <v>37.5</v>
      </c>
      <c r="Y1461" s="168">
        <f>IF(BetTable[Outcome]="","",BetTable[WBA1]+BetTable[WBA2]+BetTable[WBA3]-BetTable[TS])</f>
        <v>-30</v>
      </c>
      <c r="Z1461" s="164">
        <f>(((BetTable[Odds]-1)*BetTable[Stake])*(1-(BetTable[Comm %]))+BetTable[Stake])</f>
        <v>67.5</v>
      </c>
      <c r="AA1461" s="164">
        <f>(((BetTable[O2]-1)*BetTable[S2])*(1-(BetTable[C% 2]))+BetTable[S2])</f>
        <v>0</v>
      </c>
      <c r="AB1461" s="164">
        <f>(((BetTable[O3]-1)*BetTable[S3])*(1-(BetTable[C% 3]))+BetTable[S3])</f>
        <v>0</v>
      </c>
      <c r="AC1461" s="165">
        <f>IFERROR(IF(BetTable[Sport]="","",BetTable[R1]/BetTable[TS]),"")</f>
        <v>1.25</v>
      </c>
      <c r="AD1461" s="165" t="str">
        <f>IF(BetTable[O2]="","",#REF!/BetTable[TS])</f>
        <v/>
      </c>
      <c r="AE1461" s="165" t="str">
        <f>IFERROR(IF(BetTable[Sport]="","",#REF!/BetTable[TS]),"")</f>
        <v/>
      </c>
      <c r="AF1461" s="164">
        <f>IF(BetTable[Outcome]="Win",BetTable[WBA1-Commission],IF(BetTable[Outcome]="Win Half Stake",(BetTable[Stake]/2)+BetTable[WBA1-Commission]/2,IF(BetTable[Outcome]="Lose Half Stake",BetTable[Stake]/2,IF(BetTable[Outcome]="Lose",0,IF(BetTable[Outcome]="Void",BetTable[Stake],)))))</f>
        <v>0</v>
      </c>
      <c r="AG1461" s="164">
        <f>IF(BetTable[Outcome2]="Win",BetTable[WBA2-Commission],IF(BetTable[Outcome2]="Win Half Stake",(BetTable[S2]/2)+BetTable[WBA2-Commission]/2,IF(BetTable[Outcome2]="Lose Half Stake",BetTable[S2]/2,IF(BetTable[Outcome2]="Lose",0,IF(BetTable[Outcome2]="Void",BetTable[S2],)))))</f>
        <v>0</v>
      </c>
      <c r="AH1461" s="164">
        <f>IF(BetTable[Outcome3]="Win",BetTable[WBA3-Commission],IF(BetTable[Outcome3]="Win Half Stake",(BetTable[S3]/2)+BetTable[WBA3-Commission]/2,IF(BetTable[Outcome3]="Lose Half Stake",BetTable[S3]/2,IF(BetTable[Outcome3]="Lose",0,IF(BetTable[Outcome3]="Void",BetTable[S3],)))))</f>
        <v>0</v>
      </c>
      <c r="AI1461" s="168">
        <f>IF(BetTable[Outcome]="",AI1460,BetTable[Result]+AI1460)</f>
        <v>2550.3227499999998</v>
      </c>
      <c r="AJ1461" s="160"/>
    </row>
    <row r="1462" spans="1:36" x14ac:dyDescent="0.2">
      <c r="A1462" s="159" t="s">
        <v>3324</v>
      </c>
      <c r="B1462" s="160" t="s">
        <v>7</v>
      </c>
      <c r="C1462" s="161" t="s">
        <v>1714</v>
      </c>
      <c r="D1462" s="161"/>
      <c r="E1462" s="161"/>
      <c r="F1462" s="162"/>
      <c r="G1462" s="162"/>
      <c r="H1462" s="162"/>
      <c r="I1462" s="160" t="s">
        <v>3462</v>
      </c>
      <c r="J1462" s="163">
        <v>1.9</v>
      </c>
      <c r="K1462" s="163"/>
      <c r="L1462" s="163"/>
      <c r="M1462" s="164">
        <v>20</v>
      </c>
      <c r="N1462" s="164"/>
      <c r="O1462" s="164"/>
      <c r="P1462" s="159" t="s">
        <v>2267</v>
      </c>
      <c r="Q1462" s="159" t="s">
        <v>1132</v>
      </c>
      <c r="R1462" s="159" t="s">
        <v>3484</v>
      </c>
      <c r="S1462" s="165">
        <v>2.69528110917839E-2</v>
      </c>
      <c r="T1462" s="166" t="s">
        <v>382</v>
      </c>
      <c r="U1462" s="166"/>
      <c r="V1462" s="166"/>
      <c r="W1462" s="167">
        <f>IF(BetTable[Sport]="","",BetTable[Stake]+BetTable[S2]+BetTable[S3])</f>
        <v>20</v>
      </c>
      <c r="X1462" s="164">
        <f>IF(BetTable[Odds]="","",(BetTable[WBA1-Commission])-BetTable[TS])</f>
        <v>18</v>
      </c>
      <c r="Y1462" s="168">
        <f>IF(BetTable[Outcome]="","",BetTable[WBA1]+BetTable[WBA2]+BetTable[WBA3]-BetTable[TS])</f>
        <v>-20</v>
      </c>
      <c r="Z1462" s="164">
        <f>(((BetTable[Odds]-1)*BetTable[Stake])*(1-(BetTable[Comm %]))+BetTable[Stake])</f>
        <v>38</v>
      </c>
      <c r="AA1462" s="164">
        <f>(((BetTable[O2]-1)*BetTable[S2])*(1-(BetTable[C% 2]))+BetTable[S2])</f>
        <v>0</v>
      </c>
      <c r="AB1462" s="164">
        <f>(((BetTable[O3]-1)*BetTable[S3])*(1-(BetTable[C% 3]))+BetTable[S3])</f>
        <v>0</v>
      </c>
      <c r="AC1462" s="165">
        <f>IFERROR(IF(BetTable[Sport]="","",BetTable[R1]/BetTable[TS]),"")</f>
        <v>0.9</v>
      </c>
      <c r="AD1462" s="165" t="str">
        <f>IF(BetTable[O2]="","",#REF!/BetTable[TS])</f>
        <v/>
      </c>
      <c r="AE1462" s="165" t="str">
        <f>IFERROR(IF(BetTable[Sport]="","",#REF!/BetTable[TS]),"")</f>
        <v/>
      </c>
      <c r="AF1462" s="164">
        <f>IF(BetTable[Outcome]="Win",BetTable[WBA1-Commission],IF(BetTable[Outcome]="Win Half Stake",(BetTable[Stake]/2)+BetTable[WBA1-Commission]/2,IF(BetTable[Outcome]="Lose Half Stake",BetTable[Stake]/2,IF(BetTable[Outcome]="Lose",0,IF(BetTable[Outcome]="Void",BetTable[Stake],)))))</f>
        <v>0</v>
      </c>
      <c r="AG1462" s="164">
        <f>IF(BetTable[Outcome2]="Win",BetTable[WBA2-Commission],IF(BetTable[Outcome2]="Win Half Stake",(BetTable[S2]/2)+BetTable[WBA2-Commission]/2,IF(BetTable[Outcome2]="Lose Half Stake",BetTable[S2]/2,IF(BetTable[Outcome2]="Lose",0,IF(BetTable[Outcome2]="Void",BetTable[S2],)))))</f>
        <v>0</v>
      </c>
      <c r="AH1462" s="164">
        <f>IF(BetTable[Outcome3]="Win",BetTable[WBA3-Commission],IF(BetTable[Outcome3]="Win Half Stake",(BetTable[S3]/2)+BetTable[WBA3-Commission]/2,IF(BetTable[Outcome3]="Lose Half Stake",BetTable[S3]/2,IF(BetTable[Outcome3]="Lose",0,IF(BetTable[Outcome3]="Void",BetTable[S3],)))))</f>
        <v>0</v>
      </c>
      <c r="AI1462" s="168">
        <f>IF(BetTable[Outcome]="",AI1461,BetTable[Result]+AI1461)</f>
        <v>2530.3227499999998</v>
      </c>
      <c r="AJ1462" s="160"/>
    </row>
    <row r="1463" spans="1:36" x14ac:dyDescent="0.2">
      <c r="A1463" s="159" t="s">
        <v>3324</v>
      </c>
      <c r="B1463" s="160" t="s">
        <v>7</v>
      </c>
      <c r="C1463" s="161" t="s">
        <v>1714</v>
      </c>
      <c r="D1463" s="161"/>
      <c r="E1463" s="161"/>
      <c r="F1463" s="162"/>
      <c r="G1463" s="162"/>
      <c r="H1463" s="162"/>
      <c r="I1463" s="160" t="s">
        <v>3315</v>
      </c>
      <c r="J1463" s="163">
        <v>1.92</v>
      </c>
      <c r="K1463" s="163"/>
      <c r="L1463" s="163"/>
      <c r="M1463" s="164">
        <v>43</v>
      </c>
      <c r="N1463" s="164"/>
      <c r="O1463" s="164"/>
      <c r="P1463" s="159" t="s">
        <v>3485</v>
      </c>
      <c r="Q1463" s="159" t="s">
        <v>547</v>
      </c>
      <c r="R1463" s="159" t="s">
        <v>3486</v>
      </c>
      <c r="S1463" s="165">
        <v>2.0426929392446599E-2</v>
      </c>
      <c r="T1463" s="166" t="s">
        <v>383</v>
      </c>
      <c r="U1463" s="166"/>
      <c r="V1463" s="166"/>
      <c r="W1463" s="167">
        <f>IF(BetTable[Sport]="","",BetTable[Stake]+BetTable[S2]+BetTable[S3])</f>
        <v>43</v>
      </c>
      <c r="X1463" s="164">
        <f>IF(BetTable[Odds]="","",(BetTable[WBA1-Commission])-BetTable[TS])</f>
        <v>39.56</v>
      </c>
      <c r="Y1463" s="168">
        <f>IF(BetTable[Outcome]="","",BetTable[WBA1]+BetTable[WBA2]+BetTable[WBA3]-BetTable[TS])</f>
        <v>0</v>
      </c>
      <c r="Z1463" s="164">
        <f>(((BetTable[Odds]-1)*BetTable[Stake])*(1-(BetTable[Comm %]))+BetTable[Stake])</f>
        <v>82.56</v>
      </c>
      <c r="AA1463" s="164">
        <f>(((BetTable[O2]-1)*BetTable[S2])*(1-(BetTable[C% 2]))+BetTable[S2])</f>
        <v>0</v>
      </c>
      <c r="AB1463" s="164">
        <f>(((BetTable[O3]-1)*BetTable[S3])*(1-(BetTable[C% 3]))+BetTable[S3])</f>
        <v>0</v>
      </c>
      <c r="AC1463" s="165">
        <f>IFERROR(IF(BetTable[Sport]="","",BetTable[R1]/BetTable[TS]),"")</f>
        <v>0.92</v>
      </c>
      <c r="AD1463" s="165" t="str">
        <f>IF(BetTable[O2]="","",#REF!/BetTable[TS])</f>
        <v/>
      </c>
      <c r="AE1463" s="165" t="str">
        <f>IFERROR(IF(BetTable[Sport]="","",#REF!/BetTable[TS]),"")</f>
        <v/>
      </c>
      <c r="AF1463" s="164">
        <f>IF(BetTable[Outcome]="Win",BetTable[WBA1-Commission],IF(BetTable[Outcome]="Win Half Stake",(BetTable[Stake]/2)+BetTable[WBA1-Commission]/2,IF(BetTable[Outcome]="Lose Half Stake",BetTable[Stake]/2,IF(BetTable[Outcome]="Lose",0,IF(BetTable[Outcome]="Void",BetTable[Stake],)))))</f>
        <v>43</v>
      </c>
      <c r="AG1463" s="164">
        <f>IF(BetTable[Outcome2]="Win",BetTable[WBA2-Commission],IF(BetTable[Outcome2]="Win Half Stake",(BetTable[S2]/2)+BetTable[WBA2-Commission]/2,IF(BetTable[Outcome2]="Lose Half Stake",BetTable[S2]/2,IF(BetTable[Outcome2]="Lose",0,IF(BetTable[Outcome2]="Void",BetTable[S2],)))))</f>
        <v>0</v>
      </c>
      <c r="AH1463" s="164">
        <f>IF(BetTable[Outcome3]="Win",BetTable[WBA3-Commission],IF(BetTable[Outcome3]="Win Half Stake",(BetTable[S3]/2)+BetTable[WBA3-Commission]/2,IF(BetTable[Outcome3]="Lose Half Stake",BetTable[S3]/2,IF(BetTable[Outcome3]="Lose",0,IF(BetTable[Outcome3]="Void",BetTable[S3],)))))</f>
        <v>0</v>
      </c>
      <c r="AI1463" s="168">
        <f>IF(BetTable[Outcome]="",AI1462,BetTable[Result]+AI1462)</f>
        <v>2530.3227499999998</v>
      </c>
      <c r="AJ1463" s="160"/>
    </row>
    <row r="1464" spans="1:36" x14ac:dyDescent="0.2">
      <c r="A1464" s="159" t="s">
        <v>3324</v>
      </c>
      <c r="B1464" s="160" t="s">
        <v>200</v>
      </c>
      <c r="C1464" s="161" t="s">
        <v>1714</v>
      </c>
      <c r="D1464" s="161"/>
      <c r="E1464" s="161"/>
      <c r="F1464" s="162"/>
      <c r="G1464" s="162"/>
      <c r="H1464" s="162"/>
      <c r="I1464" s="160" t="s">
        <v>3487</v>
      </c>
      <c r="J1464" s="163">
        <v>1.35</v>
      </c>
      <c r="K1464" s="163"/>
      <c r="L1464" s="163"/>
      <c r="M1464" s="164">
        <v>96</v>
      </c>
      <c r="N1464" s="164"/>
      <c r="O1464" s="164"/>
      <c r="P1464" s="159" t="s">
        <v>435</v>
      </c>
      <c r="Q1464" s="159" t="s">
        <v>485</v>
      </c>
      <c r="R1464" s="159" t="s">
        <v>3488</v>
      </c>
      <c r="S1464" s="165">
        <v>2.91720641077075E-2</v>
      </c>
      <c r="T1464" s="166" t="s">
        <v>382</v>
      </c>
      <c r="U1464" s="166"/>
      <c r="V1464" s="166"/>
      <c r="W1464" s="167">
        <f>IF(BetTable[Sport]="","",BetTable[Stake]+BetTable[S2]+BetTable[S3])</f>
        <v>96</v>
      </c>
      <c r="X1464" s="164">
        <f>IF(BetTable[Odds]="","",(BetTable[WBA1-Commission])-BetTable[TS])</f>
        <v>33.600000000000023</v>
      </c>
      <c r="Y1464" s="168">
        <f>IF(BetTable[Outcome]="","",BetTable[WBA1]+BetTable[WBA2]+BetTable[WBA3]-BetTable[TS])</f>
        <v>-96</v>
      </c>
      <c r="Z1464" s="164">
        <f>(((BetTable[Odds]-1)*BetTable[Stake])*(1-(BetTable[Comm %]))+BetTable[Stake])</f>
        <v>129.60000000000002</v>
      </c>
      <c r="AA1464" s="164">
        <f>(((BetTable[O2]-1)*BetTable[S2])*(1-(BetTable[C% 2]))+BetTable[S2])</f>
        <v>0</v>
      </c>
      <c r="AB1464" s="164">
        <f>(((BetTable[O3]-1)*BetTable[S3])*(1-(BetTable[C% 3]))+BetTable[S3])</f>
        <v>0</v>
      </c>
      <c r="AC1464" s="165">
        <f>IFERROR(IF(BetTable[Sport]="","",BetTable[R1]/BetTable[TS]),"")</f>
        <v>0.35000000000000026</v>
      </c>
      <c r="AD1464" s="165" t="str">
        <f>IF(BetTable[O2]="","",#REF!/BetTable[TS])</f>
        <v/>
      </c>
      <c r="AE1464" s="165" t="str">
        <f>IFERROR(IF(BetTable[Sport]="","",#REF!/BetTable[TS]),"")</f>
        <v/>
      </c>
      <c r="AF1464" s="164">
        <f>IF(BetTable[Outcome]="Win",BetTable[WBA1-Commission],IF(BetTable[Outcome]="Win Half Stake",(BetTable[Stake]/2)+BetTable[WBA1-Commission]/2,IF(BetTable[Outcome]="Lose Half Stake",BetTable[Stake]/2,IF(BetTable[Outcome]="Lose",0,IF(BetTable[Outcome]="Void",BetTable[Stake],)))))</f>
        <v>0</v>
      </c>
      <c r="AG1464" s="164">
        <f>IF(BetTable[Outcome2]="Win",BetTable[WBA2-Commission],IF(BetTable[Outcome2]="Win Half Stake",(BetTable[S2]/2)+BetTable[WBA2-Commission]/2,IF(BetTable[Outcome2]="Lose Half Stake",BetTable[S2]/2,IF(BetTable[Outcome2]="Lose",0,IF(BetTable[Outcome2]="Void",BetTable[S2],)))))</f>
        <v>0</v>
      </c>
      <c r="AH1464" s="164">
        <f>IF(BetTable[Outcome3]="Win",BetTable[WBA3-Commission],IF(BetTable[Outcome3]="Win Half Stake",(BetTable[S3]/2)+BetTable[WBA3-Commission]/2,IF(BetTable[Outcome3]="Lose Half Stake",BetTable[S3]/2,IF(BetTable[Outcome3]="Lose",0,IF(BetTable[Outcome3]="Void",BetTable[S3],)))))</f>
        <v>0</v>
      </c>
      <c r="AI1464" s="168">
        <f>IF(BetTable[Outcome]="",AI1463,BetTable[Result]+AI1463)</f>
        <v>2434.3227499999998</v>
      </c>
      <c r="AJ1464" s="160"/>
    </row>
    <row r="1465" spans="1:36" x14ac:dyDescent="0.2">
      <c r="A1465" s="159" t="s">
        <v>3324</v>
      </c>
      <c r="B1465" s="160" t="s">
        <v>7</v>
      </c>
      <c r="C1465" s="161" t="s">
        <v>1714</v>
      </c>
      <c r="D1465" s="161"/>
      <c r="E1465" s="161"/>
      <c r="F1465" s="162"/>
      <c r="G1465" s="162"/>
      <c r="H1465" s="162"/>
      <c r="I1465" s="160" t="s">
        <v>3472</v>
      </c>
      <c r="J1465" s="163">
        <v>1.87</v>
      </c>
      <c r="K1465" s="163"/>
      <c r="L1465" s="163"/>
      <c r="M1465" s="164">
        <v>57</v>
      </c>
      <c r="N1465" s="164"/>
      <c r="O1465" s="164"/>
      <c r="P1465" s="159" t="s">
        <v>3489</v>
      </c>
      <c r="Q1465" s="159" t="s">
        <v>569</v>
      </c>
      <c r="R1465" s="159" t="s">
        <v>3490</v>
      </c>
      <c r="S1465" s="165">
        <v>2.4199992124811401E-2</v>
      </c>
      <c r="T1465" s="166" t="s">
        <v>382</v>
      </c>
      <c r="U1465" s="166"/>
      <c r="V1465" s="166"/>
      <c r="W1465" s="167">
        <f>IF(BetTable[Sport]="","",BetTable[Stake]+BetTable[S2]+BetTable[S3])</f>
        <v>57</v>
      </c>
      <c r="X1465" s="164">
        <f>IF(BetTable[Odds]="","",(BetTable[WBA1-Commission])-BetTable[TS])</f>
        <v>49.59</v>
      </c>
      <c r="Y1465" s="168">
        <f>IF(BetTable[Outcome]="","",BetTable[WBA1]+BetTable[WBA2]+BetTable[WBA3]-BetTable[TS])</f>
        <v>-57</v>
      </c>
      <c r="Z1465" s="164">
        <f>(((BetTable[Odds]-1)*BetTable[Stake])*(1-(BetTable[Comm %]))+BetTable[Stake])</f>
        <v>106.59</v>
      </c>
      <c r="AA1465" s="164">
        <f>(((BetTable[O2]-1)*BetTable[S2])*(1-(BetTable[C% 2]))+BetTable[S2])</f>
        <v>0</v>
      </c>
      <c r="AB1465" s="164">
        <f>(((BetTable[O3]-1)*BetTable[S3])*(1-(BetTable[C% 3]))+BetTable[S3])</f>
        <v>0</v>
      </c>
      <c r="AC1465" s="165">
        <f>IFERROR(IF(BetTable[Sport]="","",BetTable[R1]/BetTable[TS]),"")</f>
        <v>0.87000000000000011</v>
      </c>
      <c r="AD1465" s="165" t="str">
        <f>IF(BetTable[O2]="","",#REF!/BetTable[TS])</f>
        <v/>
      </c>
      <c r="AE1465" s="165" t="str">
        <f>IFERROR(IF(BetTable[Sport]="","",#REF!/BetTable[TS]),"")</f>
        <v/>
      </c>
      <c r="AF1465" s="164">
        <f>IF(BetTable[Outcome]="Win",BetTable[WBA1-Commission],IF(BetTable[Outcome]="Win Half Stake",(BetTable[Stake]/2)+BetTable[WBA1-Commission]/2,IF(BetTable[Outcome]="Lose Half Stake",BetTable[Stake]/2,IF(BetTable[Outcome]="Lose",0,IF(BetTable[Outcome]="Void",BetTable[Stake],)))))</f>
        <v>0</v>
      </c>
      <c r="AG1465" s="164">
        <f>IF(BetTable[Outcome2]="Win",BetTable[WBA2-Commission],IF(BetTable[Outcome2]="Win Half Stake",(BetTable[S2]/2)+BetTable[WBA2-Commission]/2,IF(BetTable[Outcome2]="Lose Half Stake",BetTable[S2]/2,IF(BetTable[Outcome2]="Lose",0,IF(BetTable[Outcome2]="Void",BetTable[S2],)))))</f>
        <v>0</v>
      </c>
      <c r="AH1465" s="164">
        <f>IF(BetTable[Outcome3]="Win",BetTable[WBA3-Commission],IF(BetTable[Outcome3]="Win Half Stake",(BetTable[S3]/2)+BetTable[WBA3-Commission]/2,IF(BetTable[Outcome3]="Lose Half Stake",BetTable[S3]/2,IF(BetTable[Outcome3]="Lose",0,IF(BetTable[Outcome3]="Void",BetTable[S3],)))))</f>
        <v>0</v>
      </c>
      <c r="AI1465" s="168">
        <f>IF(BetTable[Outcome]="",AI1464,BetTable[Result]+AI1464)</f>
        <v>2377.3227499999998</v>
      </c>
      <c r="AJ1465" s="160"/>
    </row>
    <row r="1466" spans="1:36" x14ac:dyDescent="0.2">
      <c r="A1466" s="159" t="s">
        <v>3324</v>
      </c>
      <c r="B1466" s="160" t="s">
        <v>200</v>
      </c>
      <c r="C1466" s="161" t="s">
        <v>1714</v>
      </c>
      <c r="D1466" s="161"/>
      <c r="E1466" s="161"/>
      <c r="F1466" s="162"/>
      <c r="G1466" s="162"/>
      <c r="H1466" s="162"/>
      <c r="I1466" s="160" t="s">
        <v>3491</v>
      </c>
      <c r="J1466" s="163">
        <v>2.0099999999999998</v>
      </c>
      <c r="K1466" s="163"/>
      <c r="L1466" s="163"/>
      <c r="M1466" s="164">
        <v>41</v>
      </c>
      <c r="N1466" s="164"/>
      <c r="O1466" s="164"/>
      <c r="P1466" s="159" t="s">
        <v>360</v>
      </c>
      <c r="Q1466" s="159" t="s">
        <v>530</v>
      </c>
      <c r="R1466" s="159" t="s">
        <v>3492</v>
      </c>
      <c r="S1466" s="165">
        <v>2.1032894394952401E-2</v>
      </c>
      <c r="T1466" s="166" t="s">
        <v>372</v>
      </c>
      <c r="U1466" s="166"/>
      <c r="V1466" s="166"/>
      <c r="W1466" s="167">
        <f>IF(BetTable[Sport]="","",BetTable[Stake]+BetTable[S2]+BetTable[S3])</f>
        <v>41</v>
      </c>
      <c r="X1466" s="164">
        <f>IF(BetTable[Odds]="","",(BetTable[WBA1-Commission])-BetTable[TS])</f>
        <v>41.41</v>
      </c>
      <c r="Y1466" s="168">
        <f>IF(BetTable[Outcome]="","",BetTable[WBA1]+BetTable[WBA2]+BetTable[WBA3]-BetTable[TS])</f>
        <v>41.41</v>
      </c>
      <c r="Z1466" s="164">
        <f>(((BetTable[Odds]-1)*BetTable[Stake])*(1-(BetTable[Comm %]))+BetTable[Stake])</f>
        <v>82.41</v>
      </c>
      <c r="AA1466" s="164">
        <f>(((BetTable[O2]-1)*BetTable[S2])*(1-(BetTable[C% 2]))+BetTable[S2])</f>
        <v>0</v>
      </c>
      <c r="AB1466" s="164">
        <f>(((BetTable[O3]-1)*BetTable[S3])*(1-(BetTable[C% 3]))+BetTable[S3])</f>
        <v>0</v>
      </c>
      <c r="AC1466" s="165">
        <f>IFERROR(IF(BetTable[Sport]="","",BetTable[R1]/BetTable[TS]),"")</f>
        <v>1.01</v>
      </c>
      <c r="AD1466" s="165" t="str">
        <f>IF(BetTable[O2]="","",#REF!/BetTable[TS])</f>
        <v/>
      </c>
      <c r="AE1466" s="165" t="str">
        <f>IFERROR(IF(BetTable[Sport]="","",#REF!/BetTable[TS]),"")</f>
        <v/>
      </c>
      <c r="AF1466" s="164">
        <f>IF(BetTable[Outcome]="Win",BetTable[WBA1-Commission],IF(BetTable[Outcome]="Win Half Stake",(BetTable[Stake]/2)+BetTable[WBA1-Commission]/2,IF(BetTable[Outcome]="Lose Half Stake",BetTable[Stake]/2,IF(BetTable[Outcome]="Lose",0,IF(BetTable[Outcome]="Void",BetTable[Stake],)))))</f>
        <v>82.41</v>
      </c>
      <c r="AG1466" s="164">
        <f>IF(BetTable[Outcome2]="Win",BetTable[WBA2-Commission],IF(BetTable[Outcome2]="Win Half Stake",(BetTable[S2]/2)+BetTable[WBA2-Commission]/2,IF(BetTable[Outcome2]="Lose Half Stake",BetTable[S2]/2,IF(BetTable[Outcome2]="Lose",0,IF(BetTable[Outcome2]="Void",BetTable[S2],)))))</f>
        <v>0</v>
      </c>
      <c r="AH1466" s="164">
        <f>IF(BetTable[Outcome3]="Win",BetTable[WBA3-Commission],IF(BetTable[Outcome3]="Win Half Stake",(BetTable[S3]/2)+BetTable[WBA3-Commission]/2,IF(BetTable[Outcome3]="Lose Half Stake",BetTable[S3]/2,IF(BetTable[Outcome3]="Lose",0,IF(BetTable[Outcome3]="Void",BetTable[S3],)))))</f>
        <v>0</v>
      </c>
      <c r="AI1466" s="168">
        <f>IF(BetTable[Outcome]="",AI1465,BetTable[Result]+AI1465)</f>
        <v>2418.7327499999997</v>
      </c>
      <c r="AJ1466" s="160"/>
    </row>
    <row r="1467" spans="1:36" x14ac:dyDescent="0.2">
      <c r="A1467" s="159" t="s">
        <v>3324</v>
      </c>
      <c r="B1467" s="160" t="s">
        <v>200</v>
      </c>
      <c r="C1467" s="161" t="s">
        <v>1714</v>
      </c>
      <c r="D1467" s="161"/>
      <c r="E1467" s="161"/>
      <c r="F1467" s="162"/>
      <c r="G1467" s="162"/>
      <c r="H1467" s="162"/>
      <c r="I1467" s="160" t="s">
        <v>3493</v>
      </c>
      <c r="J1467" s="163">
        <v>1.95</v>
      </c>
      <c r="K1467" s="163"/>
      <c r="L1467" s="163"/>
      <c r="M1467" s="164">
        <v>84</v>
      </c>
      <c r="N1467" s="164"/>
      <c r="O1467" s="164"/>
      <c r="P1467" s="159" t="s">
        <v>368</v>
      </c>
      <c r="Q1467" s="159" t="s">
        <v>488</v>
      </c>
      <c r="R1467" s="159" t="s">
        <v>3494</v>
      </c>
      <c r="S1467" s="165">
        <v>4.1012569259196198E-2</v>
      </c>
      <c r="T1467" s="166" t="s">
        <v>372</v>
      </c>
      <c r="U1467" s="166"/>
      <c r="V1467" s="166"/>
      <c r="W1467" s="167">
        <f>IF(BetTable[Sport]="","",BetTable[Stake]+BetTable[S2]+BetTable[S3])</f>
        <v>84</v>
      </c>
      <c r="X1467" s="164">
        <f>IF(BetTable[Odds]="","",(BetTable[WBA1-Commission])-BetTable[TS])</f>
        <v>79.800000000000011</v>
      </c>
      <c r="Y1467" s="168">
        <f>IF(BetTable[Outcome]="","",BetTable[WBA1]+BetTable[WBA2]+BetTable[WBA3]-BetTable[TS])</f>
        <v>79.800000000000011</v>
      </c>
      <c r="Z1467" s="164">
        <f>(((BetTable[Odds]-1)*BetTable[Stake])*(1-(BetTable[Comm %]))+BetTable[Stake])</f>
        <v>163.80000000000001</v>
      </c>
      <c r="AA1467" s="164">
        <f>(((BetTable[O2]-1)*BetTable[S2])*(1-(BetTable[C% 2]))+BetTable[S2])</f>
        <v>0</v>
      </c>
      <c r="AB1467" s="164">
        <f>(((BetTable[O3]-1)*BetTable[S3])*(1-(BetTable[C% 3]))+BetTable[S3])</f>
        <v>0</v>
      </c>
      <c r="AC1467" s="165">
        <f>IFERROR(IF(BetTable[Sport]="","",BetTable[R1]/BetTable[TS]),"")</f>
        <v>0.95000000000000018</v>
      </c>
      <c r="AD1467" s="165" t="str">
        <f>IF(BetTable[O2]="","",#REF!/BetTable[TS])</f>
        <v/>
      </c>
      <c r="AE1467" s="165" t="str">
        <f>IFERROR(IF(BetTable[Sport]="","",#REF!/BetTable[TS]),"")</f>
        <v/>
      </c>
      <c r="AF1467" s="164">
        <f>IF(BetTable[Outcome]="Win",BetTable[WBA1-Commission],IF(BetTable[Outcome]="Win Half Stake",(BetTable[Stake]/2)+BetTable[WBA1-Commission]/2,IF(BetTable[Outcome]="Lose Half Stake",BetTable[Stake]/2,IF(BetTable[Outcome]="Lose",0,IF(BetTable[Outcome]="Void",BetTable[Stake],)))))</f>
        <v>163.80000000000001</v>
      </c>
      <c r="AG1467" s="164">
        <f>IF(BetTable[Outcome2]="Win",BetTable[WBA2-Commission],IF(BetTable[Outcome2]="Win Half Stake",(BetTable[S2]/2)+BetTable[WBA2-Commission]/2,IF(BetTable[Outcome2]="Lose Half Stake",BetTable[S2]/2,IF(BetTable[Outcome2]="Lose",0,IF(BetTable[Outcome2]="Void",BetTable[S2],)))))</f>
        <v>0</v>
      </c>
      <c r="AH1467" s="164">
        <f>IF(BetTable[Outcome3]="Win",BetTable[WBA3-Commission],IF(BetTable[Outcome3]="Win Half Stake",(BetTable[S3]/2)+BetTable[WBA3-Commission]/2,IF(BetTable[Outcome3]="Lose Half Stake",BetTable[S3]/2,IF(BetTable[Outcome3]="Lose",0,IF(BetTable[Outcome3]="Void",BetTable[S3],)))))</f>
        <v>0</v>
      </c>
      <c r="AI1467" s="168">
        <f>IF(BetTable[Outcome]="",AI1466,BetTable[Result]+AI1466)</f>
        <v>2498.5327499999999</v>
      </c>
      <c r="AJ1467" s="160"/>
    </row>
    <row r="1468" spans="1:36" x14ac:dyDescent="0.2">
      <c r="A1468" s="159" t="s">
        <v>3324</v>
      </c>
      <c r="B1468" s="160" t="s">
        <v>200</v>
      </c>
      <c r="C1468" s="161" t="s">
        <v>1714</v>
      </c>
      <c r="D1468" s="161"/>
      <c r="E1468" s="161"/>
      <c r="F1468" s="162"/>
      <c r="G1468" s="162"/>
      <c r="H1468" s="162"/>
      <c r="I1468" s="160" t="s">
        <v>3495</v>
      </c>
      <c r="J1468" s="163">
        <v>1.81</v>
      </c>
      <c r="K1468" s="163"/>
      <c r="L1468" s="163"/>
      <c r="M1468" s="164">
        <v>55</v>
      </c>
      <c r="N1468" s="164"/>
      <c r="O1468" s="164"/>
      <c r="P1468" s="159" t="s">
        <v>864</v>
      </c>
      <c r="Q1468" s="159" t="s">
        <v>703</v>
      </c>
      <c r="R1468" s="159" t="s">
        <v>3496</v>
      </c>
      <c r="S1468" s="165">
        <v>2.2789600450793399E-2</v>
      </c>
      <c r="T1468" s="166" t="s">
        <v>382</v>
      </c>
      <c r="U1468" s="166"/>
      <c r="V1468" s="166"/>
      <c r="W1468" s="167">
        <f>IF(BetTable[Sport]="","",BetTable[Stake]+BetTable[S2]+BetTable[S3])</f>
        <v>55</v>
      </c>
      <c r="X1468" s="164">
        <f>IF(BetTable[Odds]="","",(BetTable[WBA1-Commission])-BetTable[TS])</f>
        <v>44.550000000000011</v>
      </c>
      <c r="Y1468" s="168">
        <f>IF(BetTable[Outcome]="","",BetTable[WBA1]+BetTable[WBA2]+BetTable[WBA3]-BetTable[TS])</f>
        <v>-55</v>
      </c>
      <c r="Z1468" s="164">
        <f>(((BetTable[Odds]-1)*BetTable[Stake])*(1-(BetTable[Comm %]))+BetTable[Stake])</f>
        <v>99.550000000000011</v>
      </c>
      <c r="AA1468" s="164">
        <f>(((BetTable[O2]-1)*BetTable[S2])*(1-(BetTable[C% 2]))+BetTable[S2])</f>
        <v>0</v>
      </c>
      <c r="AB1468" s="164">
        <f>(((BetTable[O3]-1)*BetTable[S3])*(1-(BetTable[C% 3]))+BetTable[S3])</f>
        <v>0</v>
      </c>
      <c r="AC1468" s="165">
        <f>IFERROR(IF(BetTable[Sport]="","",BetTable[R1]/BetTable[TS]),"")</f>
        <v>0.81000000000000016</v>
      </c>
      <c r="AD1468" s="165" t="str">
        <f>IF(BetTable[O2]="","",#REF!/BetTable[TS])</f>
        <v/>
      </c>
      <c r="AE1468" s="165" t="str">
        <f>IFERROR(IF(BetTable[Sport]="","",#REF!/BetTable[TS]),"")</f>
        <v/>
      </c>
      <c r="AF1468" s="164">
        <f>IF(BetTable[Outcome]="Win",BetTable[WBA1-Commission],IF(BetTable[Outcome]="Win Half Stake",(BetTable[Stake]/2)+BetTable[WBA1-Commission]/2,IF(BetTable[Outcome]="Lose Half Stake",BetTable[Stake]/2,IF(BetTable[Outcome]="Lose",0,IF(BetTable[Outcome]="Void",BetTable[Stake],)))))</f>
        <v>0</v>
      </c>
      <c r="AG1468" s="164">
        <f>IF(BetTable[Outcome2]="Win",BetTable[WBA2-Commission],IF(BetTable[Outcome2]="Win Half Stake",(BetTable[S2]/2)+BetTable[WBA2-Commission]/2,IF(BetTable[Outcome2]="Lose Half Stake",BetTable[S2]/2,IF(BetTable[Outcome2]="Lose",0,IF(BetTable[Outcome2]="Void",BetTable[S2],)))))</f>
        <v>0</v>
      </c>
      <c r="AH1468" s="164">
        <f>IF(BetTable[Outcome3]="Win",BetTable[WBA3-Commission],IF(BetTable[Outcome3]="Win Half Stake",(BetTable[S3]/2)+BetTable[WBA3-Commission]/2,IF(BetTable[Outcome3]="Lose Half Stake",BetTable[S3]/2,IF(BetTable[Outcome3]="Lose",0,IF(BetTable[Outcome3]="Void",BetTable[S3],)))))</f>
        <v>0</v>
      </c>
      <c r="AI1468" s="168">
        <f>IF(BetTable[Outcome]="",AI1467,BetTable[Result]+AI1467)</f>
        <v>2443.5327499999999</v>
      </c>
      <c r="AJ1468" s="160"/>
    </row>
    <row r="1469" spans="1:36" x14ac:dyDescent="0.2">
      <c r="A1469" s="159" t="s">
        <v>3324</v>
      </c>
      <c r="B1469" s="160" t="s">
        <v>200</v>
      </c>
      <c r="C1469" s="161" t="s">
        <v>1714</v>
      </c>
      <c r="D1469" s="161"/>
      <c r="E1469" s="161"/>
      <c r="F1469" s="162"/>
      <c r="G1469" s="162"/>
      <c r="H1469" s="162"/>
      <c r="I1469" s="160" t="s">
        <v>3497</v>
      </c>
      <c r="J1469" s="163">
        <v>2.11</v>
      </c>
      <c r="K1469" s="163"/>
      <c r="L1469" s="163"/>
      <c r="M1469" s="164">
        <v>36</v>
      </c>
      <c r="N1469" s="164"/>
      <c r="O1469" s="164"/>
      <c r="P1469" s="159" t="s">
        <v>791</v>
      </c>
      <c r="Q1469" s="159" t="s">
        <v>703</v>
      </c>
      <c r="R1469" s="159" t="s">
        <v>3498</v>
      </c>
      <c r="S1469" s="165">
        <v>2.0489761292144099E-2</v>
      </c>
      <c r="T1469" s="166" t="s">
        <v>372</v>
      </c>
      <c r="U1469" s="166"/>
      <c r="V1469" s="166"/>
      <c r="W1469" s="167">
        <f>IF(BetTable[Sport]="","",BetTable[Stake]+BetTable[S2]+BetTable[S3])</f>
        <v>36</v>
      </c>
      <c r="X1469" s="164">
        <f>IF(BetTable[Odds]="","",(BetTable[WBA1-Commission])-BetTable[TS])</f>
        <v>39.959999999999994</v>
      </c>
      <c r="Y1469" s="168">
        <f>IF(BetTable[Outcome]="","",BetTable[WBA1]+BetTable[WBA2]+BetTable[WBA3]-BetTable[TS])</f>
        <v>39.959999999999994</v>
      </c>
      <c r="Z1469" s="164">
        <f>(((BetTable[Odds]-1)*BetTable[Stake])*(1-(BetTable[Comm %]))+BetTable[Stake])</f>
        <v>75.959999999999994</v>
      </c>
      <c r="AA1469" s="164">
        <f>(((BetTable[O2]-1)*BetTable[S2])*(1-(BetTable[C% 2]))+BetTable[S2])</f>
        <v>0</v>
      </c>
      <c r="AB1469" s="164">
        <f>(((BetTable[O3]-1)*BetTable[S3])*(1-(BetTable[C% 3]))+BetTable[S3])</f>
        <v>0</v>
      </c>
      <c r="AC1469" s="165">
        <f>IFERROR(IF(BetTable[Sport]="","",BetTable[R1]/BetTable[TS]),"")</f>
        <v>1.1099999999999999</v>
      </c>
      <c r="AD1469" s="165" t="str">
        <f>IF(BetTable[O2]="","",#REF!/BetTable[TS])</f>
        <v/>
      </c>
      <c r="AE1469" s="165" t="str">
        <f>IFERROR(IF(BetTable[Sport]="","",#REF!/BetTable[TS]),"")</f>
        <v/>
      </c>
      <c r="AF1469" s="164">
        <f>IF(BetTable[Outcome]="Win",BetTable[WBA1-Commission],IF(BetTable[Outcome]="Win Half Stake",(BetTable[Stake]/2)+BetTable[WBA1-Commission]/2,IF(BetTable[Outcome]="Lose Half Stake",BetTable[Stake]/2,IF(BetTable[Outcome]="Lose",0,IF(BetTable[Outcome]="Void",BetTable[Stake],)))))</f>
        <v>75.959999999999994</v>
      </c>
      <c r="AG1469" s="164">
        <f>IF(BetTable[Outcome2]="Win",BetTable[WBA2-Commission],IF(BetTable[Outcome2]="Win Half Stake",(BetTable[S2]/2)+BetTable[WBA2-Commission]/2,IF(BetTable[Outcome2]="Lose Half Stake",BetTable[S2]/2,IF(BetTable[Outcome2]="Lose",0,IF(BetTable[Outcome2]="Void",BetTable[S2],)))))</f>
        <v>0</v>
      </c>
      <c r="AH1469" s="164">
        <f>IF(BetTable[Outcome3]="Win",BetTable[WBA3-Commission],IF(BetTable[Outcome3]="Win Half Stake",(BetTable[S3]/2)+BetTable[WBA3-Commission]/2,IF(BetTable[Outcome3]="Lose Half Stake",BetTable[S3]/2,IF(BetTable[Outcome3]="Lose",0,IF(BetTable[Outcome3]="Void",BetTable[S3],)))))</f>
        <v>0</v>
      </c>
      <c r="AI1469" s="168">
        <f>IF(BetTable[Outcome]="",AI1468,BetTable[Result]+AI1468)</f>
        <v>2483.4927499999999</v>
      </c>
      <c r="AJ1469" s="160"/>
    </row>
    <row r="1470" spans="1:36" x14ac:dyDescent="0.2">
      <c r="A1470" s="159" t="s">
        <v>3324</v>
      </c>
      <c r="B1470" s="160" t="s">
        <v>200</v>
      </c>
      <c r="C1470" s="161" t="s">
        <v>185</v>
      </c>
      <c r="D1470" s="161"/>
      <c r="E1470" s="161"/>
      <c r="F1470" s="162"/>
      <c r="G1470" s="162"/>
      <c r="H1470" s="162"/>
      <c r="I1470" s="160" t="s">
        <v>3499</v>
      </c>
      <c r="J1470" s="163">
        <v>3.4</v>
      </c>
      <c r="K1470" s="163"/>
      <c r="L1470" s="163"/>
      <c r="M1470" s="164">
        <v>24</v>
      </c>
      <c r="N1470" s="164"/>
      <c r="O1470" s="164"/>
      <c r="P1470" s="159" t="s">
        <v>494</v>
      </c>
      <c r="Q1470" s="159" t="s">
        <v>703</v>
      </c>
      <c r="R1470" s="159" t="s">
        <v>3500</v>
      </c>
      <c r="S1470" s="165">
        <v>3.3342363860200001E-2</v>
      </c>
      <c r="T1470" s="166" t="s">
        <v>372</v>
      </c>
      <c r="U1470" s="166"/>
      <c r="V1470" s="166"/>
      <c r="W1470" s="167">
        <f>IF(BetTable[Sport]="","",BetTable[Stake]+BetTable[S2]+BetTable[S3])</f>
        <v>24</v>
      </c>
      <c r="X1470" s="164">
        <f>IF(BetTable[Odds]="","",(BetTable[WBA1-Commission])-BetTable[TS])</f>
        <v>57.599999999999994</v>
      </c>
      <c r="Y1470" s="168">
        <f>IF(BetTable[Outcome]="","",BetTable[WBA1]+BetTable[WBA2]+BetTable[WBA3]-BetTable[TS])</f>
        <v>57.599999999999994</v>
      </c>
      <c r="Z1470" s="164">
        <f>(((BetTable[Odds]-1)*BetTable[Stake])*(1-(BetTable[Comm %]))+BetTable[Stake])</f>
        <v>81.599999999999994</v>
      </c>
      <c r="AA1470" s="164">
        <f>(((BetTable[O2]-1)*BetTable[S2])*(1-(BetTable[C% 2]))+BetTable[S2])</f>
        <v>0</v>
      </c>
      <c r="AB1470" s="164">
        <f>(((BetTable[O3]-1)*BetTable[S3])*(1-(BetTable[C% 3]))+BetTable[S3])</f>
        <v>0</v>
      </c>
      <c r="AC1470" s="165">
        <f>IFERROR(IF(BetTable[Sport]="","",BetTable[R1]/BetTable[TS]),"")</f>
        <v>2.4</v>
      </c>
      <c r="AD1470" s="165" t="str">
        <f>IF(BetTable[O2]="","",#REF!/BetTable[TS])</f>
        <v/>
      </c>
      <c r="AE1470" s="165" t="str">
        <f>IFERROR(IF(BetTable[Sport]="","",#REF!/BetTable[TS]),"")</f>
        <v/>
      </c>
      <c r="AF1470" s="164">
        <f>IF(BetTable[Outcome]="Win",BetTable[WBA1-Commission],IF(BetTable[Outcome]="Win Half Stake",(BetTable[Stake]/2)+BetTable[WBA1-Commission]/2,IF(BetTable[Outcome]="Lose Half Stake",BetTable[Stake]/2,IF(BetTable[Outcome]="Lose",0,IF(BetTable[Outcome]="Void",BetTable[Stake],)))))</f>
        <v>81.599999999999994</v>
      </c>
      <c r="AG1470" s="164">
        <f>IF(BetTable[Outcome2]="Win",BetTable[WBA2-Commission],IF(BetTable[Outcome2]="Win Half Stake",(BetTable[S2]/2)+BetTable[WBA2-Commission]/2,IF(BetTable[Outcome2]="Lose Half Stake",BetTable[S2]/2,IF(BetTable[Outcome2]="Lose",0,IF(BetTable[Outcome2]="Void",BetTable[S2],)))))</f>
        <v>0</v>
      </c>
      <c r="AH1470" s="164">
        <f>IF(BetTable[Outcome3]="Win",BetTable[WBA3-Commission],IF(BetTable[Outcome3]="Win Half Stake",(BetTable[S3]/2)+BetTable[WBA3-Commission]/2,IF(BetTable[Outcome3]="Lose Half Stake",BetTable[S3]/2,IF(BetTable[Outcome3]="Lose",0,IF(BetTable[Outcome3]="Void",BetTable[S3],)))))</f>
        <v>0</v>
      </c>
      <c r="AI1470" s="168">
        <f>IF(BetTable[Outcome]="",AI1469,BetTable[Result]+AI1469)</f>
        <v>2541.0927499999998</v>
      </c>
      <c r="AJ1470" s="160"/>
    </row>
    <row r="1471" spans="1:36" x14ac:dyDescent="0.2">
      <c r="A1471" s="159" t="s">
        <v>3324</v>
      </c>
      <c r="B1471" s="160" t="s">
        <v>200</v>
      </c>
      <c r="C1471" s="161" t="s">
        <v>1714</v>
      </c>
      <c r="D1471" s="161"/>
      <c r="E1471" s="161"/>
      <c r="F1471" s="162"/>
      <c r="G1471" s="162"/>
      <c r="H1471" s="162"/>
      <c r="I1471" s="160" t="s">
        <v>3501</v>
      </c>
      <c r="J1471" s="163">
        <v>1.74</v>
      </c>
      <c r="K1471" s="163"/>
      <c r="L1471" s="163"/>
      <c r="M1471" s="164">
        <v>62</v>
      </c>
      <c r="N1471" s="164"/>
      <c r="O1471" s="164"/>
      <c r="P1471" s="159" t="s">
        <v>360</v>
      </c>
      <c r="Q1471" s="159" t="s">
        <v>503</v>
      </c>
      <c r="R1471" s="159" t="s">
        <v>3502</v>
      </c>
      <c r="S1471" s="165">
        <v>2.35314651528249E-2</v>
      </c>
      <c r="T1471" s="166" t="s">
        <v>372</v>
      </c>
      <c r="U1471" s="166"/>
      <c r="V1471" s="166"/>
      <c r="W1471" s="167">
        <f>IF(BetTable[Sport]="","",BetTable[Stake]+BetTable[S2]+BetTable[S3])</f>
        <v>62</v>
      </c>
      <c r="X1471" s="164">
        <f>IF(BetTable[Odds]="","",(BetTable[WBA1-Commission])-BetTable[TS])</f>
        <v>45.879999999999995</v>
      </c>
      <c r="Y1471" s="168">
        <f>IF(BetTable[Outcome]="","",BetTable[WBA1]+BetTable[WBA2]+BetTable[WBA3]-BetTable[TS])</f>
        <v>45.879999999999995</v>
      </c>
      <c r="Z1471" s="164">
        <f>(((BetTable[Odds]-1)*BetTable[Stake])*(1-(BetTable[Comm %]))+BetTable[Stake])</f>
        <v>107.88</v>
      </c>
      <c r="AA1471" s="164">
        <f>(((BetTable[O2]-1)*BetTable[S2])*(1-(BetTable[C% 2]))+BetTable[S2])</f>
        <v>0</v>
      </c>
      <c r="AB1471" s="164">
        <f>(((BetTable[O3]-1)*BetTable[S3])*(1-(BetTable[C% 3]))+BetTable[S3])</f>
        <v>0</v>
      </c>
      <c r="AC1471" s="165">
        <f>IFERROR(IF(BetTable[Sport]="","",BetTable[R1]/BetTable[TS]),"")</f>
        <v>0.73999999999999988</v>
      </c>
      <c r="AD1471" s="165" t="str">
        <f>IF(BetTable[O2]="","",#REF!/BetTable[TS])</f>
        <v/>
      </c>
      <c r="AE1471" s="165" t="str">
        <f>IFERROR(IF(BetTable[Sport]="","",#REF!/BetTable[TS]),"")</f>
        <v/>
      </c>
      <c r="AF1471" s="164">
        <f>IF(BetTable[Outcome]="Win",BetTable[WBA1-Commission],IF(BetTable[Outcome]="Win Half Stake",(BetTable[Stake]/2)+BetTable[WBA1-Commission]/2,IF(BetTable[Outcome]="Lose Half Stake",BetTable[Stake]/2,IF(BetTable[Outcome]="Lose",0,IF(BetTable[Outcome]="Void",BetTable[Stake],)))))</f>
        <v>107.88</v>
      </c>
      <c r="AG1471" s="164">
        <f>IF(BetTable[Outcome2]="Win",BetTable[WBA2-Commission],IF(BetTable[Outcome2]="Win Half Stake",(BetTable[S2]/2)+BetTable[WBA2-Commission]/2,IF(BetTable[Outcome2]="Lose Half Stake",BetTable[S2]/2,IF(BetTable[Outcome2]="Lose",0,IF(BetTable[Outcome2]="Void",BetTable[S2],)))))</f>
        <v>0</v>
      </c>
      <c r="AH1471" s="164">
        <f>IF(BetTable[Outcome3]="Win",BetTable[WBA3-Commission],IF(BetTable[Outcome3]="Win Half Stake",(BetTable[S3]/2)+BetTable[WBA3-Commission]/2,IF(BetTable[Outcome3]="Lose Half Stake",BetTable[S3]/2,IF(BetTable[Outcome3]="Lose",0,IF(BetTable[Outcome3]="Void",BetTable[S3],)))))</f>
        <v>0</v>
      </c>
      <c r="AI1471" s="168">
        <f>IF(BetTable[Outcome]="",AI1470,BetTable[Result]+AI1470)</f>
        <v>2586.9727499999999</v>
      </c>
      <c r="AJ1471" s="160"/>
    </row>
    <row r="1472" spans="1:36" x14ac:dyDescent="0.2">
      <c r="A1472" s="159" t="s">
        <v>3324</v>
      </c>
      <c r="B1472" s="160" t="s">
        <v>200</v>
      </c>
      <c r="C1472" s="161" t="s">
        <v>1714</v>
      </c>
      <c r="D1472" s="161"/>
      <c r="E1472" s="161"/>
      <c r="F1472" s="162"/>
      <c r="G1472" s="162"/>
      <c r="H1472" s="162"/>
      <c r="I1472" s="160" t="s">
        <v>3503</v>
      </c>
      <c r="J1472" s="163">
        <v>1.88</v>
      </c>
      <c r="K1472" s="163"/>
      <c r="L1472" s="163"/>
      <c r="M1472" s="164">
        <v>49</v>
      </c>
      <c r="N1472" s="164"/>
      <c r="O1472" s="164"/>
      <c r="P1472" s="159" t="s">
        <v>354</v>
      </c>
      <c r="Q1472" s="159" t="s">
        <v>1768</v>
      </c>
      <c r="R1472" s="159" t="s">
        <v>3504</v>
      </c>
      <c r="S1472" s="165">
        <v>2.2221667913860401E-2</v>
      </c>
      <c r="T1472" s="166" t="s">
        <v>372</v>
      </c>
      <c r="U1472" s="166"/>
      <c r="V1472" s="166"/>
      <c r="W1472" s="167">
        <f>IF(BetTable[Sport]="","",BetTable[Stake]+BetTable[S2]+BetTable[S3])</f>
        <v>49</v>
      </c>
      <c r="X1472" s="164">
        <f>IF(BetTable[Odds]="","",(BetTable[WBA1-Commission])-BetTable[TS])</f>
        <v>43.120000000000005</v>
      </c>
      <c r="Y1472" s="168">
        <f>IF(BetTable[Outcome]="","",BetTable[WBA1]+BetTable[WBA2]+BetTable[WBA3]-BetTable[TS])</f>
        <v>43.120000000000005</v>
      </c>
      <c r="Z1472" s="164">
        <f>(((BetTable[Odds]-1)*BetTable[Stake])*(1-(BetTable[Comm %]))+BetTable[Stake])</f>
        <v>92.12</v>
      </c>
      <c r="AA1472" s="164">
        <f>(((BetTable[O2]-1)*BetTable[S2])*(1-(BetTable[C% 2]))+BetTable[S2])</f>
        <v>0</v>
      </c>
      <c r="AB1472" s="164">
        <f>(((BetTable[O3]-1)*BetTable[S3])*(1-(BetTable[C% 3]))+BetTable[S3])</f>
        <v>0</v>
      </c>
      <c r="AC1472" s="165">
        <f>IFERROR(IF(BetTable[Sport]="","",BetTable[R1]/BetTable[TS]),"")</f>
        <v>0.88000000000000012</v>
      </c>
      <c r="AD1472" s="165" t="str">
        <f>IF(BetTable[O2]="","",#REF!/BetTable[TS])</f>
        <v/>
      </c>
      <c r="AE1472" s="165" t="str">
        <f>IFERROR(IF(BetTable[Sport]="","",#REF!/BetTable[TS]),"")</f>
        <v/>
      </c>
      <c r="AF1472" s="164">
        <f>IF(BetTable[Outcome]="Win",BetTable[WBA1-Commission],IF(BetTable[Outcome]="Win Half Stake",(BetTable[Stake]/2)+BetTable[WBA1-Commission]/2,IF(BetTable[Outcome]="Lose Half Stake",BetTable[Stake]/2,IF(BetTable[Outcome]="Lose",0,IF(BetTable[Outcome]="Void",BetTable[Stake],)))))</f>
        <v>92.12</v>
      </c>
      <c r="AG1472" s="164">
        <f>IF(BetTable[Outcome2]="Win",BetTable[WBA2-Commission],IF(BetTable[Outcome2]="Win Half Stake",(BetTable[S2]/2)+BetTable[WBA2-Commission]/2,IF(BetTable[Outcome2]="Lose Half Stake",BetTable[S2]/2,IF(BetTable[Outcome2]="Lose",0,IF(BetTable[Outcome2]="Void",BetTable[S2],)))))</f>
        <v>0</v>
      </c>
      <c r="AH1472" s="164">
        <f>IF(BetTable[Outcome3]="Win",BetTable[WBA3-Commission],IF(BetTable[Outcome3]="Win Half Stake",(BetTable[S3]/2)+BetTable[WBA3-Commission]/2,IF(BetTable[Outcome3]="Lose Half Stake",BetTable[S3]/2,IF(BetTable[Outcome3]="Lose",0,IF(BetTable[Outcome3]="Void",BetTable[S3],)))))</f>
        <v>0</v>
      </c>
      <c r="AI1472" s="168">
        <f>IF(BetTable[Outcome]="",AI1471,BetTable[Result]+AI1471)</f>
        <v>2630.0927499999998</v>
      </c>
      <c r="AJ1472" s="160"/>
    </row>
    <row r="1473" spans="1:36" x14ac:dyDescent="0.2">
      <c r="A1473" s="159" t="s">
        <v>3324</v>
      </c>
      <c r="B1473" s="160" t="s">
        <v>200</v>
      </c>
      <c r="C1473" s="161" t="s">
        <v>1714</v>
      </c>
      <c r="D1473" s="161"/>
      <c r="E1473" s="161"/>
      <c r="F1473" s="162"/>
      <c r="G1473" s="162"/>
      <c r="H1473" s="162"/>
      <c r="I1473" s="160" t="s">
        <v>3505</v>
      </c>
      <c r="J1473" s="163">
        <v>1.92</v>
      </c>
      <c r="K1473" s="163"/>
      <c r="L1473" s="163"/>
      <c r="M1473" s="164">
        <v>45</v>
      </c>
      <c r="N1473" s="164"/>
      <c r="O1473" s="164"/>
      <c r="P1473" s="159" t="s">
        <v>368</v>
      </c>
      <c r="Q1473" s="159" t="s">
        <v>703</v>
      </c>
      <c r="R1473" s="159" t="s">
        <v>3506</v>
      </c>
      <c r="S1473" s="165">
        <v>2.1213497403119199E-2</v>
      </c>
      <c r="T1473" s="166" t="s">
        <v>372</v>
      </c>
      <c r="U1473" s="166"/>
      <c r="V1473" s="166"/>
      <c r="W1473" s="167">
        <f>IF(BetTable[Sport]="","",BetTable[Stake]+BetTable[S2]+BetTable[S3])</f>
        <v>45</v>
      </c>
      <c r="X1473" s="164">
        <f>IF(BetTable[Odds]="","",(BetTable[WBA1-Commission])-BetTable[TS])</f>
        <v>41.400000000000006</v>
      </c>
      <c r="Y1473" s="168">
        <f>IF(BetTable[Outcome]="","",BetTable[WBA1]+BetTable[WBA2]+BetTable[WBA3]-BetTable[TS])</f>
        <v>41.400000000000006</v>
      </c>
      <c r="Z1473" s="164">
        <f>(((BetTable[Odds]-1)*BetTable[Stake])*(1-(BetTable[Comm %]))+BetTable[Stake])</f>
        <v>86.4</v>
      </c>
      <c r="AA1473" s="164">
        <f>(((BetTable[O2]-1)*BetTable[S2])*(1-(BetTable[C% 2]))+BetTable[S2])</f>
        <v>0</v>
      </c>
      <c r="AB1473" s="164">
        <f>(((BetTable[O3]-1)*BetTable[S3])*(1-(BetTable[C% 3]))+BetTable[S3])</f>
        <v>0</v>
      </c>
      <c r="AC1473" s="165">
        <f>IFERROR(IF(BetTable[Sport]="","",BetTable[R1]/BetTable[TS]),"")</f>
        <v>0.92000000000000015</v>
      </c>
      <c r="AD1473" s="165" t="str">
        <f>IF(BetTable[O2]="","",#REF!/BetTable[TS])</f>
        <v/>
      </c>
      <c r="AE1473" s="165" t="str">
        <f>IFERROR(IF(BetTable[Sport]="","",#REF!/BetTable[TS]),"")</f>
        <v/>
      </c>
      <c r="AF1473" s="164">
        <f>IF(BetTable[Outcome]="Win",BetTable[WBA1-Commission],IF(BetTable[Outcome]="Win Half Stake",(BetTable[Stake]/2)+BetTable[WBA1-Commission]/2,IF(BetTable[Outcome]="Lose Half Stake",BetTable[Stake]/2,IF(BetTable[Outcome]="Lose",0,IF(BetTable[Outcome]="Void",BetTable[Stake],)))))</f>
        <v>86.4</v>
      </c>
      <c r="AG1473" s="164">
        <f>IF(BetTable[Outcome2]="Win",BetTable[WBA2-Commission],IF(BetTable[Outcome2]="Win Half Stake",(BetTable[S2]/2)+BetTable[WBA2-Commission]/2,IF(BetTable[Outcome2]="Lose Half Stake",BetTable[S2]/2,IF(BetTable[Outcome2]="Lose",0,IF(BetTable[Outcome2]="Void",BetTable[S2],)))))</f>
        <v>0</v>
      </c>
      <c r="AH1473" s="164">
        <f>IF(BetTable[Outcome3]="Win",BetTable[WBA3-Commission],IF(BetTable[Outcome3]="Win Half Stake",(BetTable[S3]/2)+BetTable[WBA3-Commission]/2,IF(BetTable[Outcome3]="Lose Half Stake",BetTable[S3]/2,IF(BetTable[Outcome3]="Lose",0,IF(BetTable[Outcome3]="Void",BetTable[S3],)))))</f>
        <v>0</v>
      </c>
      <c r="AI1473" s="168">
        <f>IF(BetTable[Outcome]="",AI1472,BetTable[Result]+AI1472)</f>
        <v>2671.4927499999999</v>
      </c>
      <c r="AJ1473" s="160"/>
    </row>
    <row r="1474" spans="1:36" x14ac:dyDescent="0.2">
      <c r="A1474" s="159" t="s">
        <v>3324</v>
      </c>
      <c r="B1474" s="160" t="s">
        <v>200</v>
      </c>
      <c r="C1474" s="161" t="s">
        <v>1714</v>
      </c>
      <c r="D1474" s="161"/>
      <c r="E1474" s="161"/>
      <c r="F1474" s="162"/>
      <c r="G1474" s="162"/>
      <c r="H1474" s="162"/>
      <c r="I1474" s="160" t="s">
        <v>3507</v>
      </c>
      <c r="J1474" s="163">
        <v>2.17</v>
      </c>
      <c r="K1474" s="163"/>
      <c r="L1474" s="163"/>
      <c r="M1474" s="164">
        <v>30</v>
      </c>
      <c r="N1474" s="164"/>
      <c r="O1474" s="164"/>
      <c r="P1474" s="159" t="s">
        <v>368</v>
      </c>
      <c r="Q1474" s="159" t="s">
        <v>488</v>
      </c>
      <c r="R1474" s="159" t="s">
        <v>3508</v>
      </c>
      <c r="S1474" s="165">
        <v>1.8006333096848001E-2</v>
      </c>
      <c r="T1474" s="166" t="s">
        <v>372</v>
      </c>
      <c r="U1474" s="166"/>
      <c r="V1474" s="166"/>
      <c r="W1474" s="167">
        <f>IF(BetTable[Sport]="","",BetTable[Stake]+BetTable[S2]+BetTable[S3])</f>
        <v>30</v>
      </c>
      <c r="X1474" s="164">
        <f>IF(BetTable[Odds]="","",(BetTable[WBA1-Commission])-BetTable[TS])</f>
        <v>35.099999999999994</v>
      </c>
      <c r="Y1474" s="168">
        <f>IF(BetTable[Outcome]="","",BetTable[WBA1]+BetTable[WBA2]+BetTable[WBA3]-BetTable[TS])</f>
        <v>35.099999999999994</v>
      </c>
      <c r="Z1474" s="164">
        <f>(((BetTable[Odds]-1)*BetTable[Stake])*(1-(BetTable[Comm %]))+BetTable[Stake])</f>
        <v>65.099999999999994</v>
      </c>
      <c r="AA1474" s="164">
        <f>(((BetTable[O2]-1)*BetTable[S2])*(1-(BetTable[C% 2]))+BetTable[S2])</f>
        <v>0</v>
      </c>
      <c r="AB1474" s="164">
        <f>(((BetTable[O3]-1)*BetTable[S3])*(1-(BetTable[C% 3]))+BetTable[S3])</f>
        <v>0</v>
      </c>
      <c r="AC1474" s="165">
        <f>IFERROR(IF(BetTable[Sport]="","",BetTable[R1]/BetTable[TS]),"")</f>
        <v>1.1699999999999997</v>
      </c>
      <c r="AD1474" s="165" t="str">
        <f>IF(BetTable[O2]="","",#REF!/BetTable[TS])</f>
        <v/>
      </c>
      <c r="AE1474" s="165" t="str">
        <f>IFERROR(IF(BetTable[Sport]="","",#REF!/BetTable[TS]),"")</f>
        <v/>
      </c>
      <c r="AF1474" s="164">
        <f>IF(BetTable[Outcome]="Win",BetTable[WBA1-Commission],IF(BetTable[Outcome]="Win Half Stake",(BetTable[Stake]/2)+BetTable[WBA1-Commission]/2,IF(BetTable[Outcome]="Lose Half Stake",BetTable[Stake]/2,IF(BetTable[Outcome]="Lose",0,IF(BetTable[Outcome]="Void",BetTable[Stake],)))))</f>
        <v>65.099999999999994</v>
      </c>
      <c r="AG1474" s="164">
        <f>IF(BetTable[Outcome2]="Win",BetTable[WBA2-Commission],IF(BetTable[Outcome2]="Win Half Stake",(BetTable[S2]/2)+BetTable[WBA2-Commission]/2,IF(BetTable[Outcome2]="Lose Half Stake",BetTable[S2]/2,IF(BetTable[Outcome2]="Lose",0,IF(BetTable[Outcome2]="Void",BetTable[S2],)))))</f>
        <v>0</v>
      </c>
      <c r="AH1474" s="164">
        <f>IF(BetTable[Outcome3]="Win",BetTable[WBA3-Commission],IF(BetTable[Outcome3]="Win Half Stake",(BetTable[S3]/2)+BetTable[WBA3-Commission]/2,IF(BetTable[Outcome3]="Lose Half Stake",BetTable[S3]/2,IF(BetTable[Outcome3]="Lose",0,IF(BetTable[Outcome3]="Void",BetTable[S3],)))))</f>
        <v>0</v>
      </c>
      <c r="AI1474" s="168">
        <f>IF(BetTable[Outcome]="",AI1473,BetTable[Result]+AI1473)</f>
        <v>2706.5927499999998</v>
      </c>
      <c r="AJ1474" s="160"/>
    </row>
    <row r="1475" spans="1:36" x14ac:dyDescent="0.2">
      <c r="A1475" s="159" t="s">
        <v>3324</v>
      </c>
      <c r="B1475" s="160" t="s">
        <v>201</v>
      </c>
      <c r="C1475" s="161" t="s">
        <v>91</v>
      </c>
      <c r="D1475" s="161"/>
      <c r="E1475" s="161"/>
      <c r="F1475" s="162"/>
      <c r="G1475" s="162"/>
      <c r="H1475" s="162"/>
      <c r="I1475" s="160" t="s">
        <v>3509</v>
      </c>
      <c r="J1475" s="163">
        <v>1.84</v>
      </c>
      <c r="K1475" s="163"/>
      <c r="L1475" s="163"/>
      <c r="M1475" s="164">
        <v>55</v>
      </c>
      <c r="N1475" s="164"/>
      <c r="O1475" s="164"/>
      <c r="P1475" s="159" t="s">
        <v>1024</v>
      </c>
      <c r="Q1475" s="159" t="s">
        <v>503</v>
      </c>
      <c r="R1475" s="159" t="s">
        <v>3510</v>
      </c>
      <c r="S1475" s="165">
        <v>2.3906449232587501E-2</v>
      </c>
      <c r="T1475" s="166" t="s">
        <v>372</v>
      </c>
      <c r="U1475" s="166"/>
      <c r="V1475" s="166"/>
      <c r="W1475" s="167">
        <f>IF(BetTable[Sport]="","",BetTable[Stake]+BetTable[S2]+BetTable[S3])</f>
        <v>55</v>
      </c>
      <c r="X1475" s="164">
        <f>IF(BetTable[Odds]="","",(BetTable[WBA1-Commission])-BetTable[TS])</f>
        <v>46.2</v>
      </c>
      <c r="Y1475" s="168">
        <f>IF(BetTable[Outcome]="","",BetTable[WBA1]+BetTable[WBA2]+BetTable[WBA3]-BetTable[TS])</f>
        <v>46.2</v>
      </c>
      <c r="Z1475" s="164">
        <f>(((BetTable[Odds]-1)*BetTable[Stake])*(1-(BetTable[Comm %]))+BetTable[Stake])</f>
        <v>101.2</v>
      </c>
      <c r="AA1475" s="164">
        <f>(((BetTable[O2]-1)*BetTable[S2])*(1-(BetTable[C% 2]))+BetTable[S2])</f>
        <v>0</v>
      </c>
      <c r="AB1475" s="164">
        <f>(((BetTable[O3]-1)*BetTable[S3])*(1-(BetTable[C% 3]))+BetTable[S3])</f>
        <v>0</v>
      </c>
      <c r="AC1475" s="165">
        <f>IFERROR(IF(BetTable[Sport]="","",BetTable[R1]/BetTable[TS]),"")</f>
        <v>0.84000000000000008</v>
      </c>
      <c r="AD1475" s="165" t="str">
        <f>IF(BetTable[O2]="","",#REF!/BetTable[TS])</f>
        <v/>
      </c>
      <c r="AE1475" s="165" t="str">
        <f>IFERROR(IF(BetTable[Sport]="","",#REF!/BetTable[TS]),"")</f>
        <v/>
      </c>
      <c r="AF1475" s="164">
        <f>IF(BetTable[Outcome]="Win",BetTable[WBA1-Commission],IF(BetTable[Outcome]="Win Half Stake",(BetTable[Stake]/2)+BetTable[WBA1-Commission]/2,IF(BetTable[Outcome]="Lose Half Stake",BetTable[Stake]/2,IF(BetTable[Outcome]="Lose",0,IF(BetTable[Outcome]="Void",BetTable[Stake],)))))</f>
        <v>101.2</v>
      </c>
      <c r="AG1475" s="164">
        <f>IF(BetTable[Outcome2]="Win",BetTable[WBA2-Commission],IF(BetTable[Outcome2]="Win Half Stake",(BetTable[S2]/2)+BetTable[WBA2-Commission]/2,IF(BetTable[Outcome2]="Lose Half Stake",BetTable[S2]/2,IF(BetTable[Outcome2]="Lose",0,IF(BetTable[Outcome2]="Void",BetTable[S2],)))))</f>
        <v>0</v>
      </c>
      <c r="AH1475" s="164">
        <f>IF(BetTable[Outcome3]="Win",BetTable[WBA3-Commission],IF(BetTable[Outcome3]="Win Half Stake",(BetTable[S3]/2)+BetTable[WBA3-Commission]/2,IF(BetTable[Outcome3]="Lose Half Stake",BetTable[S3]/2,IF(BetTable[Outcome3]="Lose",0,IF(BetTable[Outcome3]="Void",BetTable[S3],)))))</f>
        <v>0</v>
      </c>
      <c r="AI1475" s="168">
        <f>IF(BetTable[Outcome]="",AI1474,BetTable[Result]+AI1474)</f>
        <v>2752.7927499999996</v>
      </c>
      <c r="AJ1475" s="160"/>
    </row>
    <row r="1476" spans="1:36" x14ac:dyDescent="0.2">
      <c r="A1476" s="159" t="s">
        <v>3324</v>
      </c>
      <c r="B1476" s="160" t="s">
        <v>200</v>
      </c>
      <c r="C1476" s="161" t="s">
        <v>1714</v>
      </c>
      <c r="D1476" s="161"/>
      <c r="E1476" s="161"/>
      <c r="F1476" s="162"/>
      <c r="G1476" s="162"/>
      <c r="H1476" s="162"/>
      <c r="I1476" s="160" t="s">
        <v>3511</v>
      </c>
      <c r="J1476" s="163">
        <v>1.63</v>
      </c>
      <c r="K1476" s="163"/>
      <c r="L1476" s="163"/>
      <c r="M1476" s="164">
        <v>64</v>
      </c>
      <c r="N1476" s="164"/>
      <c r="O1476" s="164"/>
      <c r="P1476" s="159" t="s">
        <v>864</v>
      </c>
      <c r="Q1476" s="159" t="s">
        <v>1083</v>
      </c>
      <c r="R1476" s="159" t="s">
        <v>3512</v>
      </c>
      <c r="S1476" s="165">
        <v>2.0622574933011499E-2</v>
      </c>
      <c r="T1476" s="166" t="s">
        <v>549</v>
      </c>
      <c r="U1476" s="166"/>
      <c r="V1476" s="166"/>
      <c r="W1476" s="167">
        <f>IF(BetTable[Sport]="","",BetTable[Stake]+BetTable[S2]+BetTable[S3])</f>
        <v>64</v>
      </c>
      <c r="X1476" s="164">
        <f>IF(BetTable[Odds]="","",(BetTable[WBA1-Commission])-BetTable[TS])</f>
        <v>40.319999999999993</v>
      </c>
      <c r="Y1476" s="168">
        <f>IF(BetTable[Outcome]="","",BetTable[WBA1]+BetTable[WBA2]+BetTable[WBA3]-BetTable[TS])</f>
        <v>-32</v>
      </c>
      <c r="Z1476" s="164">
        <f>(((BetTable[Odds]-1)*BetTable[Stake])*(1-(BetTable[Comm %]))+BetTable[Stake])</f>
        <v>104.32</v>
      </c>
      <c r="AA1476" s="164">
        <f>(((BetTable[O2]-1)*BetTable[S2])*(1-(BetTable[C% 2]))+BetTable[S2])</f>
        <v>0</v>
      </c>
      <c r="AB1476" s="164">
        <f>(((BetTable[O3]-1)*BetTable[S3])*(1-(BetTable[C% 3]))+BetTable[S3])</f>
        <v>0</v>
      </c>
      <c r="AC1476" s="165">
        <f>IFERROR(IF(BetTable[Sport]="","",BetTable[R1]/BetTable[TS]),"")</f>
        <v>0.62999999999999989</v>
      </c>
      <c r="AD1476" s="165" t="str">
        <f>IF(BetTable[O2]="","",#REF!/BetTable[TS])</f>
        <v/>
      </c>
      <c r="AE1476" s="165" t="str">
        <f>IFERROR(IF(BetTable[Sport]="","",#REF!/BetTable[TS]),"")</f>
        <v/>
      </c>
      <c r="AF1476" s="164">
        <f>IF(BetTable[Outcome]="Win",BetTable[WBA1-Commission],IF(BetTable[Outcome]="Win Half Stake",(BetTable[Stake]/2)+BetTable[WBA1-Commission]/2,IF(BetTable[Outcome]="Lose Half Stake",BetTable[Stake]/2,IF(BetTable[Outcome]="Lose",0,IF(BetTable[Outcome]="Void",BetTable[Stake],)))))</f>
        <v>32</v>
      </c>
      <c r="AG1476" s="164">
        <f>IF(BetTable[Outcome2]="Win",BetTable[WBA2-Commission],IF(BetTable[Outcome2]="Win Half Stake",(BetTable[S2]/2)+BetTable[WBA2-Commission]/2,IF(BetTable[Outcome2]="Lose Half Stake",BetTable[S2]/2,IF(BetTable[Outcome2]="Lose",0,IF(BetTable[Outcome2]="Void",BetTable[S2],)))))</f>
        <v>0</v>
      </c>
      <c r="AH1476" s="164">
        <f>IF(BetTable[Outcome3]="Win",BetTable[WBA3-Commission],IF(BetTable[Outcome3]="Win Half Stake",(BetTable[S3]/2)+BetTable[WBA3-Commission]/2,IF(BetTable[Outcome3]="Lose Half Stake",BetTable[S3]/2,IF(BetTable[Outcome3]="Lose",0,IF(BetTable[Outcome3]="Void",BetTable[S3],)))))</f>
        <v>0</v>
      </c>
      <c r="AI1476" s="168">
        <f>IF(BetTable[Outcome]="",AI1475,BetTable[Result]+AI1475)</f>
        <v>2720.7927499999996</v>
      </c>
      <c r="AJ1476" s="160"/>
    </row>
    <row r="1477" spans="1:36" x14ac:dyDescent="0.2">
      <c r="A1477" s="159" t="s">
        <v>3324</v>
      </c>
      <c r="B1477" s="160" t="s">
        <v>200</v>
      </c>
      <c r="C1477" s="161" t="s">
        <v>1714</v>
      </c>
      <c r="D1477" s="161"/>
      <c r="E1477" s="161"/>
      <c r="F1477" s="162"/>
      <c r="G1477" s="162"/>
      <c r="H1477" s="162"/>
      <c r="I1477" s="160" t="s">
        <v>3513</v>
      </c>
      <c r="J1477" s="163">
        <v>2.14</v>
      </c>
      <c r="K1477" s="163"/>
      <c r="L1477" s="163"/>
      <c r="M1477" s="164">
        <v>31</v>
      </c>
      <c r="N1477" s="164"/>
      <c r="O1477" s="164"/>
      <c r="P1477" s="159" t="s">
        <v>1528</v>
      </c>
      <c r="Q1477" s="159" t="s">
        <v>1379</v>
      </c>
      <c r="R1477" s="159" t="s">
        <v>3514</v>
      </c>
      <c r="S1477" s="165">
        <v>1.8288666418398498E-2</v>
      </c>
      <c r="T1477" s="166" t="s">
        <v>372</v>
      </c>
      <c r="U1477" s="166"/>
      <c r="V1477" s="166"/>
      <c r="W1477" s="167">
        <f>IF(BetTable[Sport]="","",BetTable[Stake]+BetTable[S2]+BetTable[S3])</f>
        <v>31</v>
      </c>
      <c r="X1477" s="164">
        <f>IF(BetTable[Odds]="","",(BetTable[WBA1-Commission])-BetTable[TS])</f>
        <v>35.340000000000003</v>
      </c>
      <c r="Y1477" s="168">
        <f>IF(BetTable[Outcome]="","",BetTable[WBA1]+BetTable[WBA2]+BetTable[WBA3]-BetTable[TS])</f>
        <v>35.340000000000003</v>
      </c>
      <c r="Z1477" s="164">
        <f>(((BetTable[Odds]-1)*BetTable[Stake])*(1-(BetTable[Comm %]))+BetTable[Stake])</f>
        <v>66.34</v>
      </c>
      <c r="AA1477" s="164">
        <f>(((BetTable[O2]-1)*BetTable[S2])*(1-(BetTable[C% 2]))+BetTable[S2])</f>
        <v>0</v>
      </c>
      <c r="AB1477" s="164">
        <f>(((BetTable[O3]-1)*BetTable[S3])*(1-(BetTable[C% 3]))+BetTable[S3])</f>
        <v>0</v>
      </c>
      <c r="AC1477" s="165">
        <f>IFERROR(IF(BetTable[Sport]="","",BetTable[R1]/BetTable[TS]),"")</f>
        <v>1.1400000000000001</v>
      </c>
      <c r="AD1477" s="165" t="str">
        <f>IF(BetTable[O2]="","",#REF!/BetTable[TS])</f>
        <v/>
      </c>
      <c r="AE1477" s="165" t="str">
        <f>IFERROR(IF(BetTable[Sport]="","",#REF!/BetTable[TS]),"")</f>
        <v/>
      </c>
      <c r="AF1477" s="164">
        <f>IF(BetTable[Outcome]="Win",BetTable[WBA1-Commission],IF(BetTable[Outcome]="Win Half Stake",(BetTable[Stake]/2)+BetTable[WBA1-Commission]/2,IF(BetTable[Outcome]="Lose Half Stake",BetTable[Stake]/2,IF(BetTable[Outcome]="Lose",0,IF(BetTable[Outcome]="Void",BetTable[Stake],)))))</f>
        <v>66.34</v>
      </c>
      <c r="AG1477" s="164">
        <f>IF(BetTable[Outcome2]="Win",BetTable[WBA2-Commission],IF(BetTable[Outcome2]="Win Half Stake",(BetTable[S2]/2)+BetTable[WBA2-Commission]/2,IF(BetTable[Outcome2]="Lose Half Stake",BetTable[S2]/2,IF(BetTable[Outcome2]="Lose",0,IF(BetTable[Outcome2]="Void",BetTable[S2],)))))</f>
        <v>0</v>
      </c>
      <c r="AH1477" s="164">
        <f>IF(BetTable[Outcome3]="Win",BetTable[WBA3-Commission],IF(BetTable[Outcome3]="Win Half Stake",(BetTable[S3]/2)+BetTable[WBA3-Commission]/2,IF(BetTable[Outcome3]="Lose Half Stake",BetTable[S3]/2,IF(BetTable[Outcome3]="Lose",0,IF(BetTable[Outcome3]="Void",BetTable[S3],)))))</f>
        <v>0</v>
      </c>
      <c r="AI1477" s="168">
        <f>IF(BetTable[Outcome]="",AI1476,BetTable[Result]+AI1476)</f>
        <v>2756.1327499999998</v>
      </c>
      <c r="AJ1477" s="160"/>
    </row>
    <row r="1478" spans="1:36" x14ac:dyDescent="0.2">
      <c r="A1478" s="159" t="s">
        <v>3324</v>
      </c>
      <c r="B1478" s="160" t="s">
        <v>200</v>
      </c>
      <c r="C1478" s="161" t="s">
        <v>1714</v>
      </c>
      <c r="D1478" s="161"/>
      <c r="E1478" s="161"/>
      <c r="F1478" s="162"/>
      <c r="G1478" s="162"/>
      <c r="H1478" s="162"/>
      <c r="I1478" s="160" t="s">
        <v>3515</v>
      </c>
      <c r="J1478" s="163">
        <v>2.5499999999999998</v>
      </c>
      <c r="K1478" s="163"/>
      <c r="L1478" s="163"/>
      <c r="M1478" s="164">
        <v>26</v>
      </c>
      <c r="N1478" s="164"/>
      <c r="O1478" s="164"/>
      <c r="P1478" s="159" t="s">
        <v>435</v>
      </c>
      <c r="Q1478" s="159" t="s">
        <v>506</v>
      </c>
      <c r="R1478" s="159" t="s">
        <v>3516</v>
      </c>
      <c r="S1478" s="165">
        <v>2.05656539142988E-2</v>
      </c>
      <c r="T1478" s="166" t="s">
        <v>372</v>
      </c>
      <c r="U1478" s="166"/>
      <c r="V1478" s="166"/>
      <c r="W1478" s="167">
        <f>IF(BetTable[Sport]="","",BetTable[Stake]+BetTable[S2]+BetTable[S3])</f>
        <v>26</v>
      </c>
      <c r="X1478" s="164">
        <f>IF(BetTable[Odds]="","",(BetTable[WBA1-Commission])-BetTable[TS])</f>
        <v>40.299999999999997</v>
      </c>
      <c r="Y1478" s="168">
        <f>IF(BetTable[Outcome]="","",BetTable[WBA1]+BetTable[WBA2]+BetTable[WBA3]-BetTable[TS])</f>
        <v>40.299999999999997</v>
      </c>
      <c r="Z1478" s="164">
        <f>(((BetTable[Odds]-1)*BetTable[Stake])*(1-(BetTable[Comm %]))+BetTable[Stake])</f>
        <v>66.3</v>
      </c>
      <c r="AA1478" s="164">
        <f>(((BetTable[O2]-1)*BetTable[S2])*(1-(BetTable[C% 2]))+BetTable[S2])</f>
        <v>0</v>
      </c>
      <c r="AB1478" s="164">
        <f>(((BetTable[O3]-1)*BetTable[S3])*(1-(BetTable[C% 3]))+BetTable[S3])</f>
        <v>0</v>
      </c>
      <c r="AC1478" s="165">
        <f>IFERROR(IF(BetTable[Sport]="","",BetTable[R1]/BetTable[TS]),"")</f>
        <v>1.5499999999999998</v>
      </c>
      <c r="AD1478" s="165" t="str">
        <f>IF(BetTable[O2]="","",#REF!/BetTable[TS])</f>
        <v/>
      </c>
      <c r="AE1478" s="165" t="str">
        <f>IFERROR(IF(BetTable[Sport]="","",#REF!/BetTable[TS]),"")</f>
        <v/>
      </c>
      <c r="AF1478" s="164">
        <f>IF(BetTable[Outcome]="Win",BetTable[WBA1-Commission],IF(BetTable[Outcome]="Win Half Stake",(BetTable[Stake]/2)+BetTable[WBA1-Commission]/2,IF(BetTable[Outcome]="Lose Half Stake",BetTable[Stake]/2,IF(BetTable[Outcome]="Lose",0,IF(BetTable[Outcome]="Void",BetTable[Stake],)))))</f>
        <v>66.3</v>
      </c>
      <c r="AG1478" s="164">
        <f>IF(BetTable[Outcome2]="Win",BetTable[WBA2-Commission],IF(BetTable[Outcome2]="Win Half Stake",(BetTable[S2]/2)+BetTable[WBA2-Commission]/2,IF(BetTable[Outcome2]="Lose Half Stake",BetTable[S2]/2,IF(BetTable[Outcome2]="Lose",0,IF(BetTable[Outcome2]="Void",BetTable[S2],)))))</f>
        <v>0</v>
      </c>
      <c r="AH1478" s="164">
        <f>IF(BetTable[Outcome3]="Win",BetTable[WBA3-Commission],IF(BetTable[Outcome3]="Win Half Stake",(BetTable[S3]/2)+BetTable[WBA3-Commission]/2,IF(BetTable[Outcome3]="Lose Half Stake",BetTable[S3]/2,IF(BetTable[Outcome3]="Lose",0,IF(BetTable[Outcome3]="Void",BetTable[S3],)))))</f>
        <v>0</v>
      </c>
      <c r="AI1478" s="168">
        <f>IF(BetTable[Outcome]="",AI1477,BetTable[Result]+AI1477)</f>
        <v>2796.4327499999999</v>
      </c>
      <c r="AJ1478" s="160"/>
    </row>
    <row r="1479" spans="1:36" x14ac:dyDescent="0.2">
      <c r="A1479" s="159" t="s">
        <v>3324</v>
      </c>
      <c r="B1479" s="160" t="s">
        <v>7</v>
      </c>
      <c r="C1479" s="161" t="s">
        <v>91</v>
      </c>
      <c r="D1479" s="161"/>
      <c r="E1479" s="161"/>
      <c r="F1479" s="162"/>
      <c r="G1479" s="162"/>
      <c r="H1479" s="162"/>
      <c r="I1479" s="160" t="s">
        <v>3517</v>
      </c>
      <c r="J1479" s="163">
        <v>2.08</v>
      </c>
      <c r="K1479" s="163"/>
      <c r="L1479" s="163"/>
      <c r="M1479" s="164">
        <v>56</v>
      </c>
      <c r="N1479" s="164"/>
      <c r="O1479" s="164"/>
      <c r="P1479" s="159" t="s">
        <v>3518</v>
      </c>
      <c r="Q1479" s="159" t="s">
        <v>1842</v>
      </c>
      <c r="R1479" s="159" t="s">
        <v>3519</v>
      </c>
      <c r="S1479" s="165">
        <v>3.0998260260135399E-2</v>
      </c>
      <c r="T1479" s="166" t="s">
        <v>382</v>
      </c>
      <c r="U1479" s="166"/>
      <c r="V1479" s="166"/>
      <c r="W1479" s="167">
        <f>IF(BetTable[Sport]="","",BetTable[Stake]+BetTable[S2]+BetTable[S3])</f>
        <v>56</v>
      </c>
      <c r="X1479" s="164">
        <f>IF(BetTable[Odds]="","",(BetTable[WBA1-Commission])-BetTable[TS])</f>
        <v>60.480000000000004</v>
      </c>
      <c r="Y1479" s="168">
        <f>IF(BetTable[Outcome]="","",BetTable[WBA1]+BetTable[WBA2]+BetTable[WBA3]-BetTable[TS])</f>
        <v>-56</v>
      </c>
      <c r="Z1479" s="164">
        <f>(((BetTable[Odds]-1)*BetTable[Stake])*(1-(BetTable[Comm %]))+BetTable[Stake])</f>
        <v>116.48</v>
      </c>
      <c r="AA1479" s="164">
        <f>(((BetTable[O2]-1)*BetTable[S2])*(1-(BetTable[C% 2]))+BetTable[S2])</f>
        <v>0</v>
      </c>
      <c r="AB1479" s="164">
        <f>(((BetTable[O3]-1)*BetTable[S3])*(1-(BetTable[C% 3]))+BetTable[S3])</f>
        <v>0</v>
      </c>
      <c r="AC1479" s="165">
        <f>IFERROR(IF(BetTable[Sport]="","",BetTable[R1]/BetTable[TS]),"")</f>
        <v>1.08</v>
      </c>
      <c r="AD1479" s="165" t="str">
        <f>IF(BetTable[O2]="","",#REF!/BetTable[TS])</f>
        <v/>
      </c>
      <c r="AE1479" s="165" t="str">
        <f>IFERROR(IF(BetTable[Sport]="","",#REF!/BetTable[TS]),"")</f>
        <v/>
      </c>
      <c r="AF1479" s="164">
        <f>IF(BetTable[Outcome]="Win",BetTable[WBA1-Commission],IF(BetTable[Outcome]="Win Half Stake",(BetTable[Stake]/2)+BetTable[WBA1-Commission]/2,IF(BetTable[Outcome]="Lose Half Stake",BetTable[Stake]/2,IF(BetTable[Outcome]="Lose",0,IF(BetTable[Outcome]="Void",BetTable[Stake],)))))</f>
        <v>0</v>
      </c>
      <c r="AG1479" s="164">
        <f>IF(BetTable[Outcome2]="Win",BetTable[WBA2-Commission],IF(BetTable[Outcome2]="Win Half Stake",(BetTable[S2]/2)+BetTable[WBA2-Commission]/2,IF(BetTable[Outcome2]="Lose Half Stake",BetTable[S2]/2,IF(BetTable[Outcome2]="Lose",0,IF(BetTable[Outcome2]="Void",BetTable[S2],)))))</f>
        <v>0</v>
      </c>
      <c r="AH1479" s="164">
        <f>IF(BetTable[Outcome3]="Win",BetTable[WBA3-Commission],IF(BetTable[Outcome3]="Win Half Stake",(BetTable[S3]/2)+BetTable[WBA3-Commission]/2,IF(BetTable[Outcome3]="Lose Half Stake",BetTable[S3]/2,IF(BetTable[Outcome3]="Lose",0,IF(BetTable[Outcome3]="Void",BetTable[S3],)))))</f>
        <v>0</v>
      </c>
      <c r="AI1479" s="168">
        <f>IF(BetTable[Outcome]="",AI1478,BetTable[Result]+AI1478)</f>
        <v>2740.4327499999999</v>
      </c>
      <c r="AJ1479" s="160"/>
    </row>
    <row r="1480" spans="1:36" x14ac:dyDescent="0.2">
      <c r="A1480" s="159" t="s">
        <v>3324</v>
      </c>
      <c r="B1480" s="160" t="s">
        <v>200</v>
      </c>
      <c r="C1480" s="161" t="s">
        <v>1714</v>
      </c>
      <c r="D1480" s="161"/>
      <c r="E1480" s="161"/>
      <c r="F1480" s="162"/>
      <c r="G1480" s="162"/>
      <c r="H1480" s="162"/>
      <c r="I1480" s="160" t="s">
        <v>3520</v>
      </c>
      <c r="J1480" s="163">
        <v>1.88</v>
      </c>
      <c r="K1480" s="163"/>
      <c r="L1480" s="163"/>
      <c r="M1480" s="164">
        <v>52</v>
      </c>
      <c r="N1480" s="164"/>
      <c r="O1480" s="164"/>
      <c r="P1480" s="159" t="s">
        <v>3521</v>
      </c>
      <c r="Q1480" s="159" t="s">
        <v>3522</v>
      </c>
      <c r="R1480" s="159" t="s">
        <v>3523</v>
      </c>
      <c r="S1480" s="165">
        <v>2.36895501756813E-2</v>
      </c>
      <c r="T1480" s="166" t="s">
        <v>382</v>
      </c>
      <c r="U1480" s="166"/>
      <c r="V1480" s="166"/>
      <c r="W1480" s="167">
        <f>IF(BetTable[Sport]="","",BetTable[Stake]+BetTable[S2]+BetTable[S3])</f>
        <v>52</v>
      </c>
      <c r="X1480" s="164">
        <f>IF(BetTable[Odds]="","",(BetTable[WBA1-Commission])-BetTable[TS])</f>
        <v>45.759999999999991</v>
      </c>
      <c r="Y1480" s="168">
        <f>IF(BetTable[Outcome]="","",BetTable[WBA1]+BetTable[WBA2]+BetTable[WBA3]-BetTable[TS])</f>
        <v>-52</v>
      </c>
      <c r="Z1480" s="164">
        <f>(((BetTable[Odds]-1)*BetTable[Stake])*(1-(BetTable[Comm %]))+BetTable[Stake])</f>
        <v>97.759999999999991</v>
      </c>
      <c r="AA1480" s="164">
        <f>(((BetTable[O2]-1)*BetTable[S2])*(1-(BetTable[C% 2]))+BetTable[S2])</f>
        <v>0</v>
      </c>
      <c r="AB1480" s="164">
        <f>(((BetTable[O3]-1)*BetTable[S3])*(1-(BetTable[C% 3]))+BetTable[S3])</f>
        <v>0</v>
      </c>
      <c r="AC1480" s="165">
        <f>IFERROR(IF(BetTable[Sport]="","",BetTable[R1]/BetTable[TS]),"")</f>
        <v>0.87999999999999978</v>
      </c>
      <c r="AD1480" s="165" t="str">
        <f>IF(BetTable[O2]="","",#REF!/BetTable[TS])</f>
        <v/>
      </c>
      <c r="AE1480" s="165" t="str">
        <f>IFERROR(IF(BetTable[Sport]="","",#REF!/BetTable[TS]),"")</f>
        <v/>
      </c>
      <c r="AF1480" s="164">
        <f>IF(BetTable[Outcome]="Win",BetTable[WBA1-Commission],IF(BetTable[Outcome]="Win Half Stake",(BetTable[Stake]/2)+BetTable[WBA1-Commission]/2,IF(BetTable[Outcome]="Lose Half Stake",BetTable[Stake]/2,IF(BetTable[Outcome]="Lose",0,IF(BetTable[Outcome]="Void",BetTable[Stake],)))))</f>
        <v>0</v>
      </c>
      <c r="AG1480" s="164">
        <f>IF(BetTable[Outcome2]="Win",BetTable[WBA2-Commission],IF(BetTable[Outcome2]="Win Half Stake",(BetTable[S2]/2)+BetTable[WBA2-Commission]/2,IF(BetTable[Outcome2]="Lose Half Stake",BetTable[S2]/2,IF(BetTable[Outcome2]="Lose",0,IF(BetTable[Outcome2]="Void",BetTable[S2],)))))</f>
        <v>0</v>
      </c>
      <c r="AH1480" s="164">
        <f>IF(BetTable[Outcome3]="Win",BetTable[WBA3-Commission],IF(BetTable[Outcome3]="Win Half Stake",(BetTable[S3]/2)+BetTable[WBA3-Commission]/2,IF(BetTable[Outcome3]="Lose Half Stake",BetTable[S3]/2,IF(BetTable[Outcome3]="Lose",0,IF(BetTable[Outcome3]="Void",BetTable[S3],)))))</f>
        <v>0</v>
      </c>
      <c r="AI1480" s="168">
        <f>IF(BetTable[Outcome]="",AI1479,BetTable[Result]+AI1479)</f>
        <v>2688.4327499999999</v>
      </c>
      <c r="AJ1480" s="160"/>
    </row>
    <row r="1481" spans="1:36" x14ac:dyDescent="0.2">
      <c r="A1481" s="159" t="s">
        <v>3324</v>
      </c>
      <c r="B1481" s="160" t="s">
        <v>200</v>
      </c>
      <c r="C1481" s="161" t="s">
        <v>1714</v>
      </c>
      <c r="D1481" s="161"/>
      <c r="E1481" s="161"/>
      <c r="F1481" s="162"/>
      <c r="G1481" s="162"/>
      <c r="H1481" s="162"/>
      <c r="I1481" s="160" t="s">
        <v>3524</v>
      </c>
      <c r="J1481" s="163">
        <v>1.89</v>
      </c>
      <c r="K1481" s="163"/>
      <c r="L1481" s="163"/>
      <c r="M1481" s="164">
        <v>66</v>
      </c>
      <c r="N1481" s="164"/>
      <c r="O1481" s="164"/>
      <c r="P1481" s="159" t="s">
        <v>457</v>
      </c>
      <c r="Q1481" s="159" t="s">
        <v>506</v>
      </c>
      <c r="R1481" s="159" t="s">
        <v>3525</v>
      </c>
      <c r="S1481" s="165">
        <v>3.02892680135231E-2</v>
      </c>
      <c r="T1481" s="166" t="s">
        <v>549</v>
      </c>
      <c r="U1481" s="166"/>
      <c r="V1481" s="166"/>
      <c r="W1481" s="167">
        <f>IF(BetTable[Sport]="","",BetTable[Stake]+BetTable[S2]+BetTable[S3])</f>
        <v>66</v>
      </c>
      <c r="X1481" s="164">
        <f>IF(BetTable[Odds]="","",(BetTable[WBA1-Commission])-BetTable[TS])</f>
        <v>58.739999999999995</v>
      </c>
      <c r="Y1481" s="168">
        <f>IF(BetTable[Outcome]="","",BetTable[WBA1]+BetTable[WBA2]+BetTable[WBA3]-BetTable[TS])</f>
        <v>-33</v>
      </c>
      <c r="Z1481" s="164">
        <f>(((BetTable[Odds]-1)*BetTable[Stake])*(1-(BetTable[Comm %]))+BetTable[Stake])</f>
        <v>124.74</v>
      </c>
      <c r="AA1481" s="164">
        <f>(((BetTable[O2]-1)*BetTable[S2])*(1-(BetTable[C% 2]))+BetTable[S2])</f>
        <v>0</v>
      </c>
      <c r="AB1481" s="164">
        <f>(((BetTable[O3]-1)*BetTable[S3])*(1-(BetTable[C% 3]))+BetTable[S3])</f>
        <v>0</v>
      </c>
      <c r="AC1481" s="165">
        <f>IFERROR(IF(BetTable[Sport]="","",BetTable[R1]/BetTable[TS]),"")</f>
        <v>0.8899999999999999</v>
      </c>
      <c r="AD1481" s="165" t="str">
        <f>IF(BetTable[O2]="","",#REF!/BetTable[TS])</f>
        <v/>
      </c>
      <c r="AE1481" s="165" t="str">
        <f>IFERROR(IF(BetTable[Sport]="","",#REF!/BetTable[TS]),"")</f>
        <v/>
      </c>
      <c r="AF1481" s="164">
        <f>IF(BetTable[Outcome]="Win",BetTable[WBA1-Commission],IF(BetTable[Outcome]="Win Half Stake",(BetTable[Stake]/2)+BetTable[WBA1-Commission]/2,IF(BetTable[Outcome]="Lose Half Stake",BetTable[Stake]/2,IF(BetTable[Outcome]="Lose",0,IF(BetTable[Outcome]="Void",BetTable[Stake],)))))</f>
        <v>33</v>
      </c>
      <c r="AG1481" s="164">
        <f>IF(BetTable[Outcome2]="Win",BetTable[WBA2-Commission],IF(BetTable[Outcome2]="Win Half Stake",(BetTable[S2]/2)+BetTable[WBA2-Commission]/2,IF(BetTable[Outcome2]="Lose Half Stake",BetTable[S2]/2,IF(BetTable[Outcome2]="Lose",0,IF(BetTable[Outcome2]="Void",BetTable[S2],)))))</f>
        <v>0</v>
      </c>
      <c r="AH1481" s="164">
        <f>IF(BetTable[Outcome3]="Win",BetTable[WBA3-Commission],IF(BetTable[Outcome3]="Win Half Stake",(BetTable[S3]/2)+BetTable[WBA3-Commission]/2,IF(BetTable[Outcome3]="Lose Half Stake",BetTable[S3]/2,IF(BetTable[Outcome3]="Lose",0,IF(BetTable[Outcome3]="Void",BetTable[S3],)))))</f>
        <v>0</v>
      </c>
      <c r="AI1481" s="168">
        <f>IF(BetTable[Outcome]="",AI1480,BetTable[Result]+AI1480)</f>
        <v>2655.4327499999999</v>
      </c>
      <c r="AJ1481" s="160"/>
    </row>
    <row r="1482" spans="1:36" x14ac:dyDescent="0.2">
      <c r="A1482" s="159" t="s">
        <v>3324</v>
      </c>
      <c r="B1482" s="160" t="s">
        <v>200</v>
      </c>
      <c r="C1482" s="161" t="s">
        <v>1714</v>
      </c>
      <c r="D1482" s="161"/>
      <c r="E1482" s="161"/>
      <c r="F1482" s="162"/>
      <c r="G1482" s="162"/>
      <c r="H1482" s="162"/>
      <c r="I1482" s="160" t="s">
        <v>3526</v>
      </c>
      <c r="J1482" s="163">
        <v>1.78</v>
      </c>
      <c r="K1482" s="163"/>
      <c r="L1482" s="163"/>
      <c r="M1482" s="164">
        <v>49</v>
      </c>
      <c r="N1482" s="164"/>
      <c r="O1482" s="164"/>
      <c r="P1482" s="159" t="s">
        <v>498</v>
      </c>
      <c r="Q1482" s="159" t="s">
        <v>506</v>
      </c>
      <c r="R1482" s="159" t="s">
        <v>3527</v>
      </c>
      <c r="S1482" s="165">
        <v>1.9411760354154001E-2</v>
      </c>
      <c r="T1482" s="166" t="s">
        <v>372</v>
      </c>
      <c r="U1482" s="166"/>
      <c r="V1482" s="166"/>
      <c r="W1482" s="167">
        <f>IF(BetTable[Sport]="","",BetTable[Stake]+BetTable[S2]+BetTable[S3])</f>
        <v>49</v>
      </c>
      <c r="X1482" s="164">
        <f>IF(BetTable[Odds]="","",(BetTable[WBA1-Commission])-BetTable[TS])</f>
        <v>38.22</v>
      </c>
      <c r="Y1482" s="168">
        <f>IF(BetTable[Outcome]="","",BetTable[WBA1]+BetTable[WBA2]+BetTable[WBA3]-BetTable[TS])</f>
        <v>38.22</v>
      </c>
      <c r="Z1482" s="164">
        <f>(((BetTable[Odds]-1)*BetTable[Stake])*(1-(BetTable[Comm %]))+BetTable[Stake])</f>
        <v>87.22</v>
      </c>
      <c r="AA1482" s="164">
        <f>(((BetTable[O2]-1)*BetTable[S2])*(1-(BetTable[C% 2]))+BetTable[S2])</f>
        <v>0</v>
      </c>
      <c r="AB1482" s="164">
        <f>(((BetTable[O3]-1)*BetTable[S3])*(1-(BetTable[C% 3]))+BetTable[S3])</f>
        <v>0</v>
      </c>
      <c r="AC1482" s="165">
        <f>IFERROR(IF(BetTable[Sport]="","",BetTable[R1]/BetTable[TS]),"")</f>
        <v>0.78</v>
      </c>
      <c r="AD1482" s="165" t="str">
        <f>IF(BetTable[O2]="","",#REF!/BetTable[TS])</f>
        <v/>
      </c>
      <c r="AE1482" s="165" t="str">
        <f>IFERROR(IF(BetTable[Sport]="","",#REF!/BetTable[TS]),"")</f>
        <v/>
      </c>
      <c r="AF1482" s="164">
        <f>IF(BetTable[Outcome]="Win",BetTable[WBA1-Commission],IF(BetTable[Outcome]="Win Half Stake",(BetTable[Stake]/2)+BetTable[WBA1-Commission]/2,IF(BetTable[Outcome]="Lose Half Stake",BetTable[Stake]/2,IF(BetTable[Outcome]="Lose",0,IF(BetTable[Outcome]="Void",BetTable[Stake],)))))</f>
        <v>87.22</v>
      </c>
      <c r="AG1482" s="164">
        <f>IF(BetTable[Outcome2]="Win",BetTable[WBA2-Commission],IF(BetTable[Outcome2]="Win Half Stake",(BetTable[S2]/2)+BetTable[WBA2-Commission]/2,IF(BetTable[Outcome2]="Lose Half Stake",BetTable[S2]/2,IF(BetTable[Outcome2]="Lose",0,IF(BetTable[Outcome2]="Void",BetTable[S2],)))))</f>
        <v>0</v>
      </c>
      <c r="AH1482" s="164">
        <f>IF(BetTable[Outcome3]="Win",BetTable[WBA3-Commission],IF(BetTable[Outcome3]="Win Half Stake",(BetTable[S3]/2)+BetTable[WBA3-Commission]/2,IF(BetTable[Outcome3]="Lose Half Stake",BetTable[S3]/2,IF(BetTable[Outcome3]="Lose",0,IF(BetTable[Outcome3]="Void",BetTable[S3],)))))</f>
        <v>0</v>
      </c>
      <c r="AI1482" s="168">
        <f>IF(BetTable[Outcome]="",AI1481,BetTable[Result]+AI1481)</f>
        <v>2693.6527499999997</v>
      </c>
      <c r="AJ1482" s="160"/>
    </row>
    <row r="1483" spans="1:36" x14ac:dyDescent="0.2">
      <c r="A1483" s="159" t="s">
        <v>3324</v>
      </c>
      <c r="B1483" s="160" t="s">
        <v>7</v>
      </c>
      <c r="C1483" s="161" t="s">
        <v>91</v>
      </c>
      <c r="D1483" s="161"/>
      <c r="E1483" s="161"/>
      <c r="F1483" s="162"/>
      <c r="G1483" s="162"/>
      <c r="H1483" s="162"/>
      <c r="I1483" s="160" t="s">
        <v>3528</v>
      </c>
      <c r="J1483" s="163">
        <v>1.91</v>
      </c>
      <c r="K1483" s="163"/>
      <c r="L1483" s="163"/>
      <c r="M1483" s="164">
        <v>41</v>
      </c>
      <c r="N1483" s="164"/>
      <c r="O1483" s="164"/>
      <c r="P1483" s="159" t="s">
        <v>1286</v>
      </c>
      <c r="Q1483" s="159" t="s">
        <v>488</v>
      </c>
      <c r="R1483" s="159" t="s">
        <v>3529</v>
      </c>
      <c r="S1483" s="165">
        <v>1.9296609006828499E-2</v>
      </c>
      <c r="T1483" s="166" t="s">
        <v>382</v>
      </c>
      <c r="U1483" s="166"/>
      <c r="V1483" s="166"/>
      <c r="W1483" s="167">
        <f>IF(BetTable[Sport]="","",BetTable[Stake]+BetTable[S2]+BetTable[S3])</f>
        <v>41</v>
      </c>
      <c r="X1483" s="164">
        <f>IF(BetTable[Odds]="","",(BetTable[WBA1-Commission])-BetTable[TS])</f>
        <v>37.31</v>
      </c>
      <c r="Y1483" s="168">
        <f>IF(BetTable[Outcome]="","",BetTable[WBA1]+BetTable[WBA2]+BetTable[WBA3]-BetTable[TS])</f>
        <v>-41</v>
      </c>
      <c r="Z1483" s="164">
        <f>(((BetTable[Odds]-1)*BetTable[Stake])*(1-(BetTable[Comm %]))+BetTable[Stake])</f>
        <v>78.31</v>
      </c>
      <c r="AA1483" s="164">
        <f>(((BetTable[O2]-1)*BetTable[S2])*(1-(BetTable[C% 2]))+BetTable[S2])</f>
        <v>0</v>
      </c>
      <c r="AB1483" s="164">
        <f>(((BetTable[O3]-1)*BetTable[S3])*(1-(BetTable[C% 3]))+BetTable[S3])</f>
        <v>0</v>
      </c>
      <c r="AC1483" s="165">
        <f>IFERROR(IF(BetTable[Sport]="","",BetTable[R1]/BetTable[TS]),"")</f>
        <v>0.91</v>
      </c>
      <c r="AD1483" s="165" t="str">
        <f>IF(BetTable[O2]="","",#REF!/BetTable[TS])</f>
        <v/>
      </c>
      <c r="AE1483" s="165" t="str">
        <f>IFERROR(IF(BetTable[Sport]="","",#REF!/BetTable[TS]),"")</f>
        <v/>
      </c>
      <c r="AF1483" s="164">
        <f>IF(BetTable[Outcome]="Win",BetTable[WBA1-Commission],IF(BetTable[Outcome]="Win Half Stake",(BetTable[Stake]/2)+BetTable[WBA1-Commission]/2,IF(BetTable[Outcome]="Lose Half Stake",BetTable[Stake]/2,IF(BetTable[Outcome]="Lose",0,IF(BetTable[Outcome]="Void",BetTable[Stake],)))))</f>
        <v>0</v>
      </c>
      <c r="AG1483" s="164">
        <f>IF(BetTable[Outcome2]="Win",BetTable[WBA2-Commission],IF(BetTable[Outcome2]="Win Half Stake",(BetTable[S2]/2)+BetTable[WBA2-Commission]/2,IF(BetTable[Outcome2]="Lose Half Stake",BetTable[S2]/2,IF(BetTable[Outcome2]="Lose",0,IF(BetTable[Outcome2]="Void",BetTable[S2],)))))</f>
        <v>0</v>
      </c>
      <c r="AH1483" s="164">
        <f>IF(BetTable[Outcome3]="Win",BetTable[WBA3-Commission],IF(BetTable[Outcome3]="Win Half Stake",(BetTable[S3]/2)+BetTable[WBA3-Commission]/2,IF(BetTable[Outcome3]="Lose Half Stake",BetTable[S3]/2,IF(BetTable[Outcome3]="Lose",0,IF(BetTable[Outcome3]="Void",BetTable[S3],)))))</f>
        <v>0</v>
      </c>
      <c r="AI1483" s="168">
        <f>IF(BetTable[Outcome]="",AI1482,BetTable[Result]+AI1482)</f>
        <v>2652.6527499999997</v>
      </c>
      <c r="AJ1483" s="160"/>
    </row>
    <row r="1484" spans="1:36" x14ac:dyDescent="0.2">
      <c r="A1484" s="159" t="s">
        <v>3324</v>
      </c>
      <c r="B1484" s="160" t="s">
        <v>7</v>
      </c>
      <c r="C1484" s="161" t="s">
        <v>1714</v>
      </c>
      <c r="D1484" s="161"/>
      <c r="E1484" s="161"/>
      <c r="F1484" s="162"/>
      <c r="G1484" s="162"/>
      <c r="H1484" s="162"/>
      <c r="I1484" s="160" t="s">
        <v>3462</v>
      </c>
      <c r="J1484" s="163">
        <v>2</v>
      </c>
      <c r="K1484" s="163"/>
      <c r="L1484" s="163"/>
      <c r="M1484" s="164">
        <v>51</v>
      </c>
      <c r="N1484" s="164"/>
      <c r="O1484" s="164"/>
      <c r="P1484" s="159" t="s">
        <v>2089</v>
      </c>
      <c r="Q1484" s="159" t="s">
        <v>530</v>
      </c>
      <c r="R1484" s="159" t="s">
        <v>3530</v>
      </c>
      <c r="S1484" s="165">
        <v>3.03205223065812E-2</v>
      </c>
      <c r="T1484" s="166" t="s">
        <v>382</v>
      </c>
      <c r="U1484" s="166"/>
      <c r="V1484" s="166"/>
      <c r="W1484" s="167">
        <f>IF(BetTable[Sport]="","",BetTable[Stake]+BetTable[S2]+BetTable[S3])</f>
        <v>51</v>
      </c>
      <c r="X1484" s="164">
        <f>IF(BetTable[Odds]="","",(BetTable[WBA1-Commission])-BetTable[TS])</f>
        <v>51</v>
      </c>
      <c r="Y1484" s="168">
        <f>IF(BetTable[Outcome]="","",BetTable[WBA1]+BetTable[WBA2]+BetTable[WBA3]-BetTable[TS])</f>
        <v>-51</v>
      </c>
      <c r="Z1484" s="164">
        <f>(((BetTable[Odds]-1)*BetTable[Stake])*(1-(BetTable[Comm %]))+BetTable[Stake])</f>
        <v>102</v>
      </c>
      <c r="AA1484" s="164">
        <f>(((BetTable[O2]-1)*BetTable[S2])*(1-(BetTable[C% 2]))+BetTable[S2])</f>
        <v>0</v>
      </c>
      <c r="AB1484" s="164">
        <f>(((BetTable[O3]-1)*BetTable[S3])*(1-(BetTable[C% 3]))+BetTable[S3])</f>
        <v>0</v>
      </c>
      <c r="AC1484" s="165">
        <f>IFERROR(IF(BetTable[Sport]="","",BetTable[R1]/BetTable[TS]),"")</f>
        <v>1</v>
      </c>
      <c r="AD1484" s="165" t="str">
        <f>IF(BetTable[O2]="","",#REF!/BetTable[TS])</f>
        <v/>
      </c>
      <c r="AE1484" s="165" t="str">
        <f>IFERROR(IF(BetTable[Sport]="","",#REF!/BetTable[TS]),"")</f>
        <v/>
      </c>
      <c r="AF1484" s="164">
        <f>IF(BetTable[Outcome]="Win",BetTable[WBA1-Commission],IF(BetTable[Outcome]="Win Half Stake",(BetTable[Stake]/2)+BetTable[WBA1-Commission]/2,IF(BetTable[Outcome]="Lose Half Stake",BetTable[Stake]/2,IF(BetTable[Outcome]="Lose",0,IF(BetTable[Outcome]="Void",BetTable[Stake],)))))</f>
        <v>0</v>
      </c>
      <c r="AG1484" s="164">
        <f>IF(BetTable[Outcome2]="Win",BetTable[WBA2-Commission],IF(BetTable[Outcome2]="Win Half Stake",(BetTable[S2]/2)+BetTable[WBA2-Commission]/2,IF(BetTable[Outcome2]="Lose Half Stake",BetTable[S2]/2,IF(BetTable[Outcome2]="Lose",0,IF(BetTable[Outcome2]="Void",BetTable[S2],)))))</f>
        <v>0</v>
      </c>
      <c r="AH1484" s="164">
        <f>IF(BetTable[Outcome3]="Win",BetTable[WBA3-Commission],IF(BetTable[Outcome3]="Win Half Stake",(BetTable[S3]/2)+BetTable[WBA3-Commission]/2,IF(BetTable[Outcome3]="Lose Half Stake",BetTable[S3]/2,IF(BetTable[Outcome3]="Lose",0,IF(BetTable[Outcome3]="Void",BetTable[S3],)))))</f>
        <v>0</v>
      </c>
      <c r="AI1484" s="168">
        <f>IF(BetTable[Outcome]="",AI1483,BetTable[Result]+AI1483)</f>
        <v>2601.6527499999997</v>
      </c>
      <c r="AJ1484" s="160"/>
    </row>
    <row r="1485" spans="1:36" x14ac:dyDescent="0.2">
      <c r="A1485" s="159" t="s">
        <v>3324</v>
      </c>
      <c r="B1485" s="160" t="s">
        <v>200</v>
      </c>
      <c r="C1485" s="161" t="s">
        <v>1714</v>
      </c>
      <c r="D1485" s="161"/>
      <c r="E1485" s="161"/>
      <c r="F1485" s="162"/>
      <c r="G1485" s="162"/>
      <c r="H1485" s="162"/>
      <c r="I1485" s="160" t="s">
        <v>3531</v>
      </c>
      <c r="J1485" s="163">
        <v>3.9</v>
      </c>
      <c r="K1485" s="163"/>
      <c r="L1485" s="163"/>
      <c r="M1485" s="164">
        <v>28</v>
      </c>
      <c r="N1485" s="164"/>
      <c r="O1485" s="164"/>
      <c r="P1485" s="159" t="s">
        <v>435</v>
      </c>
      <c r="Q1485" s="159" t="s">
        <v>1083</v>
      </c>
      <c r="R1485" s="159" t="s">
        <v>3532</v>
      </c>
      <c r="S1485" s="165">
        <v>4.1540882761527703E-2</v>
      </c>
      <c r="T1485" s="166" t="s">
        <v>382</v>
      </c>
      <c r="U1485" s="166"/>
      <c r="V1485" s="166"/>
      <c r="W1485" s="167">
        <f>IF(BetTable[Sport]="","",BetTable[Stake]+BetTable[S2]+BetTable[S3])</f>
        <v>28</v>
      </c>
      <c r="X1485" s="164">
        <f>IF(BetTable[Odds]="","",(BetTable[WBA1-Commission])-BetTable[TS])</f>
        <v>81.2</v>
      </c>
      <c r="Y1485" s="168">
        <f>IF(BetTable[Outcome]="","",BetTable[WBA1]+BetTable[WBA2]+BetTable[WBA3]-BetTable[TS])</f>
        <v>-28</v>
      </c>
      <c r="Z1485" s="164">
        <f>(((BetTable[Odds]-1)*BetTable[Stake])*(1-(BetTable[Comm %]))+BetTable[Stake])</f>
        <v>109.2</v>
      </c>
      <c r="AA1485" s="164">
        <f>(((BetTable[O2]-1)*BetTable[S2])*(1-(BetTable[C% 2]))+BetTable[S2])</f>
        <v>0</v>
      </c>
      <c r="AB1485" s="164">
        <f>(((BetTable[O3]-1)*BetTable[S3])*(1-(BetTable[C% 3]))+BetTable[S3])</f>
        <v>0</v>
      </c>
      <c r="AC1485" s="165">
        <f>IFERROR(IF(BetTable[Sport]="","",BetTable[R1]/BetTable[TS]),"")</f>
        <v>2.9</v>
      </c>
      <c r="AD1485" s="165" t="str">
        <f>IF(BetTable[O2]="","",#REF!/BetTable[TS])</f>
        <v/>
      </c>
      <c r="AE1485" s="165" t="str">
        <f>IFERROR(IF(BetTable[Sport]="","",#REF!/BetTable[TS]),"")</f>
        <v/>
      </c>
      <c r="AF1485" s="164">
        <f>IF(BetTable[Outcome]="Win",BetTable[WBA1-Commission],IF(BetTable[Outcome]="Win Half Stake",(BetTable[Stake]/2)+BetTable[WBA1-Commission]/2,IF(BetTable[Outcome]="Lose Half Stake",BetTable[Stake]/2,IF(BetTable[Outcome]="Lose",0,IF(BetTable[Outcome]="Void",BetTable[Stake],)))))</f>
        <v>0</v>
      </c>
      <c r="AG1485" s="164">
        <f>IF(BetTable[Outcome2]="Win",BetTable[WBA2-Commission],IF(BetTable[Outcome2]="Win Half Stake",(BetTable[S2]/2)+BetTable[WBA2-Commission]/2,IF(BetTable[Outcome2]="Lose Half Stake",BetTable[S2]/2,IF(BetTable[Outcome2]="Lose",0,IF(BetTable[Outcome2]="Void",BetTable[S2],)))))</f>
        <v>0</v>
      </c>
      <c r="AH1485" s="164">
        <f>IF(BetTable[Outcome3]="Win",BetTable[WBA3-Commission],IF(BetTable[Outcome3]="Win Half Stake",(BetTable[S3]/2)+BetTable[WBA3-Commission]/2,IF(BetTable[Outcome3]="Lose Half Stake",BetTable[S3]/2,IF(BetTable[Outcome3]="Lose",0,IF(BetTable[Outcome3]="Void",BetTable[S3],)))))</f>
        <v>0</v>
      </c>
      <c r="AI1485" s="168">
        <f>IF(BetTable[Outcome]="",AI1484,BetTable[Result]+AI1484)</f>
        <v>2573.6527499999997</v>
      </c>
      <c r="AJ1485" s="160"/>
    </row>
    <row r="1486" spans="1:36" x14ac:dyDescent="0.2">
      <c r="A1486" s="159" t="s">
        <v>3324</v>
      </c>
      <c r="B1486" s="160" t="s">
        <v>7</v>
      </c>
      <c r="C1486" s="161" t="s">
        <v>1714</v>
      </c>
      <c r="D1486" s="161"/>
      <c r="E1486" s="161"/>
      <c r="F1486" s="162"/>
      <c r="G1486" s="162"/>
      <c r="H1486" s="162"/>
      <c r="I1486" s="160" t="s">
        <v>3533</v>
      </c>
      <c r="J1486" s="163">
        <v>2.17</v>
      </c>
      <c r="K1486" s="163"/>
      <c r="L1486" s="163"/>
      <c r="M1486" s="164">
        <v>32</v>
      </c>
      <c r="N1486" s="164"/>
      <c r="O1486" s="164"/>
      <c r="P1486" s="159" t="s">
        <v>3153</v>
      </c>
      <c r="Q1486" s="159" t="s">
        <v>581</v>
      </c>
      <c r="R1486" s="159" t="s">
        <v>3534</v>
      </c>
      <c r="S1486" s="165">
        <v>2.1503176598486801E-2</v>
      </c>
      <c r="T1486" s="166" t="s">
        <v>372</v>
      </c>
      <c r="U1486" s="166"/>
      <c r="V1486" s="166"/>
      <c r="W1486" s="167">
        <f>IF(BetTable[Sport]="","",BetTable[Stake]+BetTable[S2]+BetTable[S3])</f>
        <v>32</v>
      </c>
      <c r="X1486" s="164">
        <f>IF(BetTable[Odds]="","",(BetTable[WBA1-Commission])-BetTable[TS])</f>
        <v>37.44</v>
      </c>
      <c r="Y1486" s="168">
        <f>IF(BetTable[Outcome]="","",BetTable[WBA1]+BetTable[WBA2]+BetTable[WBA3]-BetTable[TS])</f>
        <v>37.44</v>
      </c>
      <c r="Z1486" s="164">
        <f>(((BetTable[Odds]-1)*BetTable[Stake])*(1-(BetTable[Comm %]))+BetTable[Stake])</f>
        <v>69.44</v>
      </c>
      <c r="AA1486" s="164">
        <f>(((BetTable[O2]-1)*BetTable[S2])*(1-(BetTable[C% 2]))+BetTable[S2])</f>
        <v>0</v>
      </c>
      <c r="AB1486" s="164">
        <f>(((BetTable[O3]-1)*BetTable[S3])*(1-(BetTable[C% 3]))+BetTable[S3])</f>
        <v>0</v>
      </c>
      <c r="AC1486" s="165">
        <f>IFERROR(IF(BetTable[Sport]="","",BetTable[R1]/BetTable[TS]),"")</f>
        <v>1.17</v>
      </c>
      <c r="AD1486" s="165" t="str">
        <f>IF(BetTable[O2]="","",#REF!/BetTable[TS])</f>
        <v/>
      </c>
      <c r="AE1486" s="165" t="str">
        <f>IFERROR(IF(BetTable[Sport]="","",#REF!/BetTable[TS]),"")</f>
        <v/>
      </c>
      <c r="AF1486" s="164">
        <f>IF(BetTable[Outcome]="Win",BetTable[WBA1-Commission],IF(BetTable[Outcome]="Win Half Stake",(BetTable[Stake]/2)+BetTable[WBA1-Commission]/2,IF(BetTable[Outcome]="Lose Half Stake",BetTable[Stake]/2,IF(BetTable[Outcome]="Lose",0,IF(BetTable[Outcome]="Void",BetTable[Stake],)))))</f>
        <v>69.44</v>
      </c>
      <c r="AG1486" s="164">
        <f>IF(BetTable[Outcome2]="Win",BetTable[WBA2-Commission],IF(BetTable[Outcome2]="Win Half Stake",(BetTable[S2]/2)+BetTable[WBA2-Commission]/2,IF(BetTable[Outcome2]="Lose Half Stake",BetTable[S2]/2,IF(BetTable[Outcome2]="Lose",0,IF(BetTable[Outcome2]="Void",BetTable[S2],)))))</f>
        <v>0</v>
      </c>
      <c r="AH1486" s="164">
        <f>IF(BetTable[Outcome3]="Win",BetTable[WBA3-Commission],IF(BetTable[Outcome3]="Win Half Stake",(BetTable[S3]/2)+BetTable[WBA3-Commission]/2,IF(BetTable[Outcome3]="Lose Half Stake",BetTable[S3]/2,IF(BetTable[Outcome3]="Lose",0,IF(BetTable[Outcome3]="Void",BetTable[S3],)))))</f>
        <v>0</v>
      </c>
      <c r="AI1486" s="168">
        <f>IF(BetTable[Outcome]="",AI1485,BetTable[Result]+AI1485)</f>
        <v>2611.0927499999998</v>
      </c>
      <c r="AJ1486" s="160"/>
    </row>
    <row r="1487" spans="1:36" x14ac:dyDescent="0.2">
      <c r="A1487" s="159" t="s">
        <v>3324</v>
      </c>
      <c r="B1487" s="160" t="s">
        <v>200</v>
      </c>
      <c r="C1487" s="161" t="s">
        <v>1714</v>
      </c>
      <c r="D1487" s="161"/>
      <c r="E1487" s="161"/>
      <c r="F1487" s="162"/>
      <c r="G1487" s="162"/>
      <c r="H1487" s="162"/>
      <c r="I1487" s="160" t="s">
        <v>3535</v>
      </c>
      <c r="J1487" s="163">
        <v>1.76</v>
      </c>
      <c r="K1487" s="163"/>
      <c r="L1487" s="163"/>
      <c r="M1487" s="164">
        <v>62</v>
      </c>
      <c r="N1487" s="164"/>
      <c r="O1487" s="164"/>
      <c r="P1487" s="159" t="s">
        <v>453</v>
      </c>
      <c r="Q1487" s="159" t="s">
        <v>547</v>
      </c>
      <c r="R1487" s="159" t="s">
        <v>3536</v>
      </c>
      <c r="S1487" s="165">
        <v>2.4296354141536001E-2</v>
      </c>
      <c r="T1487" s="166" t="s">
        <v>382</v>
      </c>
      <c r="U1487" s="166"/>
      <c r="V1487" s="166"/>
      <c r="W1487" s="167">
        <f>IF(BetTable[Sport]="","",BetTable[Stake]+BetTable[S2]+BetTable[S3])</f>
        <v>62</v>
      </c>
      <c r="X1487" s="164">
        <f>IF(BetTable[Odds]="","",(BetTable[WBA1-Commission])-BetTable[TS])</f>
        <v>47.120000000000005</v>
      </c>
      <c r="Y1487" s="168">
        <f>IF(BetTable[Outcome]="","",BetTable[WBA1]+BetTable[WBA2]+BetTable[WBA3]-BetTable[TS])</f>
        <v>-62</v>
      </c>
      <c r="Z1487" s="164">
        <f>(((BetTable[Odds]-1)*BetTable[Stake])*(1-(BetTable[Comm %]))+BetTable[Stake])</f>
        <v>109.12</v>
      </c>
      <c r="AA1487" s="164">
        <f>(((BetTable[O2]-1)*BetTable[S2])*(1-(BetTable[C% 2]))+BetTable[S2])</f>
        <v>0</v>
      </c>
      <c r="AB1487" s="164">
        <f>(((BetTable[O3]-1)*BetTable[S3])*(1-(BetTable[C% 3]))+BetTable[S3])</f>
        <v>0</v>
      </c>
      <c r="AC1487" s="165">
        <f>IFERROR(IF(BetTable[Sport]="","",BetTable[R1]/BetTable[TS]),"")</f>
        <v>0.76000000000000012</v>
      </c>
      <c r="AD1487" s="165" t="str">
        <f>IF(BetTable[O2]="","",#REF!/BetTable[TS])</f>
        <v/>
      </c>
      <c r="AE1487" s="165" t="str">
        <f>IFERROR(IF(BetTable[Sport]="","",#REF!/BetTable[TS]),"")</f>
        <v/>
      </c>
      <c r="AF1487" s="164">
        <f>IF(BetTable[Outcome]="Win",BetTable[WBA1-Commission],IF(BetTable[Outcome]="Win Half Stake",(BetTable[Stake]/2)+BetTable[WBA1-Commission]/2,IF(BetTable[Outcome]="Lose Half Stake",BetTable[Stake]/2,IF(BetTable[Outcome]="Lose",0,IF(BetTable[Outcome]="Void",BetTable[Stake],)))))</f>
        <v>0</v>
      </c>
      <c r="AG1487" s="164">
        <f>IF(BetTable[Outcome2]="Win",BetTable[WBA2-Commission],IF(BetTable[Outcome2]="Win Half Stake",(BetTable[S2]/2)+BetTable[WBA2-Commission]/2,IF(BetTable[Outcome2]="Lose Half Stake",BetTable[S2]/2,IF(BetTable[Outcome2]="Lose",0,IF(BetTable[Outcome2]="Void",BetTable[S2],)))))</f>
        <v>0</v>
      </c>
      <c r="AH1487" s="164">
        <f>IF(BetTable[Outcome3]="Win",BetTable[WBA3-Commission],IF(BetTable[Outcome3]="Win Half Stake",(BetTable[S3]/2)+BetTable[WBA3-Commission]/2,IF(BetTable[Outcome3]="Lose Half Stake",BetTable[S3]/2,IF(BetTable[Outcome3]="Lose",0,IF(BetTable[Outcome3]="Void",BetTable[S3],)))))</f>
        <v>0</v>
      </c>
      <c r="AI1487" s="168">
        <f>IF(BetTable[Outcome]="",AI1486,BetTable[Result]+AI1486)</f>
        <v>2549.0927499999998</v>
      </c>
      <c r="AJ1487" s="160"/>
    </row>
    <row r="1488" spans="1:36" x14ac:dyDescent="0.2">
      <c r="A1488" s="159" t="s">
        <v>3324</v>
      </c>
      <c r="B1488" s="160" t="s">
        <v>7</v>
      </c>
      <c r="C1488" s="161" t="s">
        <v>91</v>
      </c>
      <c r="D1488" s="161"/>
      <c r="E1488" s="161"/>
      <c r="F1488" s="162"/>
      <c r="G1488" s="162"/>
      <c r="H1488" s="162"/>
      <c r="I1488" s="160" t="s">
        <v>3537</v>
      </c>
      <c r="J1488" s="163">
        <v>1.84</v>
      </c>
      <c r="K1488" s="163"/>
      <c r="L1488" s="163"/>
      <c r="M1488" s="164">
        <v>64</v>
      </c>
      <c r="N1488" s="164"/>
      <c r="O1488" s="164"/>
      <c r="P1488" s="159" t="s">
        <v>3538</v>
      </c>
      <c r="Q1488" s="159" t="s">
        <v>461</v>
      </c>
      <c r="R1488" s="159" t="s">
        <v>3539</v>
      </c>
      <c r="S1488" s="165">
        <v>3.1512094211218603E-2</v>
      </c>
      <c r="T1488" s="166" t="s">
        <v>372</v>
      </c>
      <c r="U1488" s="166"/>
      <c r="V1488" s="166"/>
      <c r="W1488" s="167">
        <f>IF(BetTable[Sport]="","",BetTable[Stake]+BetTable[S2]+BetTable[S3])</f>
        <v>64</v>
      </c>
      <c r="X1488" s="164">
        <f>IF(BetTable[Odds]="","",(BetTable[WBA1-Commission])-BetTable[TS])</f>
        <v>53.760000000000005</v>
      </c>
      <c r="Y1488" s="168">
        <f>IF(BetTable[Outcome]="","",BetTable[WBA1]+BetTable[WBA2]+BetTable[WBA3]-BetTable[TS])</f>
        <v>53.760000000000005</v>
      </c>
      <c r="Z1488" s="164">
        <f>(((BetTable[Odds]-1)*BetTable[Stake])*(1-(BetTable[Comm %]))+BetTable[Stake])</f>
        <v>117.76</v>
      </c>
      <c r="AA1488" s="164">
        <f>(((BetTable[O2]-1)*BetTable[S2])*(1-(BetTable[C% 2]))+BetTable[S2])</f>
        <v>0</v>
      </c>
      <c r="AB1488" s="164">
        <f>(((BetTable[O3]-1)*BetTable[S3])*(1-(BetTable[C% 3]))+BetTable[S3])</f>
        <v>0</v>
      </c>
      <c r="AC1488" s="165">
        <f>IFERROR(IF(BetTable[Sport]="","",BetTable[R1]/BetTable[TS]),"")</f>
        <v>0.84000000000000008</v>
      </c>
      <c r="AD1488" s="165" t="str">
        <f>IF(BetTable[O2]="","",#REF!/BetTable[TS])</f>
        <v/>
      </c>
      <c r="AE1488" s="165" t="str">
        <f>IFERROR(IF(BetTable[Sport]="","",#REF!/BetTable[TS]),"")</f>
        <v/>
      </c>
      <c r="AF1488" s="164">
        <f>IF(BetTable[Outcome]="Win",BetTable[WBA1-Commission],IF(BetTable[Outcome]="Win Half Stake",(BetTable[Stake]/2)+BetTable[WBA1-Commission]/2,IF(BetTable[Outcome]="Lose Half Stake",BetTable[Stake]/2,IF(BetTable[Outcome]="Lose",0,IF(BetTable[Outcome]="Void",BetTable[Stake],)))))</f>
        <v>117.76</v>
      </c>
      <c r="AG1488" s="164">
        <f>IF(BetTable[Outcome2]="Win",BetTable[WBA2-Commission],IF(BetTable[Outcome2]="Win Half Stake",(BetTable[S2]/2)+BetTable[WBA2-Commission]/2,IF(BetTable[Outcome2]="Lose Half Stake",BetTable[S2]/2,IF(BetTable[Outcome2]="Lose",0,IF(BetTable[Outcome2]="Void",BetTable[S2],)))))</f>
        <v>0</v>
      </c>
      <c r="AH1488" s="164">
        <f>IF(BetTable[Outcome3]="Win",BetTable[WBA3-Commission],IF(BetTable[Outcome3]="Win Half Stake",(BetTable[S3]/2)+BetTable[WBA3-Commission]/2,IF(BetTable[Outcome3]="Lose Half Stake",BetTable[S3]/2,IF(BetTable[Outcome3]="Lose",0,IF(BetTable[Outcome3]="Void",BetTable[S3],)))))</f>
        <v>0</v>
      </c>
      <c r="AI1488" s="168">
        <f>IF(BetTable[Outcome]="",AI1487,BetTable[Result]+AI1487)</f>
        <v>2602.85275</v>
      </c>
      <c r="AJ1488" s="160"/>
    </row>
    <row r="1489" spans="1:36" x14ac:dyDescent="0.2">
      <c r="A1489" s="159" t="s">
        <v>3324</v>
      </c>
      <c r="B1489" s="160" t="s">
        <v>7</v>
      </c>
      <c r="C1489" s="161" t="s">
        <v>1714</v>
      </c>
      <c r="D1489" s="161"/>
      <c r="E1489" s="161"/>
      <c r="F1489" s="162"/>
      <c r="G1489" s="162"/>
      <c r="H1489" s="162"/>
      <c r="I1489" s="160" t="s">
        <v>3315</v>
      </c>
      <c r="J1489" s="163">
        <v>2.13</v>
      </c>
      <c r="K1489" s="163"/>
      <c r="L1489" s="163"/>
      <c r="M1489" s="164">
        <v>34</v>
      </c>
      <c r="N1489" s="164"/>
      <c r="O1489" s="164"/>
      <c r="P1489" s="159" t="s">
        <v>3146</v>
      </c>
      <c r="Q1489" s="159" t="s">
        <v>547</v>
      </c>
      <c r="R1489" s="159" t="s">
        <v>3540</v>
      </c>
      <c r="S1489" s="165">
        <v>2.89033467865587E-2</v>
      </c>
      <c r="T1489" s="166" t="s">
        <v>372</v>
      </c>
      <c r="U1489" s="166"/>
      <c r="V1489" s="166"/>
      <c r="W1489" s="167">
        <f>IF(BetTable[Sport]="","",BetTable[Stake]+BetTable[S2]+BetTable[S3])</f>
        <v>34</v>
      </c>
      <c r="X1489" s="164">
        <f>IF(BetTable[Odds]="","",(BetTable[WBA1-Commission])-BetTable[TS])</f>
        <v>38.419999999999987</v>
      </c>
      <c r="Y1489" s="168">
        <f>IF(BetTable[Outcome]="","",BetTable[WBA1]+BetTable[WBA2]+BetTable[WBA3]-BetTable[TS])</f>
        <v>38.419999999999987</v>
      </c>
      <c r="Z1489" s="164">
        <f>(((BetTable[Odds]-1)*BetTable[Stake])*(1-(BetTable[Comm %]))+BetTable[Stake])</f>
        <v>72.419999999999987</v>
      </c>
      <c r="AA1489" s="164">
        <f>(((BetTable[O2]-1)*BetTable[S2])*(1-(BetTable[C% 2]))+BetTable[S2])</f>
        <v>0</v>
      </c>
      <c r="AB1489" s="164">
        <f>(((BetTable[O3]-1)*BetTable[S3])*(1-(BetTable[C% 3]))+BetTable[S3])</f>
        <v>0</v>
      </c>
      <c r="AC1489" s="165">
        <f>IFERROR(IF(BetTable[Sport]="","",BetTable[R1]/BetTable[TS]),"")</f>
        <v>1.1299999999999997</v>
      </c>
      <c r="AD1489" s="165" t="str">
        <f>IF(BetTable[O2]="","",#REF!/BetTable[TS])</f>
        <v/>
      </c>
      <c r="AE1489" s="165" t="str">
        <f>IFERROR(IF(BetTable[Sport]="","",#REF!/BetTable[TS]),"")</f>
        <v/>
      </c>
      <c r="AF1489" s="164">
        <f>IF(BetTable[Outcome]="Win",BetTable[WBA1-Commission],IF(BetTable[Outcome]="Win Half Stake",(BetTable[Stake]/2)+BetTable[WBA1-Commission]/2,IF(BetTable[Outcome]="Lose Half Stake",BetTable[Stake]/2,IF(BetTable[Outcome]="Lose",0,IF(BetTable[Outcome]="Void",BetTable[Stake],)))))</f>
        <v>72.419999999999987</v>
      </c>
      <c r="AG1489" s="164">
        <f>IF(BetTable[Outcome2]="Win",BetTable[WBA2-Commission],IF(BetTable[Outcome2]="Win Half Stake",(BetTable[S2]/2)+BetTable[WBA2-Commission]/2,IF(BetTable[Outcome2]="Lose Half Stake",BetTable[S2]/2,IF(BetTable[Outcome2]="Lose",0,IF(BetTable[Outcome2]="Void",BetTable[S2],)))))</f>
        <v>0</v>
      </c>
      <c r="AH1489" s="164">
        <f>IF(BetTable[Outcome3]="Win",BetTable[WBA3-Commission],IF(BetTable[Outcome3]="Win Half Stake",(BetTable[S3]/2)+BetTable[WBA3-Commission]/2,IF(BetTable[Outcome3]="Lose Half Stake",BetTable[S3]/2,IF(BetTable[Outcome3]="Lose",0,IF(BetTable[Outcome3]="Void",BetTable[S3],)))))</f>
        <v>0</v>
      </c>
      <c r="AI1489" s="168">
        <f>IF(BetTable[Outcome]="",AI1488,BetTable[Result]+AI1488)</f>
        <v>2641.2727500000001</v>
      </c>
      <c r="AJ1489" s="160"/>
    </row>
    <row r="1490" spans="1:36" x14ac:dyDescent="0.2">
      <c r="A1490" s="159" t="s">
        <v>3324</v>
      </c>
      <c r="B1490" s="160" t="s">
        <v>7</v>
      </c>
      <c r="C1490" s="161" t="s">
        <v>91</v>
      </c>
      <c r="D1490" s="161"/>
      <c r="E1490" s="161"/>
      <c r="F1490" s="162"/>
      <c r="G1490" s="162"/>
      <c r="H1490" s="162"/>
      <c r="I1490" s="160" t="s">
        <v>3541</v>
      </c>
      <c r="J1490" s="163">
        <v>1.85</v>
      </c>
      <c r="K1490" s="163"/>
      <c r="L1490" s="163"/>
      <c r="M1490" s="164">
        <v>41</v>
      </c>
      <c r="N1490" s="164"/>
      <c r="O1490" s="164"/>
      <c r="P1490" s="159" t="s">
        <v>3542</v>
      </c>
      <c r="Q1490" s="159" t="s">
        <v>488</v>
      </c>
      <c r="R1490" s="159" t="s">
        <v>3543</v>
      </c>
      <c r="S1490" s="165">
        <v>3.3508040322715101E-2</v>
      </c>
      <c r="T1490" s="166" t="s">
        <v>382</v>
      </c>
      <c r="U1490" s="166"/>
      <c r="V1490" s="166"/>
      <c r="W1490" s="167">
        <f>IF(BetTable[Sport]="","",BetTable[Stake]+BetTable[S2]+BetTable[S3])</f>
        <v>41</v>
      </c>
      <c r="X1490" s="164">
        <f>IF(BetTable[Odds]="","",(BetTable[WBA1-Commission])-BetTable[TS])</f>
        <v>34.849999999999994</v>
      </c>
      <c r="Y1490" s="168">
        <f>IF(BetTable[Outcome]="","",BetTable[WBA1]+BetTable[WBA2]+BetTable[WBA3]-BetTable[TS])</f>
        <v>-41</v>
      </c>
      <c r="Z1490" s="164">
        <f>(((BetTable[Odds]-1)*BetTable[Stake])*(1-(BetTable[Comm %]))+BetTable[Stake])</f>
        <v>75.849999999999994</v>
      </c>
      <c r="AA1490" s="164">
        <f>(((BetTable[O2]-1)*BetTable[S2])*(1-(BetTable[C% 2]))+BetTable[S2])</f>
        <v>0</v>
      </c>
      <c r="AB1490" s="164">
        <f>(((BetTable[O3]-1)*BetTable[S3])*(1-(BetTable[C% 3]))+BetTable[S3])</f>
        <v>0</v>
      </c>
      <c r="AC1490" s="165">
        <f>IFERROR(IF(BetTable[Sport]="","",BetTable[R1]/BetTable[TS]),"")</f>
        <v>0.84999999999999987</v>
      </c>
      <c r="AD1490" s="165" t="str">
        <f>IF(BetTable[O2]="","",#REF!/BetTable[TS])</f>
        <v/>
      </c>
      <c r="AE1490" s="165" t="str">
        <f>IFERROR(IF(BetTable[Sport]="","",#REF!/BetTable[TS]),"")</f>
        <v/>
      </c>
      <c r="AF1490" s="164">
        <f>IF(BetTable[Outcome]="Win",BetTable[WBA1-Commission],IF(BetTable[Outcome]="Win Half Stake",(BetTable[Stake]/2)+BetTable[WBA1-Commission]/2,IF(BetTable[Outcome]="Lose Half Stake",BetTable[Stake]/2,IF(BetTable[Outcome]="Lose",0,IF(BetTable[Outcome]="Void",BetTable[Stake],)))))</f>
        <v>0</v>
      </c>
      <c r="AG1490" s="164">
        <f>IF(BetTable[Outcome2]="Win",BetTable[WBA2-Commission],IF(BetTable[Outcome2]="Win Half Stake",(BetTable[S2]/2)+BetTable[WBA2-Commission]/2,IF(BetTable[Outcome2]="Lose Half Stake",BetTable[S2]/2,IF(BetTable[Outcome2]="Lose",0,IF(BetTable[Outcome2]="Void",BetTable[S2],)))))</f>
        <v>0</v>
      </c>
      <c r="AH1490" s="164">
        <f>IF(BetTable[Outcome3]="Win",BetTable[WBA3-Commission],IF(BetTable[Outcome3]="Win Half Stake",(BetTable[S3]/2)+BetTable[WBA3-Commission]/2,IF(BetTable[Outcome3]="Lose Half Stake",BetTable[S3]/2,IF(BetTable[Outcome3]="Lose",0,IF(BetTable[Outcome3]="Void",BetTable[S3],)))))</f>
        <v>0</v>
      </c>
      <c r="AI1490" s="168">
        <f>IF(BetTable[Outcome]="",AI1489,BetTable[Result]+AI1489)</f>
        <v>2600.2727500000001</v>
      </c>
      <c r="AJ1490" s="160"/>
    </row>
    <row r="1491" spans="1:36" x14ac:dyDescent="0.2">
      <c r="A1491" s="159" t="s">
        <v>3324</v>
      </c>
      <c r="B1491" s="160" t="s">
        <v>7</v>
      </c>
      <c r="C1491" s="161" t="s">
        <v>1714</v>
      </c>
      <c r="D1491" s="161"/>
      <c r="E1491" s="161"/>
      <c r="F1491" s="162"/>
      <c r="G1491" s="162"/>
      <c r="H1491" s="162"/>
      <c r="I1491" s="160" t="s">
        <v>3544</v>
      </c>
      <c r="J1491" s="163">
        <v>1.86</v>
      </c>
      <c r="K1491" s="163"/>
      <c r="L1491" s="163"/>
      <c r="M1491" s="164">
        <v>38</v>
      </c>
      <c r="N1491" s="164"/>
      <c r="O1491" s="164"/>
      <c r="P1491" s="159" t="s">
        <v>2753</v>
      </c>
      <c r="Q1491" s="159" t="s">
        <v>569</v>
      </c>
      <c r="R1491" s="159" t="s">
        <v>3545</v>
      </c>
      <c r="S1491" s="165">
        <v>1.87229868193311E-2</v>
      </c>
      <c r="T1491" s="166" t="s">
        <v>382</v>
      </c>
      <c r="U1491" s="166"/>
      <c r="V1491" s="166"/>
      <c r="W1491" s="167">
        <f>IF(BetTable[Sport]="","",BetTable[Stake]+BetTable[S2]+BetTable[S3])</f>
        <v>38</v>
      </c>
      <c r="X1491" s="164">
        <f>IF(BetTable[Odds]="","",(BetTable[WBA1-Commission])-BetTable[TS])</f>
        <v>32.680000000000007</v>
      </c>
      <c r="Y1491" s="168">
        <f>IF(BetTable[Outcome]="","",BetTable[WBA1]+BetTable[WBA2]+BetTable[WBA3]-BetTable[TS])</f>
        <v>-38</v>
      </c>
      <c r="Z1491" s="164">
        <f>(((BetTable[Odds]-1)*BetTable[Stake])*(1-(BetTable[Comm %]))+BetTable[Stake])</f>
        <v>70.680000000000007</v>
      </c>
      <c r="AA1491" s="164">
        <f>(((BetTable[O2]-1)*BetTable[S2])*(1-(BetTable[C% 2]))+BetTable[S2])</f>
        <v>0</v>
      </c>
      <c r="AB1491" s="164">
        <f>(((BetTable[O3]-1)*BetTable[S3])*(1-(BetTable[C% 3]))+BetTable[S3])</f>
        <v>0</v>
      </c>
      <c r="AC1491" s="165">
        <f>IFERROR(IF(BetTable[Sport]="","",BetTable[R1]/BetTable[TS]),"")</f>
        <v>0.86000000000000021</v>
      </c>
      <c r="AD1491" s="165" t="str">
        <f>IF(BetTable[O2]="","",#REF!/BetTable[TS])</f>
        <v/>
      </c>
      <c r="AE1491" s="165" t="str">
        <f>IFERROR(IF(BetTable[Sport]="","",#REF!/BetTable[TS]),"")</f>
        <v/>
      </c>
      <c r="AF1491" s="164">
        <f>IF(BetTable[Outcome]="Win",BetTable[WBA1-Commission],IF(BetTable[Outcome]="Win Half Stake",(BetTable[Stake]/2)+BetTable[WBA1-Commission]/2,IF(BetTable[Outcome]="Lose Half Stake",BetTable[Stake]/2,IF(BetTable[Outcome]="Lose",0,IF(BetTable[Outcome]="Void",BetTable[Stake],)))))</f>
        <v>0</v>
      </c>
      <c r="AG1491" s="164">
        <f>IF(BetTable[Outcome2]="Win",BetTable[WBA2-Commission],IF(BetTable[Outcome2]="Win Half Stake",(BetTable[S2]/2)+BetTable[WBA2-Commission]/2,IF(BetTable[Outcome2]="Lose Half Stake",BetTable[S2]/2,IF(BetTable[Outcome2]="Lose",0,IF(BetTable[Outcome2]="Void",BetTable[S2],)))))</f>
        <v>0</v>
      </c>
      <c r="AH1491" s="164">
        <f>IF(BetTable[Outcome3]="Win",BetTable[WBA3-Commission],IF(BetTable[Outcome3]="Win Half Stake",(BetTable[S3]/2)+BetTable[WBA3-Commission]/2,IF(BetTable[Outcome3]="Lose Half Stake",BetTable[S3]/2,IF(BetTable[Outcome3]="Lose",0,IF(BetTable[Outcome3]="Void",BetTable[S3],)))))</f>
        <v>0</v>
      </c>
      <c r="AI1491" s="168">
        <f>IF(BetTable[Outcome]="",AI1490,BetTable[Result]+AI1490)</f>
        <v>2562.2727500000001</v>
      </c>
      <c r="AJ1491" s="160"/>
    </row>
    <row r="1492" spans="1:36" x14ac:dyDescent="0.2">
      <c r="A1492" s="159" t="s">
        <v>3324</v>
      </c>
      <c r="B1492" s="160" t="s">
        <v>200</v>
      </c>
      <c r="C1492" s="161" t="s">
        <v>1714</v>
      </c>
      <c r="D1492" s="161"/>
      <c r="E1492" s="161"/>
      <c r="F1492" s="162"/>
      <c r="G1492" s="162"/>
      <c r="H1492" s="162"/>
      <c r="I1492" s="160" t="s">
        <v>3546</v>
      </c>
      <c r="J1492" s="163">
        <v>1.65</v>
      </c>
      <c r="K1492" s="163"/>
      <c r="L1492" s="163"/>
      <c r="M1492" s="164">
        <v>56</v>
      </c>
      <c r="N1492" s="164"/>
      <c r="O1492" s="164"/>
      <c r="P1492" s="159" t="s">
        <v>864</v>
      </c>
      <c r="Q1492" s="159" t="s">
        <v>436</v>
      </c>
      <c r="R1492" s="159" t="s">
        <v>3547</v>
      </c>
      <c r="S1492" s="165">
        <v>1.8674221522887301E-2</v>
      </c>
      <c r="T1492" s="166" t="s">
        <v>382</v>
      </c>
      <c r="U1492" s="166"/>
      <c r="V1492" s="166"/>
      <c r="W1492" s="167">
        <f>IF(BetTable[Sport]="","",BetTable[Stake]+BetTable[S2]+BetTable[S3])</f>
        <v>56</v>
      </c>
      <c r="X1492" s="164">
        <f>IF(BetTable[Odds]="","",(BetTable[WBA1-Commission])-BetTable[TS])</f>
        <v>36.399999999999991</v>
      </c>
      <c r="Y1492" s="168">
        <f>IF(BetTable[Outcome]="","",BetTable[WBA1]+BetTable[WBA2]+BetTable[WBA3]-BetTable[TS])</f>
        <v>-56</v>
      </c>
      <c r="Z1492" s="164">
        <f>(((BetTable[Odds]-1)*BetTable[Stake])*(1-(BetTable[Comm %]))+BetTable[Stake])</f>
        <v>92.399999999999991</v>
      </c>
      <c r="AA1492" s="164">
        <f>(((BetTable[O2]-1)*BetTable[S2])*(1-(BetTable[C% 2]))+BetTable[S2])</f>
        <v>0</v>
      </c>
      <c r="AB1492" s="164">
        <f>(((BetTable[O3]-1)*BetTable[S3])*(1-(BetTable[C% 3]))+BetTable[S3])</f>
        <v>0</v>
      </c>
      <c r="AC1492" s="165">
        <f>IFERROR(IF(BetTable[Sport]="","",BetTable[R1]/BetTable[TS]),"")</f>
        <v>0.6499999999999998</v>
      </c>
      <c r="AD1492" s="165" t="str">
        <f>IF(BetTable[O2]="","",#REF!/BetTable[TS])</f>
        <v/>
      </c>
      <c r="AE1492" s="165" t="str">
        <f>IFERROR(IF(BetTable[Sport]="","",#REF!/BetTable[TS]),"")</f>
        <v/>
      </c>
      <c r="AF1492" s="164">
        <f>IF(BetTable[Outcome]="Win",BetTable[WBA1-Commission],IF(BetTable[Outcome]="Win Half Stake",(BetTable[Stake]/2)+BetTable[WBA1-Commission]/2,IF(BetTable[Outcome]="Lose Half Stake",BetTable[Stake]/2,IF(BetTable[Outcome]="Lose",0,IF(BetTable[Outcome]="Void",BetTable[Stake],)))))</f>
        <v>0</v>
      </c>
      <c r="AG1492" s="164">
        <f>IF(BetTable[Outcome2]="Win",BetTable[WBA2-Commission],IF(BetTable[Outcome2]="Win Half Stake",(BetTable[S2]/2)+BetTable[WBA2-Commission]/2,IF(BetTable[Outcome2]="Lose Half Stake",BetTable[S2]/2,IF(BetTable[Outcome2]="Lose",0,IF(BetTable[Outcome2]="Void",BetTable[S2],)))))</f>
        <v>0</v>
      </c>
      <c r="AH1492" s="164">
        <f>IF(BetTable[Outcome3]="Win",BetTable[WBA3-Commission],IF(BetTable[Outcome3]="Win Half Stake",(BetTable[S3]/2)+BetTable[WBA3-Commission]/2,IF(BetTable[Outcome3]="Lose Half Stake",BetTable[S3]/2,IF(BetTable[Outcome3]="Lose",0,IF(BetTable[Outcome3]="Void",BetTable[S3],)))))</f>
        <v>0</v>
      </c>
      <c r="AI1492" s="168">
        <f>IF(BetTable[Outcome]="",AI1491,BetTable[Result]+AI1491)</f>
        <v>2506.2727500000001</v>
      </c>
      <c r="AJ1492" s="160"/>
    </row>
    <row r="1493" spans="1:36" x14ac:dyDescent="0.2">
      <c r="A1493" s="159" t="s">
        <v>3324</v>
      </c>
      <c r="B1493" s="160" t="s">
        <v>200</v>
      </c>
      <c r="C1493" s="161" t="s">
        <v>1714</v>
      </c>
      <c r="D1493" s="161"/>
      <c r="E1493" s="161"/>
      <c r="F1493" s="162"/>
      <c r="G1493" s="162"/>
      <c r="H1493" s="162"/>
      <c r="I1493" s="160" t="s">
        <v>3548</v>
      </c>
      <c r="J1493" s="163">
        <v>2.5499999999999998</v>
      </c>
      <c r="K1493" s="163"/>
      <c r="L1493" s="163"/>
      <c r="M1493" s="164">
        <v>23</v>
      </c>
      <c r="N1493" s="164"/>
      <c r="O1493" s="164"/>
      <c r="P1493" s="159" t="s">
        <v>435</v>
      </c>
      <c r="Q1493" s="159" t="s">
        <v>677</v>
      </c>
      <c r="R1493" s="159" t="s">
        <v>3549</v>
      </c>
      <c r="S1493" s="165">
        <v>1.8008815560484101E-2</v>
      </c>
      <c r="T1493" s="166" t="s">
        <v>372</v>
      </c>
      <c r="U1493" s="166"/>
      <c r="V1493" s="166"/>
      <c r="W1493" s="167">
        <f>IF(BetTable[Sport]="","",BetTable[Stake]+BetTable[S2]+BetTable[S3])</f>
        <v>23</v>
      </c>
      <c r="X1493" s="164">
        <f>IF(BetTable[Odds]="","",(BetTable[WBA1-Commission])-BetTable[TS])</f>
        <v>35.65</v>
      </c>
      <c r="Y1493" s="168">
        <f>IF(BetTable[Outcome]="","",BetTable[WBA1]+BetTable[WBA2]+BetTable[WBA3]-BetTable[TS])</f>
        <v>35.65</v>
      </c>
      <c r="Z1493" s="164">
        <f>(((BetTable[Odds]-1)*BetTable[Stake])*(1-(BetTable[Comm %]))+BetTable[Stake])</f>
        <v>58.65</v>
      </c>
      <c r="AA1493" s="164">
        <f>(((BetTable[O2]-1)*BetTable[S2])*(1-(BetTable[C% 2]))+BetTable[S2])</f>
        <v>0</v>
      </c>
      <c r="AB1493" s="164">
        <f>(((BetTable[O3]-1)*BetTable[S3])*(1-(BetTable[C% 3]))+BetTable[S3])</f>
        <v>0</v>
      </c>
      <c r="AC1493" s="165">
        <f>IFERROR(IF(BetTable[Sport]="","",BetTable[R1]/BetTable[TS]),"")</f>
        <v>1.55</v>
      </c>
      <c r="AD1493" s="165" t="str">
        <f>IF(BetTable[O2]="","",#REF!/BetTable[TS])</f>
        <v/>
      </c>
      <c r="AE1493" s="165" t="str">
        <f>IFERROR(IF(BetTable[Sport]="","",#REF!/BetTable[TS]),"")</f>
        <v/>
      </c>
      <c r="AF1493" s="164">
        <f>IF(BetTable[Outcome]="Win",BetTable[WBA1-Commission],IF(BetTable[Outcome]="Win Half Stake",(BetTable[Stake]/2)+BetTable[WBA1-Commission]/2,IF(BetTable[Outcome]="Lose Half Stake",BetTable[Stake]/2,IF(BetTable[Outcome]="Lose",0,IF(BetTable[Outcome]="Void",BetTable[Stake],)))))</f>
        <v>58.65</v>
      </c>
      <c r="AG1493" s="164">
        <f>IF(BetTable[Outcome2]="Win",BetTable[WBA2-Commission],IF(BetTable[Outcome2]="Win Half Stake",(BetTable[S2]/2)+BetTable[WBA2-Commission]/2,IF(BetTable[Outcome2]="Lose Half Stake",BetTable[S2]/2,IF(BetTable[Outcome2]="Lose",0,IF(BetTable[Outcome2]="Void",BetTable[S2],)))))</f>
        <v>0</v>
      </c>
      <c r="AH1493" s="164">
        <f>IF(BetTable[Outcome3]="Win",BetTable[WBA3-Commission],IF(BetTable[Outcome3]="Win Half Stake",(BetTable[S3]/2)+BetTable[WBA3-Commission]/2,IF(BetTable[Outcome3]="Lose Half Stake",BetTable[S3]/2,IF(BetTable[Outcome3]="Lose",0,IF(BetTable[Outcome3]="Void",BetTable[S3],)))))</f>
        <v>0</v>
      </c>
      <c r="AI1493" s="168">
        <f>IF(BetTable[Outcome]="",AI1492,BetTable[Result]+AI1492)</f>
        <v>2541.9227500000002</v>
      </c>
      <c r="AJ1493" s="160"/>
    </row>
    <row r="1494" spans="1:36" x14ac:dyDescent="0.2">
      <c r="A1494" s="159" t="s">
        <v>3324</v>
      </c>
      <c r="B1494" s="160" t="s">
        <v>201</v>
      </c>
      <c r="C1494" s="161" t="s">
        <v>91</v>
      </c>
      <c r="D1494" s="161"/>
      <c r="E1494" s="161"/>
      <c r="F1494" s="162"/>
      <c r="G1494" s="162"/>
      <c r="H1494" s="162"/>
      <c r="I1494" s="160" t="s">
        <v>3550</v>
      </c>
      <c r="J1494" s="163">
        <v>2.06</v>
      </c>
      <c r="K1494" s="163"/>
      <c r="L1494" s="163"/>
      <c r="M1494" s="164">
        <v>33</v>
      </c>
      <c r="N1494" s="164"/>
      <c r="O1494" s="164"/>
      <c r="P1494" s="159" t="s">
        <v>3551</v>
      </c>
      <c r="Q1494" s="159" t="s">
        <v>503</v>
      </c>
      <c r="R1494" s="159" t="s">
        <v>3552</v>
      </c>
      <c r="S1494" s="165">
        <v>1.80371665166673E-2</v>
      </c>
      <c r="T1494" s="166" t="s">
        <v>372</v>
      </c>
      <c r="U1494" s="166"/>
      <c r="V1494" s="166"/>
      <c r="W1494" s="167">
        <f>IF(BetTable[Sport]="","",BetTable[Stake]+BetTable[S2]+BetTable[S3])</f>
        <v>33</v>
      </c>
      <c r="X1494" s="164">
        <f>IF(BetTable[Odds]="","",(BetTable[WBA1-Commission])-BetTable[TS])</f>
        <v>34.980000000000004</v>
      </c>
      <c r="Y1494" s="168">
        <f>IF(BetTable[Outcome]="","",BetTable[WBA1]+BetTable[WBA2]+BetTable[WBA3]-BetTable[TS])</f>
        <v>34.980000000000004</v>
      </c>
      <c r="Z1494" s="164">
        <f>(((BetTable[Odds]-1)*BetTable[Stake])*(1-(BetTable[Comm %]))+BetTable[Stake])</f>
        <v>67.98</v>
      </c>
      <c r="AA1494" s="164">
        <f>(((BetTable[O2]-1)*BetTable[S2])*(1-(BetTable[C% 2]))+BetTable[S2])</f>
        <v>0</v>
      </c>
      <c r="AB1494" s="164">
        <f>(((BetTable[O3]-1)*BetTable[S3])*(1-(BetTable[C% 3]))+BetTable[S3])</f>
        <v>0</v>
      </c>
      <c r="AC1494" s="165">
        <f>IFERROR(IF(BetTable[Sport]="","",BetTable[R1]/BetTable[TS]),"")</f>
        <v>1.06</v>
      </c>
      <c r="AD1494" s="165" t="str">
        <f>IF(BetTable[O2]="","",#REF!/BetTable[TS])</f>
        <v/>
      </c>
      <c r="AE1494" s="165" t="str">
        <f>IFERROR(IF(BetTable[Sport]="","",#REF!/BetTable[TS]),"")</f>
        <v/>
      </c>
      <c r="AF1494" s="164">
        <f>IF(BetTable[Outcome]="Win",BetTable[WBA1-Commission],IF(BetTable[Outcome]="Win Half Stake",(BetTable[Stake]/2)+BetTable[WBA1-Commission]/2,IF(BetTable[Outcome]="Lose Half Stake",BetTable[Stake]/2,IF(BetTable[Outcome]="Lose",0,IF(BetTable[Outcome]="Void",BetTable[Stake],)))))</f>
        <v>67.98</v>
      </c>
      <c r="AG1494" s="164">
        <f>IF(BetTable[Outcome2]="Win",BetTable[WBA2-Commission],IF(BetTable[Outcome2]="Win Half Stake",(BetTable[S2]/2)+BetTable[WBA2-Commission]/2,IF(BetTable[Outcome2]="Lose Half Stake",BetTable[S2]/2,IF(BetTable[Outcome2]="Lose",0,IF(BetTable[Outcome2]="Void",BetTable[S2],)))))</f>
        <v>0</v>
      </c>
      <c r="AH1494" s="164">
        <f>IF(BetTable[Outcome3]="Win",BetTable[WBA3-Commission],IF(BetTable[Outcome3]="Win Half Stake",(BetTable[S3]/2)+BetTable[WBA3-Commission]/2,IF(BetTable[Outcome3]="Lose Half Stake",BetTable[S3]/2,IF(BetTable[Outcome3]="Lose",0,IF(BetTable[Outcome3]="Void",BetTable[S3],)))))</f>
        <v>0</v>
      </c>
      <c r="AI1494" s="168">
        <f>IF(BetTable[Outcome]="",AI1493,BetTable[Result]+AI1493)</f>
        <v>2576.9027500000002</v>
      </c>
      <c r="AJ1494" s="160"/>
    </row>
    <row r="1495" spans="1:36" x14ac:dyDescent="0.2">
      <c r="A1495" s="159" t="s">
        <v>3324</v>
      </c>
      <c r="B1495" s="160" t="s">
        <v>7</v>
      </c>
      <c r="C1495" s="161" t="s">
        <v>91</v>
      </c>
      <c r="D1495" s="161"/>
      <c r="E1495" s="161"/>
      <c r="F1495" s="162"/>
      <c r="G1495" s="162"/>
      <c r="H1495" s="162"/>
      <c r="I1495" s="160" t="s">
        <v>3553</v>
      </c>
      <c r="J1495" s="163">
        <v>1.9</v>
      </c>
      <c r="K1495" s="163"/>
      <c r="L1495" s="163"/>
      <c r="M1495" s="164">
        <v>64</v>
      </c>
      <c r="N1495" s="164"/>
      <c r="O1495" s="164"/>
      <c r="P1495" s="159" t="s">
        <v>2573</v>
      </c>
      <c r="Q1495" s="159" t="s">
        <v>632</v>
      </c>
      <c r="R1495" s="159" t="s">
        <v>3554</v>
      </c>
      <c r="S1495" s="165">
        <v>3.9893632636286203E-2</v>
      </c>
      <c r="T1495" s="166" t="s">
        <v>382</v>
      </c>
      <c r="U1495" s="166"/>
      <c r="V1495" s="166"/>
      <c r="W1495" s="167">
        <f>IF(BetTable[Sport]="","",BetTable[Stake]+BetTable[S2]+BetTable[S3])</f>
        <v>64</v>
      </c>
      <c r="X1495" s="164">
        <f>IF(BetTable[Odds]="","",(BetTable[WBA1-Commission])-BetTable[TS])</f>
        <v>57.599999999999994</v>
      </c>
      <c r="Y1495" s="168">
        <f>IF(BetTable[Outcome]="","",BetTable[WBA1]+BetTable[WBA2]+BetTable[WBA3]-BetTable[TS])</f>
        <v>-64</v>
      </c>
      <c r="Z1495" s="164">
        <f>(((BetTable[Odds]-1)*BetTable[Stake])*(1-(BetTable[Comm %]))+BetTable[Stake])</f>
        <v>121.6</v>
      </c>
      <c r="AA1495" s="164">
        <f>(((BetTable[O2]-1)*BetTable[S2])*(1-(BetTable[C% 2]))+BetTable[S2])</f>
        <v>0</v>
      </c>
      <c r="AB1495" s="164">
        <f>(((BetTable[O3]-1)*BetTable[S3])*(1-(BetTable[C% 3]))+BetTable[S3])</f>
        <v>0</v>
      </c>
      <c r="AC1495" s="165">
        <f>IFERROR(IF(BetTable[Sport]="","",BetTable[R1]/BetTable[TS]),"")</f>
        <v>0.89999999999999991</v>
      </c>
      <c r="AD1495" s="165" t="str">
        <f>IF(BetTable[O2]="","",#REF!/BetTable[TS])</f>
        <v/>
      </c>
      <c r="AE1495" s="165" t="str">
        <f>IFERROR(IF(BetTable[Sport]="","",#REF!/BetTable[TS]),"")</f>
        <v/>
      </c>
      <c r="AF1495" s="164">
        <f>IF(BetTable[Outcome]="Win",BetTable[WBA1-Commission],IF(BetTable[Outcome]="Win Half Stake",(BetTable[Stake]/2)+BetTable[WBA1-Commission]/2,IF(BetTable[Outcome]="Lose Half Stake",BetTable[Stake]/2,IF(BetTable[Outcome]="Lose",0,IF(BetTable[Outcome]="Void",BetTable[Stake],)))))</f>
        <v>0</v>
      </c>
      <c r="AG1495" s="164">
        <f>IF(BetTable[Outcome2]="Win",BetTable[WBA2-Commission],IF(BetTable[Outcome2]="Win Half Stake",(BetTable[S2]/2)+BetTable[WBA2-Commission]/2,IF(BetTable[Outcome2]="Lose Half Stake",BetTable[S2]/2,IF(BetTable[Outcome2]="Lose",0,IF(BetTable[Outcome2]="Void",BetTable[S2],)))))</f>
        <v>0</v>
      </c>
      <c r="AH1495" s="164">
        <f>IF(BetTable[Outcome3]="Win",BetTable[WBA3-Commission],IF(BetTable[Outcome3]="Win Half Stake",(BetTable[S3]/2)+BetTable[WBA3-Commission]/2,IF(BetTable[Outcome3]="Lose Half Stake",BetTable[S3]/2,IF(BetTable[Outcome3]="Lose",0,IF(BetTable[Outcome3]="Void",BetTable[S3],)))))</f>
        <v>0</v>
      </c>
      <c r="AI1495" s="168">
        <f>IF(BetTable[Outcome]="",AI1494,BetTable[Result]+AI1494)</f>
        <v>2512.9027500000002</v>
      </c>
      <c r="AJ1495" s="160"/>
    </row>
    <row r="1496" spans="1:36" x14ac:dyDescent="0.2">
      <c r="A1496" s="159" t="s">
        <v>3324</v>
      </c>
      <c r="B1496" s="160" t="s">
        <v>7</v>
      </c>
      <c r="C1496" s="161" t="s">
        <v>91</v>
      </c>
      <c r="D1496" s="161"/>
      <c r="E1496" s="161"/>
      <c r="F1496" s="162"/>
      <c r="G1496" s="162"/>
      <c r="H1496" s="162"/>
      <c r="I1496" s="160" t="s">
        <v>3555</v>
      </c>
      <c r="J1496" s="163">
        <v>1.94</v>
      </c>
      <c r="K1496" s="163"/>
      <c r="L1496" s="163"/>
      <c r="M1496" s="164">
        <v>50</v>
      </c>
      <c r="N1496" s="164"/>
      <c r="O1496" s="164"/>
      <c r="P1496" s="159" t="s">
        <v>1188</v>
      </c>
      <c r="Q1496" s="159" t="s">
        <v>3556</v>
      </c>
      <c r="R1496" s="159" t="s">
        <v>3557</v>
      </c>
      <c r="S1496" s="165">
        <v>2.4251949940257301E-2</v>
      </c>
      <c r="T1496" s="166" t="s">
        <v>372</v>
      </c>
      <c r="U1496" s="166"/>
      <c r="V1496" s="166"/>
      <c r="W1496" s="167">
        <f>IF(BetTable[Sport]="","",BetTable[Stake]+BetTable[S2]+BetTable[S3])</f>
        <v>50</v>
      </c>
      <c r="X1496" s="164">
        <f>IF(BetTable[Odds]="","",(BetTable[WBA1-Commission])-BetTable[TS])</f>
        <v>47</v>
      </c>
      <c r="Y1496" s="168">
        <f>IF(BetTable[Outcome]="","",BetTable[WBA1]+BetTable[WBA2]+BetTable[WBA3]-BetTable[TS])</f>
        <v>47</v>
      </c>
      <c r="Z1496" s="164">
        <f>(((BetTable[Odds]-1)*BetTable[Stake])*(1-(BetTable[Comm %]))+BetTable[Stake])</f>
        <v>97</v>
      </c>
      <c r="AA1496" s="164">
        <f>(((BetTable[O2]-1)*BetTable[S2])*(1-(BetTable[C% 2]))+BetTable[S2])</f>
        <v>0</v>
      </c>
      <c r="AB1496" s="164">
        <f>(((BetTable[O3]-1)*BetTable[S3])*(1-(BetTable[C% 3]))+BetTable[S3])</f>
        <v>0</v>
      </c>
      <c r="AC1496" s="165">
        <f>IFERROR(IF(BetTable[Sport]="","",BetTable[R1]/BetTable[TS]),"")</f>
        <v>0.94</v>
      </c>
      <c r="AD1496" s="165" t="str">
        <f>IF(BetTable[O2]="","",#REF!/BetTable[TS])</f>
        <v/>
      </c>
      <c r="AE1496" s="165" t="str">
        <f>IFERROR(IF(BetTable[Sport]="","",#REF!/BetTable[TS]),"")</f>
        <v/>
      </c>
      <c r="AF1496" s="164">
        <f>IF(BetTable[Outcome]="Win",BetTable[WBA1-Commission],IF(BetTable[Outcome]="Win Half Stake",(BetTable[Stake]/2)+BetTable[WBA1-Commission]/2,IF(BetTable[Outcome]="Lose Half Stake",BetTable[Stake]/2,IF(BetTable[Outcome]="Lose",0,IF(BetTable[Outcome]="Void",BetTable[Stake],)))))</f>
        <v>97</v>
      </c>
      <c r="AG1496" s="164">
        <f>IF(BetTable[Outcome2]="Win",BetTable[WBA2-Commission],IF(BetTable[Outcome2]="Win Half Stake",(BetTable[S2]/2)+BetTable[WBA2-Commission]/2,IF(BetTable[Outcome2]="Lose Half Stake",BetTable[S2]/2,IF(BetTable[Outcome2]="Lose",0,IF(BetTable[Outcome2]="Void",BetTable[S2],)))))</f>
        <v>0</v>
      </c>
      <c r="AH1496" s="164">
        <f>IF(BetTable[Outcome3]="Win",BetTable[WBA3-Commission],IF(BetTable[Outcome3]="Win Half Stake",(BetTable[S3]/2)+BetTable[WBA3-Commission]/2,IF(BetTable[Outcome3]="Lose Half Stake",BetTable[S3]/2,IF(BetTable[Outcome3]="Lose",0,IF(BetTable[Outcome3]="Void",BetTable[S3],)))))</f>
        <v>0</v>
      </c>
      <c r="AI1496" s="168">
        <f>IF(BetTable[Outcome]="",AI1495,BetTable[Result]+AI1495)</f>
        <v>2559.9027500000002</v>
      </c>
      <c r="AJ1496" s="160"/>
    </row>
    <row r="1497" spans="1:36" x14ac:dyDescent="0.2">
      <c r="A1497" s="159" t="s">
        <v>3324</v>
      </c>
      <c r="B1497" s="160" t="s">
        <v>7</v>
      </c>
      <c r="C1497" s="161" t="s">
        <v>91</v>
      </c>
      <c r="D1497" s="161"/>
      <c r="E1497" s="161"/>
      <c r="F1497" s="162"/>
      <c r="G1497" s="162"/>
      <c r="H1497" s="162"/>
      <c r="I1497" s="160" t="s">
        <v>3558</v>
      </c>
      <c r="J1497" s="163">
        <v>1.92</v>
      </c>
      <c r="K1497" s="163"/>
      <c r="L1497" s="163"/>
      <c r="M1497" s="164">
        <v>64</v>
      </c>
      <c r="N1497" s="164"/>
      <c r="O1497" s="164"/>
      <c r="P1497" s="159" t="s">
        <v>2585</v>
      </c>
      <c r="Q1497" s="159" t="s">
        <v>581</v>
      </c>
      <c r="R1497" s="159" t="s">
        <v>3559</v>
      </c>
      <c r="S1497" s="165">
        <v>3.29279509453244E-2</v>
      </c>
      <c r="T1497" s="166" t="s">
        <v>382</v>
      </c>
      <c r="U1497" s="166"/>
      <c r="V1497" s="166"/>
      <c r="W1497" s="167">
        <f>IF(BetTable[Sport]="","",BetTable[Stake]+BetTable[S2]+BetTable[S3])</f>
        <v>64</v>
      </c>
      <c r="X1497" s="164">
        <f>IF(BetTable[Odds]="","",(BetTable[WBA1-Commission])-BetTable[TS])</f>
        <v>58.879999999999995</v>
      </c>
      <c r="Y1497" s="168">
        <f>IF(BetTable[Outcome]="","",BetTable[WBA1]+BetTable[WBA2]+BetTable[WBA3]-BetTable[TS])</f>
        <v>-64</v>
      </c>
      <c r="Z1497" s="164">
        <f>(((BetTable[Odds]-1)*BetTable[Stake])*(1-(BetTable[Comm %]))+BetTable[Stake])</f>
        <v>122.88</v>
      </c>
      <c r="AA1497" s="164">
        <f>(((BetTable[O2]-1)*BetTable[S2])*(1-(BetTable[C% 2]))+BetTable[S2])</f>
        <v>0</v>
      </c>
      <c r="AB1497" s="164">
        <f>(((BetTable[O3]-1)*BetTable[S3])*(1-(BetTable[C% 3]))+BetTable[S3])</f>
        <v>0</v>
      </c>
      <c r="AC1497" s="165">
        <f>IFERROR(IF(BetTable[Sport]="","",BetTable[R1]/BetTable[TS]),"")</f>
        <v>0.91999999999999993</v>
      </c>
      <c r="AD1497" s="165" t="str">
        <f>IF(BetTable[O2]="","",#REF!/BetTable[TS])</f>
        <v/>
      </c>
      <c r="AE1497" s="165" t="str">
        <f>IFERROR(IF(BetTable[Sport]="","",#REF!/BetTable[TS]),"")</f>
        <v/>
      </c>
      <c r="AF1497" s="164">
        <f>IF(BetTable[Outcome]="Win",BetTable[WBA1-Commission],IF(BetTable[Outcome]="Win Half Stake",(BetTable[Stake]/2)+BetTable[WBA1-Commission]/2,IF(BetTable[Outcome]="Lose Half Stake",BetTable[Stake]/2,IF(BetTable[Outcome]="Lose",0,IF(BetTable[Outcome]="Void",BetTable[Stake],)))))</f>
        <v>0</v>
      </c>
      <c r="AG1497" s="164">
        <f>IF(BetTable[Outcome2]="Win",BetTable[WBA2-Commission],IF(BetTable[Outcome2]="Win Half Stake",(BetTable[S2]/2)+BetTable[WBA2-Commission]/2,IF(BetTable[Outcome2]="Lose Half Stake",BetTable[S2]/2,IF(BetTable[Outcome2]="Lose",0,IF(BetTable[Outcome2]="Void",BetTable[S2],)))))</f>
        <v>0</v>
      </c>
      <c r="AH1497" s="164">
        <f>IF(BetTable[Outcome3]="Win",BetTable[WBA3-Commission],IF(BetTable[Outcome3]="Win Half Stake",(BetTable[S3]/2)+BetTable[WBA3-Commission]/2,IF(BetTable[Outcome3]="Lose Half Stake",BetTable[S3]/2,IF(BetTable[Outcome3]="Lose",0,IF(BetTable[Outcome3]="Void",BetTable[S3],)))))</f>
        <v>0</v>
      </c>
      <c r="AI1497" s="168">
        <f>IF(BetTable[Outcome]="",AI1496,BetTable[Result]+AI1496)</f>
        <v>2495.9027500000002</v>
      </c>
      <c r="AJ1497" s="160"/>
    </row>
    <row r="1498" spans="1:36" x14ac:dyDescent="0.2">
      <c r="A1498" s="159" t="s">
        <v>3560</v>
      </c>
      <c r="B1498" s="160" t="s">
        <v>8</v>
      </c>
      <c r="C1498" s="161" t="s">
        <v>91</v>
      </c>
      <c r="D1498" s="161"/>
      <c r="E1498" s="161"/>
      <c r="F1498" s="162"/>
      <c r="G1498" s="162"/>
      <c r="H1498" s="162"/>
      <c r="I1498" s="160" t="s">
        <v>3561</v>
      </c>
      <c r="J1498" s="163">
        <v>1.25</v>
      </c>
      <c r="K1498" s="163"/>
      <c r="L1498" s="163"/>
      <c r="M1498" s="164">
        <v>125</v>
      </c>
      <c r="N1498" s="164"/>
      <c r="O1498" s="164"/>
      <c r="P1498" s="159" t="s">
        <v>435</v>
      </c>
      <c r="Q1498" s="159" t="s">
        <v>461</v>
      </c>
      <c r="R1498" s="159" t="s">
        <v>3562</v>
      </c>
      <c r="S1498" s="165">
        <v>2.19273375751808E-2</v>
      </c>
      <c r="T1498" s="166" t="s">
        <v>383</v>
      </c>
      <c r="U1498" s="166"/>
      <c r="V1498" s="166"/>
      <c r="W1498" s="167">
        <f>IF(BetTable[Sport]="","",BetTable[Stake]+BetTable[S2]+BetTable[S3])</f>
        <v>125</v>
      </c>
      <c r="X1498" s="164">
        <f>IF(BetTable[Odds]="","",(BetTable[WBA1-Commission])-BetTable[TS])</f>
        <v>31.25</v>
      </c>
      <c r="Y1498" s="168">
        <f>IF(BetTable[Outcome]="","",BetTable[WBA1]+BetTable[WBA2]+BetTable[WBA3]-BetTable[TS])</f>
        <v>0</v>
      </c>
      <c r="Z1498" s="164">
        <f>(((BetTable[Odds]-1)*BetTable[Stake])*(1-(BetTable[Comm %]))+BetTable[Stake])</f>
        <v>156.25</v>
      </c>
      <c r="AA1498" s="164">
        <f>(((BetTable[O2]-1)*BetTable[S2])*(1-(BetTable[C% 2]))+BetTable[S2])</f>
        <v>0</v>
      </c>
      <c r="AB1498" s="164">
        <f>(((BetTable[O3]-1)*BetTable[S3])*(1-(BetTable[C% 3]))+BetTable[S3])</f>
        <v>0</v>
      </c>
      <c r="AC1498" s="165">
        <f>IFERROR(IF(BetTable[Sport]="","",BetTable[R1]/BetTable[TS]),"")</f>
        <v>0.25</v>
      </c>
      <c r="AD1498" s="165" t="str">
        <f>IF(BetTable[O2]="","",#REF!/BetTable[TS])</f>
        <v/>
      </c>
      <c r="AE1498" s="165" t="str">
        <f>IFERROR(IF(BetTable[Sport]="","",#REF!/BetTable[TS]),"")</f>
        <v/>
      </c>
      <c r="AF1498" s="164">
        <f>IF(BetTable[Outcome]="Win",BetTable[WBA1-Commission],IF(BetTable[Outcome]="Win Half Stake",(BetTable[Stake]/2)+BetTable[WBA1-Commission]/2,IF(BetTable[Outcome]="Lose Half Stake",BetTable[Stake]/2,IF(BetTable[Outcome]="Lose",0,IF(BetTable[Outcome]="Void",BetTable[Stake],)))))</f>
        <v>125</v>
      </c>
      <c r="AG1498" s="164">
        <f>IF(BetTable[Outcome2]="Win",BetTable[WBA2-Commission],IF(BetTable[Outcome2]="Win Half Stake",(BetTable[S2]/2)+BetTable[WBA2-Commission]/2,IF(BetTable[Outcome2]="Lose Half Stake",BetTable[S2]/2,IF(BetTable[Outcome2]="Lose",0,IF(BetTable[Outcome2]="Void",BetTable[S2],)))))</f>
        <v>0</v>
      </c>
      <c r="AH1498" s="164">
        <f>IF(BetTable[Outcome3]="Win",BetTable[WBA3-Commission],IF(BetTable[Outcome3]="Win Half Stake",(BetTable[S3]/2)+BetTable[WBA3-Commission]/2,IF(BetTable[Outcome3]="Lose Half Stake",BetTable[S3]/2,IF(BetTable[Outcome3]="Lose",0,IF(BetTable[Outcome3]="Void",BetTable[S3],)))))</f>
        <v>0</v>
      </c>
      <c r="AI1498" s="168">
        <f>IF(BetTable[Outcome]="",AI1497,BetTable[Result]+AI1497)</f>
        <v>2495.9027500000002</v>
      </c>
      <c r="AJ1498" s="160"/>
    </row>
    <row r="1499" spans="1:36" x14ac:dyDescent="0.2">
      <c r="A1499" s="159" t="s">
        <v>3560</v>
      </c>
      <c r="B1499" s="160" t="s">
        <v>200</v>
      </c>
      <c r="C1499" s="161" t="s">
        <v>1714</v>
      </c>
      <c r="D1499" s="161"/>
      <c r="E1499" s="161"/>
      <c r="F1499" s="162"/>
      <c r="G1499" s="162"/>
      <c r="H1499" s="162"/>
      <c r="I1499" s="160" t="s">
        <v>3563</v>
      </c>
      <c r="J1499" s="163">
        <v>1.8</v>
      </c>
      <c r="K1499" s="163"/>
      <c r="L1499" s="163"/>
      <c r="M1499" s="164">
        <v>69</v>
      </c>
      <c r="N1499" s="164"/>
      <c r="O1499" s="164"/>
      <c r="P1499" s="159" t="s">
        <v>385</v>
      </c>
      <c r="Q1499" s="159" t="s">
        <v>677</v>
      </c>
      <c r="R1499" s="159" t="s">
        <v>3564</v>
      </c>
      <c r="S1499" s="165">
        <v>2.9523801349071399E-2</v>
      </c>
      <c r="T1499" s="166" t="s">
        <v>382</v>
      </c>
      <c r="U1499" s="166"/>
      <c r="V1499" s="166"/>
      <c r="W1499" s="167">
        <f>IF(BetTable[Sport]="","",BetTable[Stake]+BetTable[S2]+BetTable[S3])</f>
        <v>69</v>
      </c>
      <c r="X1499" s="164">
        <f>IF(BetTable[Odds]="","",(BetTable[WBA1-Commission])-BetTable[TS])</f>
        <v>55.2</v>
      </c>
      <c r="Y1499" s="168">
        <f>IF(BetTable[Outcome]="","",BetTable[WBA1]+BetTable[WBA2]+BetTable[WBA3]-BetTable[TS])</f>
        <v>-69</v>
      </c>
      <c r="Z1499" s="164">
        <f>(((BetTable[Odds]-1)*BetTable[Stake])*(1-(BetTable[Comm %]))+BetTable[Stake])</f>
        <v>124.2</v>
      </c>
      <c r="AA1499" s="164">
        <f>(((BetTable[O2]-1)*BetTable[S2])*(1-(BetTable[C% 2]))+BetTable[S2])</f>
        <v>0</v>
      </c>
      <c r="AB1499" s="164">
        <f>(((BetTable[O3]-1)*BetTable[S3])*(1-(BetTable[C% 3]))+BetTable[S3])</f>
        <v>0</v>
      </c>
      <c r="AC1499" s="165">
        <f>IFERROR(IF(BetTable[Sport]="","",BetTable[R1]/BetTable[TS]),"")</f>
        <v>0.8</v>
      </c>
      <c r="AD1499" s="165" t="str">
        <f>IF(BetTable[O2]="","",#REF!/BetTable[TS])</f>
        <v/>
      </c>
      <c r="AE1499" s="165" t="str">
        <f>IFERROR(IF(BetTable[Sport]="","",#REF!/BetTable[TS]),"")</f>
        <v/>
      </c>
      <c r="AF1499" s="164">
        <f>IF(BetTable[Outcome]="Win",BetTable[WBA1-Commission],IF(BetTable[Outcome]="Win Half Stake",(BetTable[Stake]/2)+BetTable[WBA1-Commission]/2,IF(BetTable[Outcome]="Lose Half Stake",BetTable[Stake]/2,IF(BetTable[Outcome]="Lose",0,IF(BetTable[Outcome]="Void",BetTable[Stake],)))))</f>
        <v>0</v>
      </c>
      <c r="AG1499" s="164">
        <f>IF(BetTable[Outcome2]="Win",BetTable[WBA2-Commission],IF(BetTable[Outcome2]="Win Half Stake",(BetTable[S2]/2)+BetTable[WBA2-Commission]/2,IF(BetTable[Outcome2]="Lose Half Stake",BetTable[S2]/2,IF(BetTable[Outcome2]="Lose",0,IF(BetTable[Outcome2]="Void",BetTable[S2],)))))</f>
        <v>0</v>
      </c>
      <c r="AH1499" s="164">
        <f>IF(BetTable[Outcome3]="Win",BetTable[WBA3-Commission],IF(BetTable[Outcome3]="Win Half Stake",(BetTable[S3]/2)+BetTable[WBA3-Commission]/2,IF(BetTable[Outcome3]="Lose Half Stake",BetTable[S3]/2,IF(BetTable[Outcome3]="Lose",0,IF(BetTable[Outcome3]="Void",BetTable[S3],)))))</f>
        <v>0</v>
      </c>
      <c r="AI1499" s="168">
        <f>IF(BetTable[Outcome]="",AI1498,BetTable[Result]+AI1498)</f>
        <v>2426.9027500000002</v>
      </c>
      <c r="AJ1499" s="160"/>
    </row>
    <row r="1500" spans="1:36" x14ac:dyDescent="0.2">
      <c r="A1500" s="159" t="s">
        <v>3560</v>
      </c>
      <c r="B1500" s="160" t="s">
        <v>200</v>
      </c>
      <c r="C1500" s="161" t="s">
        <v>1714</v>
      </c>
      <c r="D1500" s="161"/>
      <c r="E1500" s="161"/>
      <c r="F1500" s="162"/>
      <c r="G1500" s="162"/>
      <c r="H1500" s="162"/>
      <c r="I1500" s="160" t="s">
        <v>3565</v>
      </c>
      <c r="J1500" s="163">
        <v>1.75</v>
      </c>
      <c r="K1500" s="163"/>
      <c r="L1500" s="163"/>
      <c r="M1500" s="164">
        <v>73</v>
      </c>
      <c r="N1500" s="164"/>
      <c r="O1500" s="164"/>
      <c r="P1500" s="159" t="s">
        <v>508</v>
      </c>
      <c r="Q1500" s="159" t="s">
        <v>503</v>
      </c>
      <c r="R1500" s="159" t="s">
        <v>3566</v>
      </c>
      <c r="S1500" s="165">
        <v>2.9186526343972199E-2</v>
      </c>
      <c r="T1500" s="166" t="s">
        <v>510</v>
      </c>
      <c r="U1500" s="166"/>
      <c r="V1500" s="166"/>
      <c r="W1500" s="167">
        <f>IF(BetTable[Sport]="","",BetTable[Stake]+BetTable[S2]+BetTable[S3])</f>
        <v>73</v>
      </c>
      <c r="X1500" s="164">
        <f>IF(BetTable[Odds]="","",(BetTable[WBA1-Commission])-BetTable[TS])</f>
        <v>54.75</v>
      </c>
      <c r="Y1500" s="168">
        <f>IF(BetTable[Outcome]="","",BetTable[WBA1]+BetTable[WBA2]+BetTable[WBA3]-BetTable[TS])</f>
        <v>27.375</v>
      </c>
      <c r="Z1500" s="164">
        <f>(((BetTable[Odds]-1)*BetTable[Stake])*(1-(BetTable[Comm %]))+BetTable[Stake])</f>
        <v>127.75</v>
      </c>
      <c r="AA1500" s="164">
        <f>(((BetTable[O2]-1)*BetTable[S2])*(1-(BetTable[C% 2]))+BetTable[S2])</f>
        <v>0</v>
      </c>
      <c r="AB1500" s="164">
        <f>(((BetTable[O3]-1)*BetTable[S3])*(1-(BetTable[C% 3]))+BetTable[S3])</f>
        <v>0</v>
      </c>
      <c r="AC1500" s="165">
        <f>IFERROR(IF(BetTable[Sport]="","",BetTable[R1]/BetTable[TS]),"")</f>
        <v>0.75</v>
      </c>
      <c r="AD1500" s="165" t="str">
        <f>IF(BetTable[O2]="","",#REF!/BetTable[TS])</f>
        <v/>
      </c>
      <c r="AE1500" s="165" t="str">
        <f>IFERROR(IF(BetTable[Sport]="","",#REF!/BetTable[TS]),"")</f>
        <v/>
      </c>
      <c r="AF1500" s="164">
        <f>IF(BetTable[Outcome]="Win",BetTable[WBA1-Commission],IF(BetTable[Outcome]="Win Half Stake",(BetTable[Stake]/2)+BetTable[WBA1-Commission]/2,IF(BetTable[Outcome]="Lose Half Stake",BetTable[Stake]/2,IF(BetTable[Outcome]="Lose",0,IF(BetTable[Outcome]="Void",BetTable[Stake],)))))</f>
        <v>100.375</v>
      </c>
      <c r="AG1500" s="164">
        <f>IF(BetTable[Outcome2]="Win",BetTable[WBA2-Commission],IF(BetTable[Outcome2]="Win Half Stake",(BetTable[S2]/2)+BetTable[WBA2-Commission]/2,IF(BetTable[Outcome2]="Lose Half Stake",BetTable[S2]/2,IF(BetTable[Outcome2]="Lose",0,IF(BetTable[Outcome2]="Void",BetTable[S2],)))))</f>
        <v>0</v>
      </c>
      <c r="AH1500" s="164">
        <f>IF(BetTable[Outcome3]="Win",BetTable[WBA3-Commission],IF(BetTable[Outcome3]="Win Half Stake",(BetTable[S3]/2)+BetTable[WBA3-Commission]/2,IF(BetTable[Outcome3]="Lose Half Stake",BetTable[S3]/2,IF(BetTable[Outcome3]="Lose",0,IF(BetTable[Outcome3]="Void",BetTable[S3],)))))</f>
        <v>0</v>
      </c>
      <c r="AI1500" s="168">
        <f>IF(BetTable[Outcome]="",AI1499,BetTable[Result]+AI1499)</f>
        <v>2454.2777500000002</v>
      </c>
      <c r="AJ1500" s="160"/>
    </row>
    <row r="1501" spans="1:36" x14ac:dyDescent="0.2">
      <c r="A1501" s="159" t="s">
        <v>3560</v>
      </c>
      <c r="B1501" s="160" t="s">
        <v>200</v>
      </c>
      <c r="C1501" s="161" t="s">
        <v>1714</v>
      </c>
      <c r="D1501" s="161"/>
      <c r="E1501" s="161"/>
      <c r="F1501" s="162"/>
      <c r="G1501" s="162"/>
      <c r="H1501" s="162"/>
      <c r="I1501" s="160" t="s">
        <v>3567</v>
      </c>
      <c r="J1501" s="163">
        <v>1.78</v>
      </c>
      <c r="K1501" s="163"/>
      <c r="L1501" s="163"/>
      <c r="M1501" s="164">
        <v>51</v>
      </c>
      <c r="N1501" s="164"/>
      <c r="O1501" s="164"/>
      <c r="P1501" s="159" t="s">
        <v>498</v>
      </c>
      <c r="Q1501" s="159" t="s">
        <v>458</v>
      </c>
      <c r="R1501" s="159" t="s">
        <v>3568</v>
      </c>
      <c r="S1501" s="165">
        <v>2.1283999875439101E-2</v>
      </c>
      <c r="T1501" s="166" t="s">
        <v>382</v>
      </c>
      <c r="U1501" s="166"/>
      <c r="V1501" s="166"/>
      <c r="W1501" s="167">
        <f>IF(BetTable[Sport]="","",BetTable[Stake]+BetTable[S2]+BetTable[S3])</f>
        <v>51</v>
      </c>
      <c r="X1501" s="164">
        <f>IF(BetTable[Odds]="","",(BetTable[WBA1-Commission])-BetTable[TS])</f>
        <v>39.78</v>
      </c>
      <c r="Y1501" s="168">
        <f>IF(BetTable[Outcome]="","",BetTable[WBA1]+BetTable[WBA2]+BetTable[WBA3]-BetTable[TS])</f>
        <v>-51</v>
      </c>
      <c r="Z1501" s="164">
        <f>(((BetTable[Odds]-1)*BetTable[Stake])*(1-(BetTable[Comm %]))+BetTable[Stake])</f>
        <v>90.78</v>
      </c>
      <c r="AA1501" s="164">
        <f>(((BetTable[O2]-1)*BetTable[S2])*(1-(BetTable[C% 2]))+BetTable[S2])</f>
        <v>0</v>
      </c>
      <c r="AB1501" s="164">
        <f>(((BetTable[O3]-1)*BetTable[S3])*(1-(BetTable[C% 3]))+BetTable[S3])</f>
        <v>0</v>
      </c>
      <c r="AC1501" s="165">
        <f>IFERROR(IF(BetTable[Sport]="","",BetTable[R1]/BetTable[TS]),"")</f>
        <v>0.78</v>
      </c>
      <c r="AD1501" s="165" t="str">
        <f>IF(BetTable[O2]="","",#REF!/BetTable[TS])</f>
        <v/>
      </c>
      <c r="AE1501" s="165" t="str">
        <f>IFERROR(IF(BetTable[Sport]="","",#REF!/BetTable[TS]),"")</f>
        <v/>
      </c>
      <c r="AF1501" s="164">
        <f>IF(BetTable[Outcome]="Win",BetTable[WBA1-Commission],IF(BetTable[Outcome]="Win Half Stake",(BetTable[Stake]/2)+BetTable[WBA1-Commission]/2,IF(BetTable[Outcome]="Lose Half Stake",BetTable[Stake]/2,IF(BetTable[Outcome]="Lose",0,IF(BetTable[Outcome]="Void",BetTable[Stake],)))))</f>
        <v>0</v>
      </c>
      <c r="AG1501" s="164">
        <f>IF(BetTable[Outcome2]="Win",BetTable[WBA2-Commission],IF(BetTable[Outcome2]="Win Half Stake",(BetTable[S2]/2)+BetTable[WBA2-Commission]/2,IF(BetTable[Outcome2]="Lose Half Stake",BetTable[S2]/2,IF(BetTable[Outcome2]="Lose",0,IF(BetTable[Outcome2]="Void",BetTable[S2],)))))</f>
        <v>0</v>
      </c>
      <c r="AH1501" s="164">
        <f>IF(BetTable[Outcome3]="Win",BetTable[WBA3-Commission],IF(BetTable[Outcome3]="Win Half Stake",(BetTable[S3]/2)+BetTable[WBA3-Commission]/2,IF(BetTable[Outcome3]="Lose Half Stake",BetTable[S3]/2,IF(BetTable[Outcome3]="Lose",0,IF(BetTable[Outcome3]="Void",BetTable[S3],)))))</f>
        <v>0</v>
      </c>
      <c r="AI1501" s="168">
        <f>IF(BetTable[Outcome]="",AI1500,BetTable[Result]+AI1500)</f>
        <v>2403.2777500000002</v>
      </c>
      <c r="AJ1501" s="160"/>
    </row>
    <row r="1502" spans="1:36" x14ac:dyDescent="0.2">
      <c r="A1502" s="159" t="s">
        <v>3560</v>
      </c>
      <c r="B1502" s="160" t="s">
        <v>200</v>
      </c>
      <c r="C1502" s="161" t="s">
        <v>1714</v>
      </c>
      <c r="D1502" s="161"/>
      <c r="E1502" s="161"/>
      <c r="F1502" s="162"/>
      <c r="G1502" s="162"/>
      <c r="H1502" s="162"/>
      <c r="I1502" s="160" t="s">
        <v>3569</v>
      </c>
      <c r="J1502" s="163">
        <v>1.71</v>
      </c>
      <c r="K1502" s="163"/>
      <c r="L1502" s="163"/>
      <c r="M1502" s="164">
        <v>60</v>
      </c>
      <c r="N1502" s="164"/>
      <c r="O1502" s="164"/>
      <c r="P1502" s="159" t="s">
        <v>368</v>
      </c>
      <c r="Q1502" s="159" t="s">
        <v>957</v>
      </c>
      <c r="R1502" s="159" t="s">
        <v>3570</v>
      </c>
      <c r="S1502" s="165">
        <v>2.2761121962996199E-2</v>
      </c>
      <c r="T1502" s="166" t="s">
        <v>383</v>
      </c>
      <c r="U1502" s="166"/>
      <c r="V1502" s="166"/>
      <c r="W1502" s="167">
        <f>IF(BetTable[Sport]="","",BetTable[Stake]+BetTable[S2]+BetTable[S3])</f>
        <v>60</v>
      </c>
      <c r="X1502" s="164">
        <f>IF(BetTable[Odds]="","",(BetTable[WBA1-Commission])-BetTable[TS])</f>
        <v>42.599999999999994</v>
      </c>
      <c r="Y1502" s="168">
        <f>IF(BetTable[Outcome]="","",BetTable[WBA1]+BetTable[WBA2]+BetTable[WBA3]-BetTable[TS])</f>
        <v>0</v>
      </c>
      <c r="Z1502" s="164">
        <f>(((BetTable[Odds]-1)*BetTable[Stake])*(1-(BetTable[Comm %]))+BetTable[Stake])</f>
        <v>102.6</v>
      </c>
      <c r="AA1502" s="164">
        <f>(((BetTable[O2]-1)*BetTable[S2])*(1-(BetTable[C% 2]))+BetTable[S2])</f>
        <v>0</v>
      </c>
      <c r="AB1502" s="164">
        <f>(((BetTable[O3]-1)*BetTable[S3])*(1-(BetTable[C% 3]))+BetTable[S3])</f>
        <v>0</v>
      </c>
      <c r="AC1502" s="165">
        <f>IFERROR(IF(BetTable[Sport]="","",BetTable[R1]/BetTable[TS]),"")</f>
        <v>0.70999999999999985</v>
      </c>
      <c r="AD1502" s="165" t="str">
        <f>IF(BetTable[O2]="","",#REF!/BetTable[TS])</f>
        <v/>
      </c>
      <c r="AE1502" s="165" t="str">
        <f>IFERROR(IF(BetTable[Sport]="","",#REF!/BetTable[TS]),"")</f>
        <v/>
      </c>
      <c r="AF1502" s="164">
        <f>IF(BetTable[Outcome]="Win",BetTable[WBA1-Commission],IF(BetTable[Outcome]="Win Half Stake",(BetTable[Stake]/2)+BetTable[WBA1-Commission]/2,IF(BetTable[Outcome]="Lose Half Stake",BetTable[Stake]/2,IF(BetTable[Outcome]="Lose",0,IF(BetTable[Outcome]="Void",BetTable[Stake],)))))</f>
        <v>60</v>
      </c>
      <c r="AG1502" s="164">
        <f>IF(BetTable[Outcome2]="Win",BetTable[WBA2-Commission],IF(BetTable[Outcome2]="Win Half Stake",(BetTable[S2]/2)+BetTable[WBA2-Commission]/2,IF(BetTable[Outcome2]="Lose Half Stake",BetTable[S2]/2,IF(BetTable[Outcome2]="Lose",0,IF(BetTable[Outcome2]="Void",BetTable[S2],)))))</f>
        <v>0</v>
      </c>
      <c r="AH1502" s="164">
        <f>IF(BetTable[Outcome3]="Win",BetTable[WBA3-Commission],IF(BetTable[Outcome3]="Win Half Stake",(BetTable[S3]/2)+BetTable[WBA3-Commission]/2,IF(BetTable[Outcome3]="Lose Half Stake",BetTable[S3]/2,IF(BetTable[Outcome3]="Lose",0,IF(BetTable[Outcome3]="Void",BetTable[S3],)))))</f>
        <v>0</v>
      </c>
      <c r="AI1502" s="168">
        <f>IF(BetTable[Outcome]="",AI1501,BetTable[Result]+AI1501)</f>
        <v>2403.2777500000002</v>
      </c>
      <c r="AJ1502" s="160"/>
    </row>
    <row r="1503" spans="1:36" x14ac:dyDescent="0.2">
      <c r="A1503" s="159" t="s">
        <v>3560</v>
      </c>
      <c r="B1503" s="160" t="s">
        <v>200</v>
      </c>
      <c r="C1503" s="161" t="s">
        <v>1714</v>
      </c>
      <c r="D1503" s="161"/>
      <c r="E1503" s="161"/>
      <c r="F1503" s="162"/>
      <c r="G1503" s="162"/>
      <c r="H1503" s="162"/>
      <c r="I1503" s="160" t="s">
        <v>3571</v>
      </c>
      <c r="J1503" s="163">
        <v>2.4</v>
      </c>
      <c r="K1503" s="163"/>
      <c r="L1503" s="163"/>
      <c r="M1503" s="164">
        <v>74</v>
      </c>
      <c r="N1503" s="164"/>
      <c r="O1503" s="164"/>
      <c r="P1503" s="159" t="s">
        <v>494</v>
      </c>
      <c r="Q1503" s="159" t="s">
        <v>677</v>
      </c>
      <c r="R1503" s="159" t="s">
        <v>3572</v>
      </c>
      <c r="S1503" s="165">
        <v>5.5137609905832101E-2</v>
      </c>
      <c r="T1503" s="166" t="s">
        <v>382</v>
      </c>
      <c r="U1503" s="166"/>
      <c r="V1503" s="166"/>
      <c r="W1503" s="167">
        <f>IF(BetTable[Sport]="","",BetTable[Stake]+BetTable[S2]+BetTable[S3])</f>
        <v>74</v>
      </c>
      <c r="X1503" s="164">
        <f>IF(BetTable[Odds]="","",(BetTable[WBA1-Commission])-BetTable[TS])</f>
        <v>103.6</v>
      </c>
      <c r="Y1503" s="168">
        <f>IF(BetTable[Outcome]="","",BetTable[WBA1]+BetTable[WBA2]+BetTable[WBA3]-BetTable[TS])</f>
        <v>-74</v>
      </c>
      <c r="Z1503" s="164">
        <f>(((BetTable[Odds]-1)*BetTable[Stake])*(1-(BetTable[Comm %]))+BetTable[Stake])</f>
        <v>177.6</v>
      </c>
      <c r="AA1503" s="164">
        <f>(((BetTable[O2]-1)*BetTable[S2])*(1-(BetTable[C% 2]))+BetTable[S2])</f>
        <v>0</v>
      </c>
      <c r="AB1503" s="164">
        <f>(((BetTable[O3]-1)*BetTable[S3])*(1-(BetTable[C% 3]))+BetTable[S3])</f>
        <v>0</v>
      </c>
      <c r="AC1503" s="165">
        <f>IFERROR(IF(BetTable[Sport]="","",BetTable[R1]/BetTable[TS]),"")</f>
        <v>1.4</v>
      </c>
      <c r="AD1503" s="165" t="str">
        <f>IF(BetTable[O2]="","",#REF!/BetTable[TS])</f>
        <v/>
      </c>
      <c r="AE1503" s="165" t="str">
        <f>IFERROR(IF(BetTable[Sport]="","",#REF!/BetTable[TS]),"")</f>
        <v/>
      </c>
      <c r="AF1503" s="164">
        <f>IF(BetTable[Outcome]="Win",BetTable[WBA1-Commission],IF(BetTable[Outcome]="Win Half Stake",(BetTable[Stake]/2)+BetTable[WBA1-Commission]/2,IF(BetTable[Outcome]="Lose Half Stake",BetTable[Stake]/2,IF(BetTable[Outcome]="Lose",0,IF(BetTable[Outcome]="Void",BetTable[Stake],)))))</f>
        <v>0</v>
      </c>
      <c r="AG1503" s="164">
        <f>IF(BetTable[Outcome2]="Win",BetTable[WBA2-Commission],IF(BetTable[Outcome2]="Win Half Stake",(BetTable[S2]/2)+BetTable[WBA2-Commission]/2,IF(BetTable[Outcome2]="Lose Half Stake",BetTable[S2]/2,IF(BetTable[Outcome2]="Lose",0,IF(BetTable[Outcome2]="Void",BetTable[S2],)))))</f>
        <v>0</v>
      </c>
      <c r="AH1503" s="164">
        <f>IF(BetTable[Outcome3]="Win",BetTable[WBA3-Commission],IF(BetTable[Outcome3]="Win Half Stake",(BetTable[S3]/2)+BetTable[WBA3-Commission]/2,IF(BetTable[Outcome3]="Lose Half Stake",BetTable[S3]/2,IF(BetTable[Outcome3]="Lose",0,IF(BetTable[Outcome3]="Void",BetTable[S3],)))))</f>
        <v>0</v>
      </c>
      <c r="AI1503" s="168">
        <f>IF(BetTable[Outcome]="",AI1502,BetTable[Result]+AI1502)</f>
        <v>2329.2777500000002</v>
      </c>
      <c r="AJ1503" s="160"/>
    </row>
    <row r="1504" spans="1:36" x14ac:dyDescent="0.2">
      <c r="A1504" s="159" t="s">
        <v>3560</v>
      </c>
      <c r="B1504" s="160" t="s">
        <v>8</v>
      </c>
      <c r="C1504" s="161" t="s">
        <v>91</v>
      </c>
      <c r="D1504" s="161"/>
      <c r="E1504" s="161"/>
      <c r="F1504" s="162"/>
      <c r="G1504" s="162"/>
      <c r="H1504" s="162"/>
      <c r="I1504" s="160" t="s">
        <v>3573</v>
      </c>
      <c r="J1504" s="163">
        <v>1.55</v>
      </c>
      <c r="K1504" s="163"/>
      <c r="L1504" s="163"/>
      <c r="M1504" s="164">
        <v>90</v>
      </c>
      <c r="N1504" s="164"/>
      <c r="O1504" s="164"/>
      <c r="P1504" s="159" t="s">
        <v>435</v>
      </c>
      <c r="Q1504" s="159" t="s">
        <v>506</v>
      </c>
      <c r="R1504" s="159" t="s">
        <v>3574</v>
      </c>
      <c r="S1504" s="165">
        <v>2.6398898163085799E-2</v>
      </c>
      <c r="T1504" s="166" t="s">
        <v>372</v>
      </c>
      <c r="U1504" s="166"/>
      <c r="V1504" s="166"/>
      <c r="W1504" s="167">
        <f>IF(BetTable[Sport]="","",BetTable[Stake]+BetTable[S2]+BetTable[S3])</f>
        <v>90</v>
      </c>
      <c r="X1504" s="164">
        <f>IF(BetTable[Odds]="","",(BetTable[WBA1-Commission])-BetTable[TS])</f>
        <v>49.5</v>
      </c>
      <c r="Y1504" s="168">
        <f>IF(BetTable[Outcome]="","",BetTable[WBA1]+BetTable[WBA2]+BetTable[WBA3]-BetTable[TS])</f>
        <v>49.5</v>
      </c>
      <c r="Z1504" s="164">
        <f>(((BetTable[Odds]-1)*BetTable[Stake])*(1-(BetTable[Comm %]))+BetTable[Stake])</f>
        <v>139.5</v>
      </c>
      <c r="AA1504" s="164">
        <f>(((BetTable[O2]-1)*BetTable[S2])*(1-(BetTable[C% 2]))+BetTable[S2])</f>
        <v>0</v>
      </c>
      <c r="AB1504" s="164">
        <f>(((BetTable[O3]-1)*BetTable[S3])*(1-(BetTable[C% 3]))+BetTable[S3])</f>
        <v>0</v>
      </c>
      <c r="AC1504" s="165">
        <f>IFERROR(IF(BetTable[Sport]="","",BetTable[R1]/BetTable[TS]),"")</f>
        <v>0.55000000000000004</v>
      </c>
      <c r="AD1504" s="165" t="str">
        <f>IF(BetTable[O2]="","",#REF!/BetTable[TS])</f>
        <v/>
      </c>
      <c r="AE1504" s="165" t="str">
        <f>IFERROR(IF(BetTable[Sport]="","",#REF!/BetTable[TS]),"")</f>
        <v/>
      </c>
      <c r="AF1504" s="164">
        <f>IF(BetTable[Outcome]="Win",BetTable[WBA1-Commission],IF(BetTable[Outcome]="Win Half Stake",(BetTable[Stake]/2)+BetTable[WBA1-Commission]/2,IF(BetTable[Outcome]="Lose Half Stake",BetTable[Stake]/2,IF(BetTable[Outcome]="Lose",0,IF(BetTable[Outcome]="Void",BetTable[Stake],)))))</f>
        <v>139.5</v>
      </c>
      <c r="AG1504" s="164">
        <f>IF(BetTable[Outcome2]="Win",BetTable[WBA2-Commission],IF(BetTable[Outcome2]="Win Half Stake",(BetTable[S2]/2)+BetTable[WBA2-Commission]/2,IF(BetTable[Outcome2]="Lose Half Stake",BetTable[S2]/2,IF(BetTable[Outcome2]="Lose",0,IF(BetTable[Outcome2]="Void",BetTable[S2],)))))</f>
        <v>0</v>
      </c>
      <c r="AH1504" s="164">
        <f>IF(BetTable[Outcome3]="Win",BetTable[WBA3-Commission],IF(BetTable[Outcome3]="Win Half Stake",(BetTable[S3]/2)+BetTable[WBA3-Commission]/2,IF(BetTable[Outcome3]="Lose Half Stake",BetTable[S3]/2,IF(BetTable[Outcome3]="Lose",0,IF(BetTable[Outcome3]="Void",BetTable[S3],)))))</f>
        <v>0</v>
      </c>
      <c r="AI1504" s="168">
        <f>IF(BetTable[Outcome]="",AI1503,BetTable[Result]+AI1503)</f>
        <v>2378.7777500000002</v>
      </c>
      <c r="AJ1504" s="160"/>
    </row>
    <row r="1505" spans="1:36" x14ac:dyDescent="0.2">
      <c r="A1505" s="159" t="s">
        <v>3560</v>
      </c>
      <c r="B1505" s="160" t="s">
        <v>7</v>
      </c>
      <c r="C1505" s="161" t="s">
        <v>91</v>
      </c>
      <c r="D1505" s="161"/>
      <c r="E1505" s="161"/>
      <c r="F1505" s="162"/>
      <c r="G1505" s="162"/>
      <c r="H1505" s="162"/>
      <c r="I1505" s="160" t="s">
        <v>3528</v>
      </c>
      <c r="J1505" s="163">
        <v>1.84</v>
      </c>
      <c r="K1505" s="163"/>
      <c r="L1505" s="163"/>
      <c r="M1505" s="164">
        <v>44</v>
      </c>
      <c r="N1505" s="164"/>
      <c r="O1505" s="164"/>
      <c r="P1505" s="159" t="s">
        <v>3575</v>
      </c>
      <c r="Q1505" s="159" t="s">
        <v>488</v>
      </c>
      <c r="R1505" s="159" t="s">
        <v>3576</v>
      </c>
      <c r="S1505" s="165">
        <v>1.9888543347665599E-2</v>
      </c>
      <c r="T1505" s="166" t="s">
        <v>372</v>
      </c>
      <c r="U1505" s="166"/>
      <c r="V1505" s="166"/>
      <c r="W1505" s="167">
        <f>IF(BetTable[Sport]="","",BetTable[Stake]+BetTable[S2]+BetTable[S3])</f>
        <v>44</v>
      </c>
      <c r="X1505" s="164">
        <f>IF(BetTable[Odds]="","",(BetTable[WBA1-Commission])-BetTable[TS])</f>
        <v>36.960000000000008</v>
      </c>
      <c r="Y1505" s="168">
        <f>IF(BetTable[Outcome]="","",BetTable[WBA1]+BetTable[WBA2]+BetTable[WBA3]-BetTable[TS])</f>
        <v>36.960000000000008</v>
      </c>
      <c r="Z1505" s="164">
        <f>(((BetTable[Odds]-1)*BetTable[Stake])*(1-(BetTable[Comm %]))+BetTable[Stake])</f>
        <v>80.960000000000008</v>
      </c>
      <c r="AA1505" s="164">
        <f>(((BetTable[O2]-1)*BetTable[S2])*(1-(BetTable[C% 2]))+BetTable[S2])</f>
        <v>0</v>
      </c>
      <c r="AB1505" s="164">
        <f>(((BetTable[O3]-1)*BetTable[S3])*(1-(BetTable[C% 3]))+BetTable[S3])</f>
        <v>0</v>
      </c>
      <c r="AC1505" s="165">
        <f>IFERROR(IF(BetTable[Sport]="","",BetTable[R1]/BetTable[TS]),"")</f>
        <v>0.84000000000000019</v>
      </c>
      <c r="AD1505" s="165" t="str">
        <f>IF(BetTable[O2]="","",#REF!/BetTable[TS])</f>
        <v/>
      </c>
      <c r="AE1505" s="165" t="str">
        <f>IFERROR(IF(BetTable[Sport]="","",#REF!/BetTable[TS]),"")</f>
        <v/>
      </c>
      <c r="AF1505" s="164">
        <f>IF(BetTable[Outcome]="Win",BetTable[WBA1-Commission],IF(BetTable[Outcome]="Win Half Stake",(BetTable[Stake]/2)+BetTable[WBA1-Commission]/2,IF(BetTable[Outcome]="Lose Half Stake",BetTable[Stake]/2,IF(BetTable[Outcome]="Lose",0,IF(BetTable[Outcome]="Void",BetTable[Stake],)))))</f>
        <v>80.960000000000008</v>
      </c>
      <c r="AG1505" s="164">
        <f>IF(BetTable[Outcome2]="Win",BetTable[WBA2-Commission],IF(BetTable[Outcome2]="Win Half Stake",(BetTable[S2]/2)+BetTable[WBA2-Commission]/2,IF(BetTable[Outcome2]="Lose Half Stake",BetTable[S2]/2,IF(BetTable[Outcome2]="Lose",0,IF(BetTable[Outcome2]="Void",BetTable[S2],)))))</f>
        <v>0</v>
      </c>
      <c r="AH1505" s="164">
        <f>IF(BetTable[Outcome3]="Win",BetTable[WBA3-Commission],IF(BetTable[Outcome3]="Win Half Stake",(BetTable[S3]/2)+BetTable[WBA3-Commission]/2,IF(BetTable[Outcome3]="Lose Half Stake",BetTable[S3]/2,IF(BetTable[Outcome3]="Lose",0,IF(BetTable[Outcome3]="Void",BetTable[S3],)))))</f>
        <v>0</v>
      </c>
      <c r="AI1505" s="168">
        <f>IF(BetTable[Outcome]="",AI1504,BetTable[Result]+AI1504)</f>
        <v>2415.7377500000002</v>
      </c>
      <c r="AJ1505" s="160"/>
    </row>
    <row r="1506" spans="1:36" x14ac:dyDescent="0.2">
      <c r="A1506" s="159" t="s">
        <v>3560</v>
      </c>
      <c r="B1506" s="160" t="s">
        <v>7</v>
      </c>
      <c r="C1506" s="161" t="s">
        <v>1714</v>
      </c>
      <c r="D1506" s="161"/>
      <c r="E1506" s="161"/>
      <c r="F1506" s="162"/>
      <c r="G1506" s="162"/>
      <c r="H1506" s="162"/>
      <c r="I1506" s="160" t="s">
        <v>3577</v>
      </c>
      <c r="J1506" s="163">
        <v>1.96</v>
      </c>
      <c r="K1506" s="163"/>
      <c r="L1506" s="163"/>
      <c r="M1506" s="164">
        <v>39</v>
      </c>
      <c r="N1506" s="164"/>
      <c r="O1506" s="164"/>
      <c r="P1506" s="159" t="s">
        <v>3578</v>
      </c>
      <c r="Q1506" s="159" t="s">
        <v>836</v>
      </c>
      <c r="R1506" s="159" t="s">
        <v>3579</v>
      </c>
      <c r="S1506" s="165">
        <v>2.4420458806849302E-2</v>
      </c>
      <c r="T1506" s="166" t="s">
        <v>372</v>
      </c>
      <c r="U1506" s="166"/>
      <c r="V1506" s="166"/>
      <c r="W1506" s="167">
        <f>IF(BetTable[Sport]="","",BetTable[Stake]+BetTable[S2]+BetTable[S3])</f>
        <v>39</v>
      </c>
      <c r="X1506" s="164">
        <f>IF(BetTable[Odds]="","",(BetTable[WBA1-Commission])-BetTable[TS])</f>
        <v>37.44</v>
      </c>
      <c r="Y1506" s="168">
        <f>IF(BetTable[Outcome]="","",BetTable[WBA1]+BetTable[WBA2]+BetTable[WBA3]-BetTable[TS])</f>
        <v>37.44</v>
      </c>
      <c r="Z1506" s="164">
        <f>(((BetTable[Odds]-1)*BetTable[Stake])*(1-(BetTable[Comm %]))+BetTable[Stake])</f>
        <v>76.44</v>
      </c>
      <c r="AA1506" s="164">
        <f>(((BetTable[O2]-1)*BetTable[S2])*(1-(BetTable[C% 2]))+BetTable[S2])</f>
        <v>0</v>
      </c>
      <c r="AB1506" s="164">
        <f>(((BetTable[O3]-1)*BetTable[S3])*(1-(BetTable[C% 3]))+BetTable[S3])</f>
        <v>0</v>
      </c>
      <c r="AC1506" s="165">
        <f>IFERROR(IF(BetTable[Sport]="","",BetTable[R1]/BetTable[TS]),"")</f>
        <v>0.96</v>
      </c>
      <c r="AD1506" s="165" t="str">
        <f>IF(BetTable[O2]="","",#REF!/BetTable[TS])</f>
        <v/>
      </c>
      <c r="AE1506" s="165" t="str">
        <f>IFERROR(IF(BetTable[Sport]="","",#REF!/BetTable[TS]),"")</f>
        <v/>
      </c>
      <c r="AF1506" s="164">
        <f>IF(BetTable[Outcome]="Win",BetTable[WBA1-Commission],IF(BetTable[Outcome]="Win Half Stake",(BetTable[Stake]/2)+BetTable[WBA1-Commission]/2,IF(BetTable[Outcome]="Lose Half Stake",BetTable[Stake]/2,IF(BetTable[Outcome]="Lose",0,IF(BetTable[Outcome]="Void",BetTable[Stake],)))))</f>
        <v>76.44</v>
      </c>
      <c r="AG1506" s="164">
        <f>IF(BetTable[Outcome2]="Win",BetTable[WBA2-Commission],IF(BetTable[Outcome2]="Win Half Stake",(BetTable[S2]/2)+BetTable[WBA2-Commission]/2,IF(BetTable[Outcome2]="Lose Half Stake",BetTable[S2]/2,IF(BetTable[Outcome2]="Lose",0,IF(BetTable[Outcome2]="Void",BetTable[S2],)))))</f>
        <v>0</v>
      </c>
      <c r="AH1506" s="164">
        <f>IF(BetTable[Outcome3]="Win",BetTable[WBA3-Commission],IF(BetTable[Outcome3]="Win Half Stake",(BetTable[S3]/2)+BetTable[WBA3-Commission]/2,IF(BetTable[Outcome3]="Lose Half Stake",BetTable[S3]/2,IF(BetTable[Outcome3]="Lose",0,IF(BetTable[Outcome3]="Void",BetTable[S3],)))))</f>
        <v>0</v>
      </c>
      <c r="AI1506" s="168">
        <f>IF(BetTable[Outcome]="",AI1505,BetTable[Result]+AI1505)</f>
        <v>2453.1777500000003</v>
      </c>
      <c r="AJ1506" s="160"/>
    </row>
    <row r="1507" spans="1:36" x14ac:dyDescent="0.2">
      <c r="A1507" s="159" t="s">
        <v>3560</v>
      </c>
      <c r="B1507" s="160" t="s">
        <v>200</v>
      </c>
      <c r="C1507" s="161" t="s">
        <v>1714</v>
      </c>
      <c r="D1507" s="161"/>
      <c r="E1507" s="161"/>
      <c r="F1507" s="162"/>
      <c r="G1507" s="162"/>
      <c r="H1507" s="162"/>
      <c r="I1507" s="160" t="s">
        <v>3580</v>
      </c>
      <c r="J1507" s="163">
        <v>1.91</v>
      </c>
      <c r="K1507" s="163"/>
      <c r="L1507" s="163"/>
      <c r="M1507" s="164">
        <v>68</v>
      </c>
      <c r="N1507" s="164"/>
      <c r="O1507" s="164"/>
      <c r="P1507" s="159" t="s">
        <v>868</v>
      </c>
      <c r="Q1507" s="159" t="s">
        <v>461</v>
      </c>
      <c r="R1507" s="159" t="s">
        <v>3581</v>
      </c>
      <c r="S1507" s="165">
        <v>3.2987478450231297E-2</v>
      </c>
      <c r="T1507" s="166" t="s">
        <v>510</v>
      </c>
      <c r="U1507" s="166"/>
      <c r="V1507" s="166"/>
      <c r="W1507" s="167">
        <f>IF(BetTable[Sport]="","",BetTable[Stake]+BetTable[S2]+BetTable[S3])</f>
        <v>68</v>
      </c>
      <c r="X1507" s="164">
        <f>IF(BetTable[Odds]="","",(BetTable[WBA1-Commission])-BetTable[TS])</f>
        <v>61.879999999999995</v>
      </c>
      <c r="Y1507" s="168">
        <f>IF(BetTable[Outcome]="","",BetTable[WBA1]+BetTable[WBA2]+BetTable[WBA3]-BetTable[TS])</f>
        <v>30.939999999999998</v>
      </c>
      <c r="Z1507" s="164">
        <f>(((BetTable[Odds]-1)*BetTable[Stake])*(1-(BetTable[Comm %]))+BetTable[Stake])</f>
        <v>129.88</v>
      </c>
      <c r="AA1507" s="164">
        <f>(((BetTable[O2]-1)*BetTable[S2])*(1-(BetTable[C% 2]))+BetTable[S2])</f>
        <v>0</v>
      </c>
      <c r="AB1507" s="164">
        <f>(((BetTable[O3]-1)*BetTable[S3])*(1-(BetTable[C% 3]))+BetTable[S3])</f>
        <v>0</v>
      </c>
      <c r="AC1507" s="165">
        <f>IFERROR(IF(BetTable[Sport]="","",BetTable[R1]/BetTable[TS]),"")</f>
        <v>0.90999999999999992</v>
      </c>
      <c r="AD1507" s="165" t="str">
        <f>IF(BetTable[O2]="","",#REF!/BetTable[TS])</f>
        <v/>
      </c>
      <c r="AE1507" s="165" t="str">
        <f>IFERROR(IF(BetTable[Sport]="","",#REF!/BetTable[TS]),"")</f>
        <v/>
      </c>
      <c r="AF1507" s="164">
        <f>IF(BetTable[Outcome]="Win",BetTable[WBA1-Commission],IF(BetTable[Outcome]="Win Half Stake",(BetTable[Stake]/2)+BetTable[WBA1-Commission]/2,IF(BetTable[Outcome]="Lose Half Stake",BetTable[Stake]/2,IF(BetTable[Outcome]="Lose",0,IF(BetTable[Outcome]="Void",BetTable[Stake],)))))</f>
        <v>98.94</v>
      </c>
      <c r="AG1507" s="164">
        <f>IF(BetTable[Outcome2]="Win",BetTable[WBA2-Commission],IF(BetTable[Outcome2]="Win Half Stake",(BetTable[S2]/2)+BetTable[WBA2-Commission]/2,IF(BetTable[Outcome2]="Lose Half Stake",BetTable[S2]/2,IF(BetTable[Outcome2]="Lose",0,IF(BetTable[Outcome2]="Void",BetTable[S2],)))))</f>
        <v>0</v>
      </c>
      <c r="AH1507" s="164">
        <f>IF(BetTable[Outcome3]="Win",BetTable[WBA3-Commission],IF(BetTable[Outcome3]="Win Half Stake",(BetTable[S3]/2)+BetTable[WBA3-Commission]/2,IF(BetTable[Outcome3]="Lose Half Stake",BetTable[S3]/2,IF(BetTable[Outcome3]="Lose",0,IF(BetTable[Outcome3]="Void",BetTable[S3],)))))</f>
        <v>0</v>
      </c>
      <c r="AI1507" s="168">
        <f>IF(BetTable[Outcome]="",AI1506,BetTable[Result]+AI1506)</f>
        <v>2484.1177500000003</v>
      </c>
      <c r="AJ1507" s="160"/>
    </row>
    <row r="1508" spans="1:36" x14ac:dyDescent="0.2">
      <c r="A1508" s="159" t="s">
        <v>3560</v>
      </c>
      <c r="B1508" s="160" t="s">
        <v>200</v>
      </c>
      <c r="C1508" s="161" t="s">
        <v>1714</v>
      </c>
      <c r="D1508" s="161"/>
      <c r="E1508" s="161"/>
      <c r="F1508" s="162"/>
      <c r="G1508" s="162"/>
      <c r="H1508" s="162"/>
      <c r="I1508" s="160" t="s">
        <v>3582</v>
      </c>
      <c r="J1508" s="163">
        <v>2.85</v>
      </c>
      <c r="K1508" s="163"/>
      <c r="L1508" s="163"/>
      <c r="M1508" s="164">
        <v>56</v>
      </c>
      <c r="N1508" s="164"/>
      <c r="O1508" s="164"/>
      <c r="P1508" s="159" t="s">
        <v>494</v>
      </c>
      <c r="Q1508" s="159" t="s">
        <v>439</v>
      </c>
      <c r="R1508" s="159" t="s">
        <v>3583</v>
      </c>
      <c r="S1508" s="165">
        <v>5.5179413537566897E-2</v>
      </c>
      <c r="T1508" s="166" t="s">
        <v>372</v>
      </c>
      <c r="U1508" s="166"/>
      <c r="V1508" s="166"/>
      <c r="W1508" s="167">
        <f>IF(BetTable[Sport]="","",BetTable[Stake]+BetTable[S2]+BetTable[S3])</f>
        <v>56</v>
      </c>
      <c r="X1508" s="164">
        <f>IF(BetTable[Odds]="","",(BetTable[WBA1-Commission])-BetTable[TS])</f>
        <v>103.60000000000002</v>
      </c>
      <c r="Y1508" s="168">
        <f>IF(BetTable[Outcome]="","",BetTable[WBA1]+BetTable[WBA2]+BetTable[WBA3]-BetTable[TS])</f>
        <v>103.60000000000002</v>
      </c>
      <c r="Z1508" s="164">
        <f>(((BetTable[Odds]-1)*BetTable[Stake])*(1-(BetTable[Comm %]))+BetTable[Stake])</f>
        <v>159.60000000000002</v>
      </c>
      <c r="AA1508" s="164">
        <f>(((BetTable[O2]-1)*BetTable[S2])*(1-(BetTable[C% 2]))+BetTable[S2])</f>
        <v>0</v>
      </c>
      <c r="AB1508" s="164">
        <f>(((BetTable[O3]-1)*BetTable[S3])*(1-(BetTable[C% 3]))+BetTable[S3])</f>
        <v>0</v>
      </c>
      <c r="AC1508" s="165">
        <f>IFERROR(IF(BetTable[Sport]="","",BetTable[R1]/BetTable[TS]),"")</f>
        <v>1.8500000000000003</v>
      </c>
      <c r="AD1508" s="165" t="str">
        <f>IF(BetTable[O2]="","",#REF!/BetTable[TS])</f>
        <v/>
      </c>
      <c r="AE1508" s="165" t="str">
        <f>IFERROR(IF(BetTable[Sport]="","",#REF!/BetTable[TS]),"")</f>
        <v/>
      </c>
      <c r="AF1508" s="164">
        <f>IF(BetTable[Outcome]="Win",BetTable[WBA1-Commission],IF(BetTable[Outcome]="Win Half Stake",(BetTable[Stake]/2)+BetTable[WBA1-Commission]/2,IF(BetTable[Outcome]="Lose Half Stake",BetTable[Stake]/2,IF(BetTable[Outcome]="Lose",0,IF(BetTable[Outcome]="Void",BetTable[Stake],)))))</f>
        <v>159.60000000000002</v>
      </c>
      <c r="AG1508" s="164">
        <f>IF(BetTable[Outcome2]="Win",BetTable[WBA2-Commission],IF(BetTable[Outcome2]="Win Half Stake",(BetTable[S2]/2)+BetTable[WBA2-Commission]/2,IF(BetTable[Outcome2]="Lose Half Stake",BetTable[S2]/2,IF(BetTable[Outcome2]="Lose",0,IF(BetTable[Outcome2]="Void",BetTable[S2],)))))</f>
        <v>0</v>
      </c>
      <c r="AH1508" s="164">
        <f>IF(BetTable[Outcome3]="Win",BetTable[WBA3-Commission],IF(BetTable[Outcome3]="Win Half Stake",(BetTable[S3]/2)+BetTable[WBA3-Commission]/2,IF(BetTable[Outcome3]="Lose Half Stake",BetTable[S3]/2,IF(BetTable[Outcome3]="Lose",0,IF(BetTable[Outcome3]="Void",BetTable[S3],)))))</f>
        <v>0</v>
      </c>
      <c r="AI1508" s="168">
        <f>IF(BetTable[Outcome]="",AI1507,BetTable[Result]+AI1507)</f>
        <v>2587.7177500000003</v>
      </c>
      <c r="AJ1508" s="160"/>
    </row>
    <row r="1509" spans="1:36" x14ac:dyDescent="0.2">
      <c r="A1509" s="159" t="s">
        <v>3560</v>
      </c>
      <c r="B1509" s="160" t="s">
        <v>200</v>
      </c>
      <c r="C1509" s="161" t="s">
        <v>1714</v>
      </c>
      <c r="D1509" s="161"/>
      <c r="E1509" s="161"/>
      <c r="F1509" s="162"/>
      <c r="G1509" s="162"/>
      <c r="H1509" s="162"/>
      <c r="I1509" s="160" t="s">
        <v>3584</v>
      </c>
      <c r="J1509" s="163">
        <v>1.94</v>
      </c>
      <c r="K1509" s="163"/>
      <c r="L1509" s="163"/>
      <c r="M1509" s="164">
        <v>45</v>
      </c>
      <c r="N1509" s="164"/>
      <c r="O1509" s="164"/>
      <c r="P1509" s="159" t="s">
        <v>652</v>
      </c>
      <c r="Q1509" s="159" t="s">
        <v>439</v>
      </c>
      <c r="R1509" s="159" t="s">
        <v>3585</v>
      </c>
      <c r="S1509" s="165">
        <v>2.24348050317685E-2</v>
      </c>
      <c r="T1509" s="166" t="s">
        <v>382</v>
      </c>
      <c r="U1509" s="166"/>
      <c r="V1509" s="166"/>
      <c r="W1509" s="167">
        <f>IF(BetTable[Sport]="","",BetTable[Stake]+BetTable[S2]+BetTable[S3])</f>
        <v>45</v>
      </c>
      <c r="X1509" s="164">
        <f>IF(BetTable[Odds]="","",(BetTable[WBA1-Commission])-BetTable[TS])</f>
        <v>42.3</v>
      </c>
      <c r="Y1509" s="168">
        <f>IF(BetTable[Outcome]="","",BetTable[WBA1]+BetTable[WBA2]+BetTable[WBA3]-BetTable[TS])</f>
        <v>-45</v>
      </c>
      <c r="Z1509" s="164">
        <f>(((BetTable[Odds]-1)*BetTable[Stake])*(1-(BetTable[Comm %]))+BetTable[Stake])</f>
        <v>87.3</v>
      </c>
      <c r="AA1509" s="164">
        <f>(((BetTable[O2]-1)*BetTable[S2])*(1-(BetTable[C% 2]))+BetTable[S2])</f>
        <v>0</v>
      </c>
      <c r="AB1509" s="164">
        <f>(((BetTable[O3]-1)*BetTable[S3])*(1-(BetTable[C% 3]))+BetTable[S3])</f>
        <v>0</v>
      </c>
      <c r="AC1509" s="165">
        <f>IFERROR(IF(BetTable[Sport]="","",BetTable[R1]/BetTable[TS]),"")</f>
        <v>0.94</v>
      </c>
      <c r="AD1509" s="165" t="str">
        <f>IF(BetTable[O2]="","",#REF!/BetTable[TS])</f>
        <v/>
      </c>
      <c r="AE1509" s="165" t="str">
        <f>IFERROR(IF(BetTable[Sport]="","",#REF!/BetTable[TS]),"")</f>
        <v/>
      </c>
      <c r="AF1509" s="164">
        <f>IF(BetTable[Outcome]="Win",BetTable[WBA1-Commission],IF(BetTable[Outcome]="Win Half Stake",(BetTable[Stake]/2)+BetTable[WBA1-Commission]/2,IF(BetTable[Outcome]="Lose Half Stake",BetTable[Stake]/2,IF(BetTable[Outcome]="Lose",0,IF(BetTable[Outcome]="Void",BetTable[Stake],)))))</f>
        <v>0</v>
      </c>
      <c r="AG1509" s="164">
        <f>IF(BetTable[Outcome2]="Win",BetTable[WBA2-Commission],IF(BetTable[Outcome2]="Win Half Stake",(BetTable[S2]/2)+BetTable[WBA2-Commission]/2,IF(BetTable[Outcome2]="Lose Half Stake",BetTable[S2]/2,IF(BetTable[Outcome2]="Lose",0,IF(BetTable[Outcome2]="Void",BetTable[S2],)))))</f>
        <v>0</v>
      </c>
      <c r="AH1509" s="164">
        <f>IF(BetTable[Outcome3]="Win",BetTable[WBA3-Commission],IF(BetTable[Outcome3]="Win Half Stake",(BetTable[S3]/2)+BetTable[WBA3-Commission]/2,IF(BetTable[Outcome3]="Lose Half Stake",BetTable[S3]/2,IF(BetTable[Outcome3]="Lose",0,IF(BetTable[Outcome3]="Void",BetTable[S3],)))))</f>
        <v>0</v>
      </c>
      <c r="AI1509" s="168">
        <f>IF(BetTable[Outcome]="",AI1508,BetTable[Result]+AI1508)</f>
        <v>2542.7177500000003</v>
      </c>
      <c r="AJ1509" s="160"/>
    </row>
    <row r="1510" spans="1:36" x14ac:dyDescent="0.2">
      <c r="A1510" s="159" t="s">
        <v>3560</v>
      </c>
      <c r="B1510" s="160" t="s">
        <v>200</v>
      </c>
      <c r="C1510" s="161" t="s">
        <v>1714</v>
      </c>
      <c r="D1510" s="161"/>
      <c r="E1510" s="161"/>
      <c r="F1510" s="162"/>
      <c r="G1510" s="162"/>
      <c r="H1510" s="162"/>
      <c r="I1510" s="160" t="s">
        <v>3586</v>
      </c>
      <c r="J1510" s="163">
        <v>1.91</v>
      </c>
      <c r="K1510" s="163"/>
      <c r="L1510" s="163"/>
      <c r="M1510" s="164">
        <v>61</v>
      </c>
      <c r="N1510" s="164"/>
      <c r="O1510" s="164"/>
      <c r="P1510" s="159" t="s">
        <v>498</v>
      </c>
      <c r="Q1510" s="159" t="s">
        <v>839</v>
      </c>
      <c r="R1510" s="159" t="s">
        <v>3587</v>
      </c>
      <c r="S1510" s="165">
        <v>2.9787693872361999E-2</v>
      </c>
      <c r="T1510" s="166" t="s">
        <v>372</v>
      </c>
      <c r="U1510" s="166"/>
      <c r="V1510" s="166"/>
      <c r="W1510" s="167">
        <f>IF(BetTable[Sport]="","",BetTable[Stake]+BetTable[S2]+BetTable[S3])</f>
        <v>61</v>
      </c>
      <c r="X1510" s="164">
        <f>IF(BetTable[Odds]="","",(BetTable[WBA1-Commission])-BetTable[TS])</f>
        <v>55.509999999999991</v>
      </c>
      <c r="Y1510" s="168">
        <f>IF(BetTable[Outcome]="","",BetTable[WBA1]+BetTable[WBA2]+BetTable[WBA3]-BetTable[TS])</f>
        <v>55.509999999999991</v>
      </c>
      <c r="Z1510" s="164">
        <f>(((BetTable[Odds]-1)*BetTable[Stake])*(1-(BetTable[Comm %]))+BetTable[Stake])</f>
        <v>116.50999999999999</v>
      </c>
      <c r="AA1510" s="164">
        <f>(((BetTable[O2]-1)*BetTable[S2])*(1-(BetTable[C% 2]))+BetTable[S2])</f>
        <v>0</v>
      </c>
      <c r="AB1510" s="164">
        <f>(((BetTable[O3]-1)*BetTable[S3])*(1-(BetTable[C% 3]))+BetTable[S3])</f>
        <v>0</v>
      </c>
      <c r="AC1510" s="165">
        <f>IFERROR(IF(BetTable[Sport]="","",BetTable[R1]/BetTable[TS]),"")</f>
        <v>0.90999999999999981</v>
      </c>
      <c r="AD1510" s="165" t="str">
        <f>IF(BetTable[O2]="","",#REF!/BetTable[TS])</f>
        <v/>
      </c>
      <c r="AE1510" s="165" t="str">
        <f>IFERROR(IF(BetTable[Sport]="","",#REF!/BetTable[TS]),"")</f>
        <v/>
      </c>
      <c r="AF1510" s="164">
        <f>IF(BetTable[Outcome]="Win",BetTable[WBA1-Commission],IF(BetTable[Outcome]="Win Half Stake",(BetTable[Stake]/2)+BetTable[WBA1-Commission]/2,IF(BetTable[Outcome]="Lose Half Stake",BetTable[Stake]/2,IF(BetTable[Outcome]="Lose",0,IF(BetTable[Outcome]="Void",BetTable[Stake],)))))</f>
        <v>116.50999999999999</v>
      </c>
      <c r="AG1510" s="164">
        <f>IF(BetTable[Outcome2]="Win",BetTable[WBA2-Commission],IF(BetTable[Outcome2]="Win Half Stake",(BetTable[S2]/2)+BetTable[WBA2-Commission]/2,IF(BetTable[Outcome2]="Lose Half Stake",BetTable[S2]/2,IF(BetTable[Outcome2]="Lose",0,IF(BetTable[Outcome2]="Void",BetTable[S2],)))))</f>
        <v>0</v>
      </c>
      <c r="AH1510" s="164">
        <f>IF(BetTable[Outcome3]="Win",BetTable[WBA3-Commission],IF(BetTable[Outcome3]="Win Half Stake",(BetTable[S3]/2)+BetTable[WBA3-Commission]/2,IF(BetTable[Outcome3]="Lose Half Stake",BetTable[S3]/2,IF(BetTable[Outcome3]="Lose",0,IF(BetTable[Outcome3]="Void",BetTable[S3],)))))</f>
        <v>0</v>
      </c>
      <c r="AI1510" s="168">
        <f>IF(BetTable[Outcome]="",AI1509,BetTable[Result]+AI1509)</f>
        <v>2598.22775</v>
      </c>
      <c r="AJ1510" s="160"/>
    </row>
    <row r="1511" spans="1:36" x14ac:dyDescent="0.2">
      <c r="A1511" s="159" t="s">
        <v>3560</v>
      </c>
      <c r="B1511" s="160" t="s">
        <v>7</v>
      </c>
      <c r="C1511" s="161" t="s">
        <v>1714</v>
      </c>
      <c r="D1511" s="161"/>
      <c r="E1511" s="161"/>
      <c r="F1511" s="162"/>
      <c r="G1511" s="162"/>
      <c r="H1511" s="162"/>
      <c r="I1511" s="160" t="s">
        <v>3588</v>
      </c>
      <c r="J1511" s="163">
        <v>1.92</v>
      </c>
      <c r="K1511" s="163"/>
      <c r="L1511" s="163"/>
      <c r="M1511" s="164">
        <v>50</v>
      </c>
      <c r="N1511" s="164"/>
      <c r="O1511" s="164"/>
      <c r="P1511" s="159" t="s">
        <v>3589</v>
      </c>
      <c r="Q1511" s="159" t="s">
        <v>436</v>
      </c>
      <c r="R1511" s="159" t="s">
        <v>3590</v>
      </c>
      <c r="S1511" s="165">
        <v>2.4633240467597201E-2</v>
      </c>
      <c r="T1511" s="166" t="s">
        <v>382</v>
      </c>
      <c r="U1511" s="166"/>
      <c r="V1511" s="166"/>
      <c r="W1511" s="167">
        <f>IF(BetTable[Sport]="","",BetTable[Stake]+BetTable[S2]+BetTable[S3])</f>
        <v>50</v>
      </c>
      <c r="X1511" s="164">
        <f>IF(BetTable[Odds]="","",(BetTable[WBA1-Commission])-BetTable[TS])</f>
        <v>46</v>
      </c>
      <c r="Y1511" s="168">
        <f>IF(BetTable[Outcome]="","",BetTable[WBA1]+BetTable[WBA2]+BetTable[WBA3]-BetTable[TS])</f>
        <v>-50</v>
      </c>
      <c r="Z1511" s="164">
        <f>(((BetTable[Odds]-1)*BetTable[Stake])*(1-(BetTable[Comm %]))+BetTable[Stake])</f>
        <v>96</v>
      </c>
      <c r="AA1511" s="164">
        <f>(((BetTable[O2]-1)*BetTable[S2])*(1-(BetTable[C% 2]))+BetTable[S2])</f>
        <v>0</v>
      </c>
      <c r="AB1511" s="164">
        <f>(((BetTable[O3]-1)*BetTable[S3])*(1-(BetTable[C% 3]))+BetTable[S3])</f>
        <v>0</v>
      </c>
      <c r="AC1511" s="165">
        <f>IFERROR(IF(BetTable[Sport]="","",BetTable[R1]/BetTable[TS]),"")</f>
        <v>0.92</v>
      </c>
      <c r="AD1511" s="165" t="str">
        <f>IF(BetTable[O2]="","",#REF!/BetTable[TS])</f>
        <v/>
      </c>
      <c r="AE1511" s="165" t="str">
        <f>IFERROR(IF(BetTable[Sport]="","",#REF!/BetTable[TS]),"")</f>
        <v/>
      </c>
      <c r="AF1511" s="164">
        <f>IF(BetTable[Outcome]="Win",BetTable[WBA1-Commission],IF(BetTable[Outcome]="Win Half Stake",(BetTable[Stake]/2)+BetTable[WBA1-Commission]/2,IF(BetTable[Outcome]="Lose Half Stake",BetTable[Stake]/2,IF(BetTable[Outcome]="Lose",0,IF(BetTable[Outcome]="Void",BetTable[Stake],)))))</f>
        <v>0</v>
      </c>
      <c r="AG1511" s="164">
        <f>IF(BetTable[Outcome2]="Win",BetTable[WBA2-Commission],IF(BetTable[Outcome2]="Win Half Stake",(BetTable[S2]/2)+BetTable[WBA2-Commission]/2,IF(BetTable[Outcome2]="Lose Half Stake",BetTable[S2]/2,IF(BetTable[Outcome2]="Lose",0,IF(BetTable[Outcome2]="Void",BetTable[S2],)))))</f>
        <v>0</v>
      </c>
      <c r="AH1511" s="164">
        <f>IF(BetTable[Outcome3]="Win",BetTable[WBA3-Commission],IF(BetTable[Outcome3]="Win Half Stake",(BetTable[S3]/2)+BetTable[WBA3-Commission]/2,IF(BetTable[Outcome3]="Lose Half Stake",BetTable[S3]/2,IF(BetTable[Outcome3]="Lose",0,IF(BetTable[Outcome3]="Void",BetTable[S3],)))))</f>
        <v>0</v>
      </c>
      <c r="AI1511" s="168">
        <f>IF(BetTable[Outcome]="",AI1510,BetTable[Result]+AI1510)</f>
        <v>2548.22775</v>
      </c>
      <c r="AJ1511" s="160"/>
    </row>
    <row r="1512" spans="1:36" x14ac:dyDescent="0.2">
      <c r="A1512" s="159" t="s">
        <v>3560</v>
      </c>
      <c r="B1512" s="160" t="s">
        <v>200</v>
      </c>
      <c r="C1512" s="161" t="s">
        <v>1714</v>
      </c>
      <c r="D1512" s="161"/>
      <c r="E1512" s="161"/>
      <c r="F1512" s="162"/>
      <c r="G1512" s="162"/>
      <c r="H1512" s="162"/>
      <c r="I1512" s="160" t="s">
        <v>3591</v>
      </c>
      <c r="J1512" s="163">
        <v>1.88</v>
      </c>
      <c r="K1512" s="163"/>
      <c r="L1512" s="163"/>
      <c r="M1512" s="164">
        <v>48</v>
      </c>
      <c r="N1512" s="164"/>
      <c r="O1512" s="164"/>
      <c r="P1512" s="159" t="s">
        <v>448</v>
      </c>
      <c r="Q1512" s="159" t="s">
        <v>461</v>
      </c>
      <c r="R1512" s="159" t="s">
        <v>3592</v>
      </c>
      <c r="S1512" s="165">
        <v>2.2460151297504598E-2</v>
      </c>
      <c r="T1512" s="166" t="s">
        <v>382</v>
      </c>
      <c r="U1512" s="166"/>
      <c r="V1512" s="166"/>
      <c r="W1512" s="167">
        <f>IF(BetTable[Sport]="","",BetTable[Stake]+BetTable[S2]+BetTable[S3])</f>
        <v>48</v>
      </c>
      <c r="X1512" s="164">
        <f>IF(BetTable[Odds]="","",(BetTable[WBA1-Commission])-BetTable[TS])</f>
        <v>42.239999999999995</v>
      </c>
      <c r="Y1512" s="168">
        <f>IF(BetTable[Outcome]="","",BetTable[WBA1]+BetTable[WBA2]+BetTable[WBA3]-BetTable[TS])</f>
        <v>-48</v>
      </c>
      <c r="Z1512" s="164">
        <f>(((BetTable[Odds]-1)*BetTable[Stake])*(1-(BetTable[Comm %]))+BetTable[Stake])</f>
        <v>90.24</v>
      </c>
      <c r="AA1512" s="164">
        <f>(((BetTable[O2]-1)*BetTable[S2])*(1-(BetTable[C% 2]))+BetTable[S2])</f>
        <v>0</v>
      </c>
      <c r="AB1512" s="164">
        <f>(((BetTable[O3]-1)*BetTable[S3])*(1-(BetTable[C% 3]))+BetTable[S3])</f>
        <v>0</v>
      </c>
      <c r="AC1512" s="165">
        <f>IFERROR(IF(BetTable[Sport]="","",BetTable[R1]/BetTable[TS]),"")</f>
        <v>0.87999999999999989</v>
      </c>
      <c r="AD1512" s="165" t="str">
        <f>IF(BetTable[O2]="","",#REF!/BetTable[TS])</f>
        <v/>
      </c>
      <c r="AE1512" s="165" t="str">
        <f>IFERROR(IF(BetTable[Sport]="","",#REF!/BetTable[TS]),"")</f>
        <v/>
      </c>
      <c r="AF1512" s="164">
        <f>IF(BetTable[Outcome]="Win",BetTable[WBA1-Commission],IF(BetTable[Outcome]="Win Half Stake",(BetTable[Stake]/2)+BetTable[WBA1-Commission]/2,IF(BetTable[Outcome]="Lose Half Stake",BetTable[Stake]/2,IF(BetTable[Outcome]="Lose",0,IF(BetTable[Outcome]="Void",BetTable[Stake],)))))</f>
        <v>0</v>
      </c>
      <c r="AG1512" s="164">
        <f>IF(BetTable[Outcome2]="Win",BetTable[WBA2-Commission],IF(BetTable[Outcome2]="Win Half Stake",(BetTable[S2]/2)+BetTable[WBA2-Commission]/2,IF(BetTable[Outcome2]="Lose Half Stake",BetTable[S2]/2,IF(BetTable[Outcome2]="Lose",0,IF(BetTable[Outcome2]="Void",BetTable[S2],)))))</f>
        <v>0</v>
      </c>
      <c r="AH1512" s="164">
        <f>IF(BetTable[Outcome3]="Win",BetTable[WBA3-Commission],IF(BetTable[Outcome3]="Win Half Stake",(BetTable[S3]/2)+BetTable[WBA3-Commission]/2,IF(BetTable[Outcome3]="Lose Half Stake",BetTable[S3]/2,IF(BetTable[Outcome3]="Lose",0,IF(BetTable[Outcome3]="Void",BetTable[S3],)))))</f>
        <v>0</v>
      </c>
      <c r="AI1512" s="168">
        <f>IF(BetTable[Outcome]="",AI1511,BetTable[Result]+AI1511)</f>
        <v>2500.22775</v>
      </c>
      <c r="AJ1512" s="160"/>
    </row>
    <row r="1513" spans="1:36" x14ac:dyDescent="0.2">
      <c r="A1513" s="159" t="s">
        <v>3560</v>
      </c>
      <c r="B1513" s="160" t="s">
        <v>200</v>
      </c>
      <c r="C1513" s="161" t="s">
        <v>1714</v>
      </c>
      <c r="D1513" s="161"/>
      <c r="E1513" s="161"/>
      <c r="F1513" s="162"/>
      <c r="G1513" s="162"/>
      <c r="H1513" s="162"/>
      <c r="I1513" s="160" t="s">
        <v>3593</v>
      </c>
      <c r="J1513" s="163">
        <v>1.67</v>
      </c>
      <c r="K1513" s="163"/>
      <c r="L1513" s="163"/>
      <c r="M1513" s="164">
        <v>87</v>
      </c>
      <c r="N1513" s="164"/>
      <c r="O1513" s="164"/>
      <c r="P1513" s="159" t="s">
        <v>646</v>
      </c>
      <c r="Q1513" s="159" t="s">
        <v>439</v>
      </c>
      <c r="R1513" s="159" t="s">
        <v>3594</v>
      </c>
      <c r="S1513" s="165">
        <v>3.11423393016932E-2</v>
      </c>
      <c r="T1513" s="166" t="s">
        <v>382</v>
      </c>
      <c r="U1513" s="166"/>
      <c r="V1513" s="166"/>
      <c r="W1513" s="167">
        <f>IF(BetTable[Sport]="","",BetTable[Stake]+BetTable[S2]+BetTable[S3])</f>
        <v>87</v>
      </c>
      <c r="X1513" s="164">
        <f>IF(BetTable[Odds]="","",(BetTable[WBA1-Commission])-BetTable[TS])</f>
        <v>58.289999999999992</v>
      </c>
      <c r="Y1513" s="168">
        <f>IF(BetTable[Outcome]="","",BetTable[WBA1]+BetTable[WBA2]+BetTable[WBA3]-BetTable[TS])</f>
        <v>-87</v>
      </c>
      <c r="Z1513" s="164">
        <f>(((BetTable[Odds]-1)*BetTable[Stake])*(1-(BetTable[Comm %]))+BetTable[Stake])</f>
        <v>145.29</v>
      </c>
      <c r="AA1513" s="164">
        <f>(((BetTable[O2]-1)*BetTable[S2])*(1-(BetTable[C% 2]))+BetTable[S2])</f>
        <v>0</v>
      </c>
      <c r="AB1513" s="164">
        <f>(((BetTable[O3]-1)*BetTable[S3])*(1-(BetTable[C% 3]))+BetTable[S3])</f>
        <v>0</v>
      </c>
      <c r="AC1513" s="165">
        <f>IFERROR(IF(BetTable[Sport]="","",BetTable[R1]/BetTable[TS]),"")</f>
        <v>0.66999999999999993</v>
      </c>
      <c r="AD1513" s="165" t="str">
        <f>IF(BetTable[O2]="","",#REF!/BetTable[TS])</f>
        <v/>
      </c>
      <c r="AE1513" s="165" t="str">
        <f>IFERROR(IF(BetTable[Sport]="","",#REF!/BetTable[TS]),"")</f>
        <v/>
      </c>
      <c r="AF1513" s="164">
        <f>IF(BetTable[Outcome]="Win",BetTable[WBA1-Commission],IF(BetTable[Outcome]="Win Half Stake",(BetTable[Stake]/2)+BetTable[WBA1-Commission]/2,IF(BetTable[Outcome]="Lose Half Stake",BetTable[Stake]/2,IF(BetTable[Outcome]="Lose",0,IF(BetTable[Outcome]="Void",BetTable[Stake],)))))</f>
        <v>0</v>
      </c>
      <c r="AG1513" s="164">
        <f>IF(BetTable[Outcome2]="Win",BetTable[WBA2-Commission],IF(BetTable[Outcome2]="Win Half Stake",(BetTable[S2]/2)+BetTable[WBA2-Commission]/2,IF(BetTable[Outcome2]="Lose Half Stake",BetTable[S2]/2,IF(BetTable[Outcome2]="Lose",0,IF(BetTable[Outcome2]="Void",BetTable[S2],)))))</f>
        <v>0</v>
      </c>
      <c r="AH1513" s="164">
        <f>IF(BetTable[Outcome3]="Win",BetTable[WBA3-Commission],IF(BetTable[Outcome3]="Win Half Stake",(BetTable[S3]/2)+BetTable[WBA3-Commission]/2,IF(BetTable[Outcome3]="Lose Half Stake",BetTable[S3]/2,IF(BetTable[Outcome3]="Lose",0,IF(BetTable[Outcome3]="Void",BetTable[S3],)))))</f>
        <v>0</v>
      </c>
      <c r="AI1513" s="168">
        <f>IF(BetTable[Outcome]="",AI1512,BetTable[Result]+AI1512)</f>
        <v>2413.22775</v>
      </c>
      <c r="AJ1513" s="160"/>
    </row>
    <row r="1514" spans="1:36" x14ac:dyDescent="0.2">
      <c r="A1514" s="159" t="s">
        <v>3560</v>
      </c>
      <c r="B1514" s="160" t="s">
        <v>200</v>
      </c>
      <c r="C1514" s="161" t="s">
        <v>1714</v>
      </c>
      <c r="D1514" s="161"/>
      <c r="E1514" s="161"/>
      <c r="F1514" s="162"/>
      <c r="G1514" s="162"/>
      <c r="H1514" s="162"/>
      <c r="I1514" s="160" t="s">
        <v>3595</v>
      </c>
      <c r="J1514" s="163">
        <v>1.27</v>
      </c>
      <c r="K1514" s="163"/>
      <c r="L1514" s="163"/>
      <c r="M1514" s="164">
        <v>97</v>
      </c>
      <c r="N1514" s="164"/>
      <c r="O1514" s="164"/>
      <c r="P1514" s="159" t="s">
        <v>435</v>
      </c>
      <c r="Q1514" s="159" t="s">
        <v>488</v>
      </c>
      <c r="R1514" s="159" t="s">
        <v>3596</v>
      </c>
      <c r="S1514" s="165">
        <v>1.5522556705969101E-2</v>
      </c>
      <c r="T1514" s="166" t="s">
        <v>372</v>
      </c>
      <c r="U1514" s="166"/>
      <c r="V1514" s="166"/>
      <c r="W1514" s="167">
        <f>IF(BetTable[Sport]="","",BetTable[Stake]+BetTable[S2]+BetTable[S3])</f>
        <v>97</v>
      </c>
      <c r="X1514" s="164">
        <f>IF(BetTable[Odds]="","",(BetTable[WBA1-Commission])-BetTable[TS])</f>
        <v>26.189999999999998</v>
      </c>
      <c r="Y1514" s="168">
        <f>IF(BetTable[Outcome]="","",BetTable[WBA1]+BetTable[WBA2]+BetTable[WBA3]-BetTable[TS])</f>
        <v>26.189999999999998</v>
      </c>
      <c r="Z1514" s="164">
        <f>(((BetTable[Odds]-1)*BetTable[Stake])*(1-(BetTable[Comm %]))+BetTable[Stake])</f>
        <v>123.19</v>
      </c>
      <c r="AA1514" s="164">
        <f>(((BetTable[O2]-1)*BetTable[S2])*(1-(BetTable[C% 2]))+BetTable[S2])</f>
        <v>0</v>
      </c>
      <c r="AB1514" s="164">
        <f>(((BetTable[O3]-1)*BetTable[S3])*(1-(BetTable[C% 3]))+BetTable[S3])</f>
        <v>0</v>
      </c>
      <c r="AC1514" s="165">
        <f>IFERROR(IF(BetTable[Sport]="","",BetTable[R1]/BetTable[TS]),"")</f>
        <v>0.26999999999999996</v>
      </c>
      <c r="AD1514" s="165" t="str">
        <f>IF(BetTable[O2]="","",#REF!/BetTable[TS])</f>
        <v/>
      </c>
      <c r="AE1514" s="165" t="str">
        <f>IFERROR(IF(BetTable[Sport]="","",#REF!/BetTable[TS]),"")</f>
        <v/>
      </c>
      <c r="AF1514" s="164">
        <f>IF(BetTable[Outcome]="Win",BetTable[WBA1-Commission],IF(BetTable[Outcome]="Win Half Stake",(BetTable[Stake]/2)+BetTable[WBA1-Commission]/2,IF(BetTable[Outcome]="Lose Half Stake",BetTable[Stake]/2,IF(BetTable[Outcome]="Lose",0,IF(BetTable[Outcome]="Void",BetTable[Stake],)))))</f>
        <v>123.19</v>
      </c>
      <c r="AG1514" s="164">
        <f>IF(BetTable[Outcome2]="Win",BetTable[WBA2-Commission],IF(BetTable[Outcome2]="Win Half Stake",(BetTable[S2]/2)+BetTable[WBA2-Commission]/2,IF(BetTable[Outcome2]="Lose Half Stake",BetTable[S2]/2,IF(BetTable[Outcome2]="Lose",0,IF(BetTable[Outcome2]="Void",BetTable[S2],)))))</f>
        <v>0</v>
      </c>
      <c r="AH1514" s="164">
        <f>IF(BetTable[Outcome3]="Win",BetTable[WBA3-Commission],IF(BetTable[Outcome3]="Win Half Stake",(BetTable[S3]/2)+BetTable[WBA3-Commission]/2,IF(BetTable[Outcome3]="Lose Half Stake",BetTable[S3]/2,IF(BetTable[Outcome3]="Lose",0,IF(BetTable[Outcome3]="Void",BetTable[S3],)))))</f>
        <v>0</v>
      </c>
      <c r="AI1514" s="168">
        <f>IF(BetTable[Outcome]="",AI1513,BetTable[Result]+AI1513)</f>
        <v>2439.4177500000001</v>
      </c>
      <c r="AJ1514" s="160"/>
    </row>
    <row r="1515" spans="1:36" x14ac:dyDescent="0.2">
      <c r="A1515" s="159" t="s">
        <v>3560</v>
      </c>
      <c r="B1515" s="160" t="s">
        <v>200</v>
      </c>
      <c r="C1515" s="161" t="s">
        <v>1714</v>
      </c>
      <c r="D1515" s="161"/>
      <c r="E1515" s="161"/>
      <c r="F1515" s="162"/>
      <c r="G1515" s="162"/>
      <c r="H1515" s="162"/>
      <c r="I1515" s="160" t="s">
        <v>3597</v>
      </c>
      <c r="J1515" s="163">
        <v>2.23</v>
      </c>
      <c r="K1515" s="163"/>
      <c r="L1515" s="163"/>
      <c r="M1515" s="164">
        <v>37</v>
      </c>
      <c r="N1515" s="164"/>
      <c r="O1515" s="164"/>
      <c r="P1515" s="159" t="s">
        <v>351</v>
      </c>
      <c r="Q1515" s="159" t="s">
        <v>632</v>
      </c>
      <c r="R1515" s="159" t="s">
        <v>3598</v>
      </c>
      <c r="S1515" s="165">
        <v>2.3946556573813602E-2</v>
      </c>
      <c r="T1515" s="166" t="s">
        <v>382</v>
      </c>
      <c r="U1515" s="166"/>
      <c r="V1515" s="166"/>
      <c r="W1515" s="167">
        <f>IF(BetTable[Sport]="","",BetTable[Stake]+BetTable[S2]+BetTable[S3])</f>
        <v>37</v>
      </c>
      <c r="X1515" s="164">
        <f>IF(BetTable[Odds]="","",(BetTable[WBA1-Commission])-BetTable[TS])</f>
        <v>45.509999999999991</v>
      </c>
      <c r="Y1515" s="168">
        <f>IF(BetTable[Outcome]="","",BetTable[WBA1]+BetTable[WBA2]+BetTable[WBA3]-BetTable[TS])</f>
        <v>-37</v>
      </c>
      <c r="Z1515" s="164">
        <f>(((BetTable[Odds]-1)*BetTable[Stake])*(1-(BetTable[Comm %]))+BetTable[Stake])</f>
        <v>82.509999999999991</v>
      </c>
      <c r="AA1515" s="164">
        <f>(((BetTable[O2]-1)*BetTable[S2])*(1-(BetTable[C% 2]))+BetTable[S2])</f>
        <v>0</v>
      </c>
      <c r="AB1515" s="164">
        <f>(((BetTable[O3]-1)*BetTable[S3])*(1-(BetTable[C% 3]))+BetTable[S3])</f>
        <v>0</v>
      </c>
      <c r="AC1515" s="165">
        <f>IFERROR(IF(BetTable[Sport]="","",BetTable[R1]/BetTable[TS]),"")</f>
        <v>1.2299999999999998</v>
      </c>
      <c r="AD1515" s="165" t="str">
        <f>IF(BetTable[O2]="","",#REF!/BetTable[TS])</f>
        <v/>
      </c>
      <c r="AE1515" s="165" t="str">
        <f>IFERROR(IF(BetTable[Sport]="","",#REF!/BetTable[TS]),"")</f>
        <v/>
      </c>
      <c r="AF1515" s="164">
        <f>IF(BetTable[Outcome]="Win",BetTable[WBA1-Commission],IF(BetTable[Outcome]="Win Half Stake",(BetTable[Stake]/2)+BetTable[WBA1-Commission]/2,IF(BetTable[Outcome]="Lose Half Stake",BetTable[Stake]/2,IF(BetTable[Outcome]="Lose",0,IF(BetTable[Outcome]="Void",BetTable[Stake],)))))</f>
        <v>0</v>
      </c>
      <c r="AG1515" s="164">
        <f>IF(BetTable[Outcome2]="Win",BetTable[WBA2-Commission],IF(BetTable[Outcome2]="Win Half Stake",(BetTable[S2]/2)+BetTable[WBA2-Commission]/2,IF(BetTable[Outcome2]="Lose Half Stake",BetTable[S2]/2,IF(BetTable[Outcome2]="Lose",0,IF(BetTable[Outcome2]="Void",BetTable[S2],)))))</f>
        <v>0</v>
      </c>
      <c r="AH1515" s="164">
        <f>IF(BetTable[Outcome3]="Win",BetTable[WBA3-Commission],IF(BetTable[Outcome3]="Win Half Stake",(BetTable[S3]/2)+BetTable[WBA3-Commission]/2,IF(BetTable[Outcome3]="Lose Half Stake",BetTable[S3]/2,IF(BetTable[Outcome3]="Lose",0,IF(BetTable[Outcome3]="Void",BetTable[S3],)))))</f>
        <v>0</v>
      </c>
      <c r="AI1515" s="168">
        <f>IF(BetTable[Outcome]="",AI1514,BetTable[Result]+AI1514)</f>
        <v>2402.4177500000001</v>
      </c>
      <c r="AJ1515" s="160"/>
    </row>
    <row r="1516" spans="1:36" x14ac:dyDescent="0.2">
      <c r="A1516" s="159" t="s">
        <v>3560</v>
      </c>
      <c r="B1516" s="160" t="s">
        <v>200</v>
      </c>
      <c r="C1516" s="161" t="s">
        <v>1714</v>
      </c>
      <c r="D1516" s="161"/>
      <c r="E1516" s="161"/>
      <c r="F1516" s="162"/>
      <c r="G1516" s="162"/>
      <c r="H1516" s="162"/>
      <c r="I1516" s="160" t="s">
        <v>3599</v>
      </c>
      <c r="J1516" s="163">
        <v>1.66</v>
      </c>
      <c r="K1516" s="163"/>
      <c r="L1516" s="163"/>
      <c r="M1516" s="164">
        <v>67</v>
      </c>
      <c r="N1516" s="164"/>
      <c r="O1516" s="164"/>
      <c r="P1516" s="159" t="s">
        <v>791</v>
      </c>
      <c r="Q1516" s="159" t="s">
        <v>677</v>
      </c>
      <c r="R1516" s="159" t="s">
        <v>3600</v>
      </c>
      <c r="S1516" s="165">
        <v>2.3737910527684099E-2</v>
      </c>
      <c r="T1516" s="166" t="s">
        <v>372</v>
      </c>
      <c r="U1516" s="166"/>
      <c r="V1516" s="166"/>
      <c r="W1516" s="167">
        <f>IF(BetTable[Sport]="","",BetTable[Stake]+BetTable[S2]+BetTable[S3])</f>
        <v>67</v>
      </c>
      <c r="X1516" s="164">
        <f>IF(BetTable[Odds]="","",(BetTable[WBA1-Commission])-BetTable[TS])</f>
        <v>44.22</v>
      </c>
      <c r="Y1516" s="168">
        <f>IF(BetTable[Outcome]="","",BetTable[WBA1]+BetTable[WBA2]+BetTable[WBA3]-BetTable[TS])</f>
        <v>44.22</v>
      </c>
      <c r="Z1516" s="164">
        <f>(((BetTable[Odds]-1)*BetTable[Stake])*(1-(BetTable[Comm %]))+BetTable[Stake])</f>
        <v>111.22</v>
      </c>
      <c r="AA1516" s="164">
        <f>(((BetTable[O2]-1)*BetTable[S2])*(1-(BetTable[C% 2]))+BetTable[S2])</f>
        <v>0</v>
      </c>
      <c r="AB1516" s="164">
        <f>(((BetTable[O3]-1)*BetTable[S3])*(1-(BetTable[C% 3]))+BetTable[S3])</f>
        <v>0</v>
      </c>
      <c r="AC1516" s="165">
        <f>IFERROR(IF(BetTable[Sport]="","",BetTable[R1]/BetTable[TS]),"")</f>
        <v>0.66</v>
      </c>
      <c r="AD1516" s="165" t="str">
        <f>IF(BetTable[O2]="","",#REF!/BetTable[TS])</f>
        <v/>
      </c>
      <c r="AE1516" s="165" t="str">
        <f>IFERROR(IF(BetTable[Sport]="","",#REF!/BetTable[TS]),"")</f>
        <v/>
      </c>
      <c r="AF1516" s="164">
        <f>IF(BetTable[Outcome]="Win",BetTable[WBA1-Commission],IF(BetTable[Outcome]="Win Half Stake",(BetTable[Stake]/2)+BetTable[WBA1-Commission]/2,IF(BetTable[Outcome]="Lose Half Stake",BetTable[Stake]/2,IF(BetTable[Outcome]="Lose",0,IF(BetTable[Outcome]="Void",BetTable[Stake],)))))</f>
        <v>111.22</v>
      </c>
      <c r="AG1516" s="164">
        <f>IF(BetTable[Outcome2]="Win",BetTable[WBA2-Commission],IF(BetTable[Outcome2]="Win Half Stake",(BetTable[S2]/2)+BetTable[WBA2-Commission]/2,IF(BetTable[Outcome2]="Lose Half Stake",BetTable[S2]/2,IF(BetTable[Outcome2]="Lose",0,IF(BetTable[Outcome2]="Void",BetTable[S2],)))))</f>
        <v>0</v>
      </c>
      <c r="AH1516" s="164">
        <f>IF(BetTable[Outcome3]="Win",BetTable[WBA3-Commission],IF(BetTable[Outcome3]="Win Half Stake",(BetTable[S3]/2)+BetTable[WBA3-Commission]/2,IF(BetTable[Outcome3]="Lose Half Stake",BetTable[S3]/2,IF(BetTable[Outcome3]="Lose",0,IF(BetTable[Outcome3]="Void",BetTable[S3],)))))</f>
        <v>0</v>
      </c>
      <c r="AI1516" s="168">
        <f>IF(BetTable[Outcome]="",AI1515,BetTable[Result]+AI1515)</f>
        <v>2446.6377499999999</v>
      </c>
      <c r="AJ1516" s="160"/>
    </row>
    <row r="1517" spans="1:36" x14ac:dyDescent="0.2">
      <c r="A1517" s="159" t="s">
        <v>3560</v>
      </c>
      <c r="B1517" s="160" t="s">
        <v>200</v>
      </c>
      <c r="C1517" s="161" t="s">
        <v>1714</v>
      </c>
      <c r="D1517" s="161"/>
      <c r="E1517" s="161"/>
      <c r="F1517" s="162"/>
      <c r="G1517" s="162"/>
      <c r="H1517" s="162"/>
      <c r="I1517" s="160" t="s">
        <v>3601</v>
      </c>
      <c r="J1517" s="163">
        <v>1.99</v>
      </c>
      <c r="K1517" s="163"/>
      <c r="L1517" s="163"/>
      <c r="M1517" s="164">
        <v>50</v>
      </c>
      <c r="N1517" s="164"/>
      <c r="O1517" s="164"/>
      <c r="P1517" s="159" t="s">
        <v>368</v>
      </c>
      <c r="Q1517" s="159" t="s">
        <v>439</v>
      </c>
      <c r="R1517" s="159" t="s">
        <v>3602</v>
      </c>
      <c r="S1517" s="165">
        <v>2.6621714937579501E-2</v>
      </c>
      <c r="T1517" s="166" t="s">
        <v>382</v>
      </c>
      <c r="U1517" s="166"/>
      <c r="V1517" s="166"/>
      <c r="W1517" s="167">
        <f>IF(BetTable[Sport]="","",BetTable[Stake]+BetTable[S2]+BetTable[S3])</f>
        <v>50</v>
      </c>
      <c r="X1517" s="164">
        <f>IF(BetTable[Odds]="","",(BetTable[WBA1-Commission])-BetTable[TS])</f>
        <v>49.5</v>
      </c>
      <c r="Y1517" s="168">
        <f>IF(BetTable[Outcome]="","",BetTable[WBA1]+BetTable[WBA2]+BetTable[WBA3]-BetTable[TS])</f>
        <v>-50</v>
      </c>
      <c r="Z1517" s="164">
        <f>(((BetTable[Odds]-1)*BetTable[Stake])*(1-(BetTable[Comm %]))+BetTable[Stake])</f>
        <v>99.5</v>
      </c>
      <c r="AA1517" s="164">
        <f>(((BetTable[O2]-1)*BetTable[S2])*(1-(BetTable[C% 2]))+BetTable[S2])</f>
        <v>0</v>
      </c>
      <c r="AB1517" s="164">
        <f>(((BetTable[O3]-1)*BetTable[S3])*(1-(BetTable[C% 3]))+BetTable[S3])</f>
        <v>0</v>
      </c>
      <c r="AC1517" s="165">
        <f>IFERROR(IF(BetTable[Sport]="","",BetTable[R1]/BetTable[TS]),"")</f>
        <v>0.99</v>
      </c>
      <c r="AD1517" s="165" t="str">
        <f>IF(BetTable[O2]="","",#REF!/BetTable[TS])</f>
        <v/>
      </c>
      <c r="AE1517" s="165" t="str">
        <f>IFERROR(IF(BetTable[Sport]="","",#REF!/BetTable[TS]),"")</f>
        <v/>
      </c>
      <c r="AF1517" s="164">
        <f>IF(BetTable[Outcome]="Win",BetTable[WBA1-Commission],IF(BetTable[Outcome]="Win Half Stake",(BetTable[Stake]/2)+BetTable[WBA1-Commission]/2,IF(BetTable[Outcome]="Lose Half Stake",BetTable[Stake]/2,IF(BetTable[Outcome]="Lose",0,IF(BetTable[Outcome]="Void",BetTable[Stake],)))))</f>
        <v>0</v>
      </c>
      <c r="AG1517" s="164">
        <f>IF(BetTable[Outcome2]="Win",BetTable[WBA2-Commission],IF(BetTable[Outcome2]="Win Half Stake",(BetTable[S2]/2)+BetTable[WBA2-Commission]/2,IF(BetTable[Outcome2]="Lose Half Stake",BetTable[S2]/2,IF(BetTable[Outcome2]="Lose",0,IF(BetTable[Outcome2]="Void",BetTable[S2],)))))</f>
        <v>0</v>
      </c>
      <c r="AH1517" s="164">
        <f>IF(BetTable[Outcome3]="Win",BetTable[WBA3-Commission],IF(BetTable[Outcome3]="Win Half Stake",(BetTable[S3]/2)+BetTable[WBA3-Commission]/2,IF(BetTable[Outcome3]="Lose Half Stake",BetTable[S3]/2,IF(BetTable[Outcome3]="Lose",0,IF(BetTable[Outcome3]="Void",BetTable[S3],)))))</f>
        <v>0</v>
      </c>
      <c r="AI1517" s="168">
        <f>IF(BetTable[Outcome]="",AI1516,BetTable[Result]+AI1516)</f>
        <v>2396.6377499999999</v>
      </c>
      <c r="AJ1517" s="160"/>
    </row>
    <row r="1518" spans="1:36" x14ac:dyDescent="0.2">
      <c r="A1518" s="159" t="s">
        <v>3560</v>
      </c>
      <c r="B1518" s="160" t="s">
        <v>200</v>
      </c>
      <c r="C1518" s="161" t="s">
        <v>1714</v>
      </c>
      <c r="D1518" s="161"/>
      <c r="E1518" s="161"/>
      <c r="F1518" s="162"/>
      <c r="G1518" s="162"/>
      <c r="H1518" s="162"/>
      <c r="I1518" s="160" t="s">
        <v>3591</v>
      </c>
      <c r="J1518" s="163">
        <v>3.65</v>
      </c>
      <c r="K1518" s="163"/>
      <c r="L1518" s="163"/>
      <c r="M1518" s="164">
        <v>27</v>
      </c>
      <c r="N1518" s="164"/>
      <c r="O1518" s="164"/>
      <c r="P1518" s="159" t="s">
        <v>428</v>
      </c>
      <c r="Q1518" s="159" t="s">
        <v>461</v>
      </c>
      <c r="R1518" s="159" t="s">
        <v>3603</v>
      </c>
      <c r="S1518" s="165">
        <v>3.7601564238758101E-2</v>
      </c>
      <c r="T1518" s="166" t="s">
        <v>382</v>
      </c>
      <c r="U1518" s="166"/>
      <c r="V1518" s="166"/>
      <c r="W1518" s="167">
        <f>IF(BetTable[Sport]="","",BetTable[Stake]+BetTable[S2]+BetTable[S3])</f>
        <v>27</v>
      </c>
      <c r="X1518" s="164">
        <f>IF(BetTable[Odds]="","",(BetTable[WBA1-Commission])-BetTable[TS])</f>
        <v>71.55</v>
      </c>
      <c r="Y1518" s="168">
        <f>IF(BetTable[Outcome]="","",BetTable[WBA1]+BetTable[WBA2]+BetTable[WBA3]-BetTable[TS])</f>
        <v>-27</v>
      </c>
      <c r="Z1518" s="164">
        <f>(((BetTable[Odds]-1)*BetTable[Stake])*(1-(BetTable[Comm %]))+BetTable[Stake])</f>
        <v>98.55</v>
      </c>
      <c r="AA1518" s="164">
        <f>(((BetTable[O2]-1)*BetTable[S2])*(1-(BetTable[C% 2]))+BetTable[S2])</f>
        <v>0</v>
      </c>
      <c r="AB1518" s="164">
        <f>(((BetTable[O3]-1)*BetTable[S3])*(1-(BetTable[C% 3]))+BetTable[S3])</f>
        <v>0</v>
      </c>
      <c r="AC1518" s="165">
        <f>IFERROR(IF(BetTable[Sport]="","",BetTable[R1]/BetTable[TS]),"")</f>
        <v>2.65</v>
      </c>
      <c r="AD1518" s="165" t="str">
        <f>IF(BetTable[O2]="","",#REF!/BetTable[TS])</f>
        <v/>
      </c>
      <c r="AE1518" s="165" t="str">
        <f>IFERROR(IF(BetTable[Sport]="","",#REF!/BetTable[TS]),"")</f>
        <v/>
      </c>
      <c r="AF1518" s="164">
        <f>IF(BetTable[Outcome]="Win",BetTable[WBA1-Commission],IF(BetTable[Outcome]="Win Half Stake",(BetTable[Stake]/2)+BetTable[WBA1-Commission]/2,IF(BetTable[Outcome]="Lose Half Stake",BetTable[Stake]/2,IF(BetTable[Outcome]="Lose",0,IF(BetTable[Outcome]="Void",BetTable[Stake],)))))</f>
        <v>0</v>
      </c>
      <c r="AG1518" s="164">
        <f>IF(BetTable[Outcome2]="Win",BetTable[WBA2-Commission],IF(BetTable[Outcome2]="Win Half Stake",(BetTable[S2]/2)+BetTable[WBA2-Commission]/2,IF(BetTable[Outcome2]="Lose Half Stake",BetTable[S2]/2,IF(BetTable[Outcome2]="Lose",0,IF(BetTable[Outcome2]="Void",BetTable[S2],)))))</f>
        <v>0</v>
      </c>
      <c r="AH1518" s="164">
        <f>IF(BetTable[Outcome3]="Win",BetTable[WBA3-Commission],IF(BetTable[Outcome3]="Win Half Stake",(BetTable[S3]/2)+BetTable[WBA3-Commission]/2,IF(BetTable[Outcome3]="Lose Half Stake",BetTable[S3]/2,IF(BetTable[Outcome3]="Lose",0,IF(BetTable[Outcome3]="Void",BetTable[S3],)))))</f>
        <v>0</v>
      </c>
      <c r="AI1518" s="168">
        <f>IF(BetTable[Outcome]="",AI1517,BetTable[Result]+AI1517)</f>
        <v>2369.6377499999999</v>
      </c>
      <c r="AJ1518" s="160"/>
    </row>
    <row r="1519" spans="1:36" x14ac:dyDescent="0.2">
      <c r="A1519" s="159" t="s">
        <v>3560</v>
      </c>
      <c r="B1519" s="160" t="s">
        <v>200</v>
      </c>
      <c r="C1519" s="161" t="s">
        <v>1714</v>
      </c>
      <c r="D1519" s="161"/>
      <c r="E1519" s="161"/>
      <c r="F1519" s="162"/>
      <c r="G1519" s="162"/>
      <c r="H1519" s="162"/>
      <c r="I1519" s="160" t="s">
        <v>3604</v>
      </c>
      <c r="J1519" s="163">
        <v>3.05</v>
      </c>
      <c r="K1519" s="163"/>
      <c r="L1519" s="163"/>
      <c r="M1519" s="164">
        <v>23</v>
      </c>
      <c r="N1519" s="164"/>
      <c r="O1519" s="164"/>
      <c r="P1519" s="159" t="s">
        <v>494</v>
      </c>
      <c r="Q1519" s="159" t="s">
        <v>488</v>
      </c>
      <c r="R1519" s="159" t="s">
        <v>3605</v>
      </c>
      <c r="S1519" s="165">
        <v>2.46639848517284E-2</v>
      </c>
      <c r="T1519" s="166" t="s">
        <v>372</v>
      </c>
      <c r="U1519" s="166"/>
      <c r="V1519" s="166"/>
      <c r="W1519" s="167">
        <f>IF(BetTable[Sport]="","",BetTable[Stake]+BetTable[S2]+BetTable[S3])</f>
        <v>23</v>
      </c>
      <c r="X1519" s="164">
        <f>IF(BetTable[Odds]="","",(BetTable[WBA1-Commission])-BetTable[TS])</f>
        <v>47.150000000000006</v>
      </c>
      <c r="Y1519" s="168">
        <f>IF(BetTable[Outcome]="","",BetTable[WBA1]+BetTable[WBA2]+BetTable[WBA3]-BetTable[TS])</f>
        <v>47.150000000000006</v>
      </c>
      <c r="Z1519" s="164">
        <f>(((BetTable[Odds]-1)*BetTable[Stake])*(1-(BetTable[Comm %]))+BetTable[Stake])</f>
        <v>70.150000000000006</v>
      </c>
      <c r="AA1519" s="164">
        <f>(((BetTable[O2]-1)*BetTable[S2])*(1-(BetTable[C% 2]))+BetTable[S2])</f>
        <v>0</v>
      </c>
      <c r="AB1519" s="164">
        <f>(((BetTable[O3]-1)*BetTable[S3])*(1-(BetTable[C% 3]))+BetTable[S3])</f>
        <v>0</v>
      </c>
      <c r="AC1519" s="165">
        <f>IFERROR(IF(BetTable[Sport]="","",BetTable[R1]/BetTable[TS]),"")</f>
        <v>2.0500000000000003</v>
      </c>
      <c r="AD1519" s="165" t="str">
        <f>IF(BetTable[O2]="","",#REF!/BetTable[TS])</f>
        <v/>
      </c>
      <c r="AE1519" s="165" t="str">
        <f>IFERROR(IF(BetTable[Sport]="","",#REF!/BetTable[TS]),"")</f>
        <v/>
      </c>
      <c r="AF1519" s="164">
        <f>IF(BetTable[Outcome]="Win",BetTable[WBA1-Commission],IF(BetTable[Outcome]="Win Half Stake",(BetTable[Stake]/2)+BetTable[WBA1-Commission]/2,IF(BetTable[Outcome]="Lose Half Stake",BetTable[Stake]/2,IF(BetTable[Outcome]="Lose",0,IF(BetTable[Outcome]="Void",BetTable[Stake],)))))</f>
        <v>70.150000000000006</v>
      </c>
      <c r="AG1519" s="164">
        <f>IF(BetTable[Outcome2]="Win",BetTable[WBA2-Commission],IF(BetTable[Outcome2]="Win Half Stake",(BetTable[S2]/2)+BetTable[WBA2-Commission]/2,IF(BetTable[Outcome2]="Lose Half Stake",BetTable[S2]/2,IF(BetTable[Outcome2]="Lose",0,IF(BetTable[Outcome2]="Void",BetTable[S2],)))))</f>
        <v>0</v>
      </c>
      <c r="AH1519" s="164">
        <f>IF(BetTable[Outcome3]="Win",BetTable[WBA3-Commission],IF(BetTable[Outcome3]="Win Half Stake",(BetTable[S3]/2)+BetTable[WBA3-Commission]/2,IF(BetTable[Outcome3]="Lose Half Stake",BetTable[S3]/2,IF(BetTable[Outcome3]="Lose",0,IF(BetTable[Outcome3]="Void",BetTable[S3],)))))</f>
        <v>0</v>
      </c>
      <c r="AI1519" s="168">
        <f>IF(BetTable[Outcome]="",AI1518,BetTable[Result]+AI1518)</f>
        <v>2416.78775</v>
      </c>
      <c r="AJ1519" s="160"/>
    </row>
    <row r="1520" spans="1:36" x14ac:dyDescent="0.2">
      <c r="A1520" s="159" t="s">
        <v>3560</v>
      </c>
      <c r="B1520" s="160" t="s">
        <v>7</v>
      </c>
      <c r="C1520" s="161" t="s">
        <v>216</v>
      </c>
      <c r="D1520" s="161"/>
      <c r="E1520" s="161"/>
      <c r="F1520" s="162"/>
      <c r="G1520" s="162"/>
      <c r="H1520" s="162"/>
      <c r="I1520" s="160" t="s">
        <v>3606</v>
      </c>
      <c r="J1520" s="163">
        <v>1.87</v>
      </c>
      <c r="K1520" s="163"/>
      <c r="L1520" s="163"/>
      <c r="M1520" s="164">
        <v>28</v>
      </c>
      <c r="N1520" s="164"/>
      <c r="O1520" s="164"/>
      <c r="P1520" s="159" t="s">
        <v>2877</v>
      </c>
      <c r="Q1520" s="159" t="s">
        <v>506</v>
      </c>
      <c r="R1520" s="159" t="s">
        <v>3607</v>
      </c>
      <c r="S1520" s="165">
        <v>5.7905643476375702E-2</v>
      </c>
      <c r="T1520" s="166" t="s">
        <v>382</v>
      </c>
      <c r="U1520" s="166"/>
      <c r="V1520" s="166"/>
      <c r="W1520" s="167">
        <f>IF(BetTable[Sport]="","",BetTable[Stake]+BetTable[S2]+BetTable[S3])</f>
        <v>28</v>
      </c>
      <c r="X1520" s="164">
        <f>IF(BetTable[Odds]="","",(BetTable[WBA1-Commission])-BetTable[TS])</f>
        <v>24.36</v>
      </c>
      <c r="Y1520" s="168">
        <f>IF(BetTable[Outcome]="","",BetTable[WBA1]+BetTable[WBA2]+BetTable[WBA3]-BetTable[TS])</f>
        <v>-28</v>
      </c>
      <c r="Z1520" s="164">
        <f>(((BetTable[Odds]-1)*BetTable[Stake])*(1-(BetTable[Comm %]))+BetTable[Stake])</f>
        <v>52.36</v>
      </c>
      <c r="AA1520" s="164">
        <f>(((BetTable[O2]-1)*BetTable[S2])*(1-(BetTable[C% 2]))+BetTable[S2])</f>
        <v>0</v>
      </c>
      <c r="AB1520" s="164">
        <f>(((BetTable[O3]-1)*BetTable[S3])*(1-(BetTable[C% 3]))+BetTable[S3])</f>
        <v>0</v>
      </c>
      <c r="AC1520" s="165">
        <f>IFERROR(IF(BetTable[Sport]="","",BetTable[R1]/BetTable[TS]),"")</f>
        <v>0.87</v>
      </c>
      <c r="AD1520" s="165" t="str">
        <f>IF(BetTable[O2]="","",#REF!/BetTable[TS])</f>
        <v/>
      </c>
      <c r="AE1520" s="165" t="str">
        <f>IFERROR(IF(BetTable[Sport]="","",#REF!/BetTable[TS]),"")</f>
        <v/>
      </c>
      <c r="AF1520" s="164">
        <f>IF(BetTable[Outcome]="Win",BetTable[WBA1-Commission],IF(BetTable[Outcome]="Win Half Stake",(BetTable[Stake]/2)+BetTable[WBA1-Commission]/2,IF(BetTable[Outcome]="Lose Half Stake",BetTable[Stake]/2,IF(BetTable[Outcome]="Lose",0,IF(BetTable[Outcome]="Void",BetTable[Stake],)))))</f>
        <v>0</v>
      </c>
      <c r="AG1520" s="164">
        <f>IF(BetTable[Outcome2]="Win",BetTable[WBA2-Commission],IF(BetTable[Outcome2]="Win Half Stake",(BetTable[S2]/2)+BetTable[WBA2-Commission]/2,IF(BetTable[Outcome2]="Lose Half Stake",BetTable[S2]/2,IF(BetTable[Outcome2]="Lose",0,IF(BetTable[Outcome2]="Void",BetTable[S2],)))))</f>
        <v>0</v>
      </c>
      <c r="AH1520" s="164">
        <f>IF(BetTable[Outcome3]="Win",BetTable[WBA3-Commission],IF(BetTable[Outcome3]="Win Half Stake",(BetTable[S3]/2)+BetTable[WBA3-Commission]/2,IF(BetTable[Outcome3]="Lose Half Stake",BetTable[S3]/2,IF(BetTable[Outcome3]="Lose",0,IF(BetTable[Outcome3]="Void",BetTable[S3],)))))</f>
        <v>0</v>
      </c>
      <c r="AI1520" s="168">
        <f>IF(BetTable[Outcome]="",AI1519,BetTable[Result]+AI1519)</f>
        <v>2388.78775</v>
      </c>
      <c r="AJ1520" s="160"/>
    </row>
    <row r="1521" spans="1:36" x14ac:dyDescent="0.2">
      <c r="A1521" s="159" t="s">
        <v>3560</v>
      </c>
      <c r="B1521" s="160" t="s">
        <v>200</v>
      </c>
      <c r="C1521" s="161" t="s">
        <v>216</v>
      </c>
      <c r="D1521" s="161"/>
      <c r="E1521" s="161"/>
      <c r="F1521" s="162"/>
      <c r="G1521" s="162"/>
      <c r="H1521" s="162"/>
      <c r="I1521" s="160" t="s">
        <v>3608</v>
      </c>
      <c r="J1521" s="163">
        <v>1.49</v>
      </c>
      <c r="K1521" s="163"/>
      <c r="L1521" s="163"/>
      <c r="M1521" s="164">
        <v>51</v>
      </c>
      <c r="N1521" s="164"/>
      <c r="O1521" s="164"/>
      <c r="P1521" s="159" t="s">
        <v>435</v>
      </c>
      <c r="Q1521" s="159" t="s">
        <v>429</v>
      </c>
      <c r="R1521" s="159" t="s">
        <v>3609</v>
      </c>
      <c r="S1521" s="165">
        <v>2.1948179407006701E-2</v>
      </c>
      <c r="T1521" s="166" t="s">
        <v>372</v>
      </c>
      <c r="U1521" s="166"/>
      <c r="V1521" s="166"/>
      <c r="W1521" s="167">
        <f>IF(BetTable[Sport]="","",BetTable[Stake]+BetTable[S2]+BetTable[S3])</f>
        <v>51</v>
      </c>
      <c r="X1521" s="164">
        <f>IF(BetTable[Odds]="","",(BetTable[WBA1-Commission])-BetTable[TS])</f>
        <v>24.989999999999995</v>
      </c>
      <c r="Y1521" s="168">
        <f>IF(BetTable[Outcome]="","",BetTable[WBA1]+BetTable[WBA2]+BetTable[WBA3]-BetTable[TS])</f>
        <v>24.989999999999995</v>
      </c>
      <c r="Z1521" s="164">
        <f>(((BetTable[Odds]-1)*BetTable[Stake])*(1-(BetTable[Comm %]))+BetTable[Stake])</f>
        <v>75.989999999999995</v>
      </c>
      <c r="AA1521" s="164">
        <f>(((BetTable[O2]-1)*BetTable[S2])*(1-(BetTable[C% 2]))+BetTable[S2])</f>
        <v>0</v>
      </c>
      <c r="AB1521" s="164">
        <f>(((BetTable[O3]-1)*BetTable[S3])*(1-(BetTable[C% 3]))+BetTable[S3])</f>
        <v>0</v>
      </c>
      <c r="AC1521" s="165">
        <f>IFERROR(IF(BetTable[Sport]="","",BetTable[R1]/BetTable[TS]),"")</f>
        <v>0.48999999999999988</v>
      </c>
      <c r="AD1521" s="165" t="str">
        <f>IF(BetTable[O2]="","",#REF!/BetTable[TS])</f>
        <v/>
      </c>
      <c r="AE1521" s="165" t="str">
        <f>IFERROR(IF(BetTable[Sport]="","",#REF!/BetTable[TS]),"")</f>
        <v/>
      </c>
      <c r="AF1521" s="164">
        <f>IF(BetTable[Outcome]="Win",BetTable[WBA1-Commission],IF(BetTable[Outcome]="Win Half Stake",(BetTable[Stake]/2)+BetTable[WBA1-Commission]/2,IF(BetTable[Outcome]="Lose Half Stake",BetTable[Stake]/2,IF(BetTable[Outcome]="Lose",0,IF(BetTable[Outcome]="Void",BetTable[Stake],)))))</f>
        <v>75.989999999999995</v>
      </c>
      <c r="AG1521" s="164">
        <f>IF(BetTable[Outcome2]="Win",BetTable[WBA2-Commission],IF(BetTable[Outcome2]="Win Half Stake",(BetTable[S2]/2)+BetTable[WBA2-Commission]/2,IF(BetTable[Outcome2]="Lose Half Stake",BetTable[S2]/2,IF(BetTable[Outcome2]="Lose",0,IF(BetTable[Outcome2]="Void",BetTable[S2],)))))</f>
        <v>0</v>
      </c>
      <c r="AH1521" s="164">
        <f>IF(BetTable[Outcome3]="Win",BetTable[WBA3-Commission],IF(BetTable[Outcome3]="Win Half Stake",(BetTable[S3]/2)+BetTable[WBA3-Commission]/2,IF(BetTable[Outcome3]="Lose Half Stake",BetTable[S3]/2,IF(BetTable[Outcome3]="Lose",0,IF(BetTable[Outcome3]="Void",BetTable[S3],)))))</f>
        <v>0</v>
      </c>
      <c r="AI1521" s="168">
        <f>IF(BetTable[Outcome]="",AI1520,BetTable[Result]+AI1520)</f>
        <v>2413.7777499999997</v>
      </c>
      <c r="AJ1521" s="160"/>
    </row>
    <row r="1522" spans="1:36" x14ac:dyDescent="0.2">
      <c r="A1522" s="159" t="s">
        <v>3560</v>
      </c>
      <c r="B1522" s="160" t="s">
        <v>200</v>
      </c>
      <c r="C1522" s="161" t="s">
        <v>1714</v>
      </c>
      <c r="D1522" s="161"/>
      <c r="E1522" s="161"/>
      <c r="F1522" s="162"/>
      <c r="G1522" s="162"/>
      <c r="H1522" s="162"/>
      <c r="I1522" s="160" t="s">
        <v>3610</v>
      </c>
      <c r="J1522" s="163">
        <v>3</v>
      </c>
      <c r="K1522" s="163"/>
      <c r="L1522" s="163"/>
      <c r="M1522" s="164">
        <v>74</v>
      </c>
      <c r="N1522" s="164"/>
      <c r="O1522" s="164"/>
      <c r="P1522" s="159" t="s">
        <v>494</v>
      </c>
      <c r="Q1522" s="159" t="s">
        <v>839</v>
      </c>
      <c r="R1522" s="159" t="s">
        <v>3611</v>
      </c>
      <c r="S1522" s="165">
        <v>7.89603168057747E-2</v>
      </c>
      <c r="T1522" s="166" t="s">
        <v>382</v>
      </c>
      <c r="U1522" s="166"/>
      <c r="V1522" s="166"/>
      <c r="W1522" s="167">
        <f>IF(BetTable[Sport]="","",BetTable[Stake]+BetTable[S2]+BetTable[S3])</f>
        <v>74</v>
      </c>
      <c r="X1522" s="164">
        <f>IF(BetTable[Odds]="","",(BetTable[WBA1-Commission])-BetTable[TS])</f>
        <v>148</v>
      </c>
      <c r="Y1522" s="168">
        <f>IF(BetTable[Outcome]="","",BetTable[WBA1]+BetTable[WBA2]+BetTable[WBA3]-BetTable[TS])</f>
        <v>-74</v>
      </c>
      <c r="Z1522" s="164">
        <f>(((BetTable[Odds]-1)*BetTable[Stake])*(1-(BetTable[Comm %]))+BetTable[Stake])</f>
        <v>222</v>
      </c>
      <c r="AA1522" s="164">
        <f>(((BetTable[O2]-1)*BetTable[S2])*(1-(BetTable[C% 2]))+BetTable[S2])</f>
        <v>0</v>
      </c>
      <c r="AB1522" s="164">
        <f>(((BetTable[O3]-1)*BetTable[S3])*(1-(BetTable[C% 3]))+BetTable[S3])</f>
        <v>0</v>
      </c>
      <c r="AC1522" s="165">
        <f>IFERROR(IF(BetTable[Sport]="","",BetTable[R1]/BetTable[TS]),"")</f>
        <v>2</v>
      </c>
      <c r="AD1522" s="165" t="str">
        <f>IF(BetTable[O2]="","",#REF!/BetTable[TS])</f>
        <v/>
      </c>
      <c r="AE1522" s="165" t="str">
        <f>IFERROR(IF(BetTable[Sport]="","",#REF!/BetTable[TS]),"")</f>
        <v/>
      </c>
      <c r="AF1522" s="164">
        <f>IF(BetTable[Outcome]="Win",BetTable[WBA1-Commission],IF(BetTable[Outcome]="Win Half Stake",(BetTable[Stake]/2)+BetTable[WBA1-Commission]/2,IF(BetTable[Outcome]="Lose Half Stake",BetTable[Stake]/2,IF(BetTable[Outcome]="Lose",0,IF(BetTable[Outcome]="Void",BetTable[Stake],)))))</f>
        <v>0</v>
      </c>
      <c r="AG1522" s="164">
        <f>IF(BetTable[Outcome2]="Win",BetTable[WBA2-Commission],IF(BetTable[Outcome2]="Win Half Stake",(BetTable[S2]/2)+BetTable[WBA2-Commission]/2,IF(BetTable[Outcome2]="Lose Half Stake",BetTable[S2]/2,IF(BetTable[Outcome2]="Lose",0,IF(BetTable[Outcome2]="Void",BetTable[S2],)))))</f>
        <v>0</v>
      </c>
      <c r="AH1522" s="164">
        <f>IF(BetTable[Outcome3]="Win",BetTable[WBA3-Commission],IF(BetTable[Outcome3]="Win Half Stake",(BetTable[S3]/2)+BetTable[WBA3-Commission]/2,IF(BetTable[Outcome3]="Lose Half Stake",BetTable[S3]/2,IF(BetTable[Outcome3]="Lose",0,IF(BetTable[Outcome3]="Void",BetTable[S3],)))))</f>
        <v>0</v>
      </c>
      <c r="AI1522" s="168">
        <f>IF(BetTable[Outcome]="",AI1521,BetTable[Result]+AI1521)</f>
        <v>2339.7777499999997</v>
      </c>
      <c r="AJ1522" s="160"/>
    </row>
    <row r="1523" spans="1:36" x14ac:dyDescent="0.2">
      <c r="A1523" s="159" t="s">
        <v>3560</v>
      </c>
      <c r="B1523" s="160" t="s">
        <v>8</v>
      </c>
      <c r="C1523" s="161" t="s">
        <v>216</v>
      </c>
      <c r="D1523" s="161"/>
      <c r="E1523" s="161"/>
      <c r="F1523" s="162"/>
      <c r="G1523" s="162"/>
      <c r="H1523" s="162"/>
      <c r="I1523" s="160" t="s">
        <v>3612</v>
      </c>
      <c r="J1523" s="163">
        <v>1.7410000000000001</v>
      </c>
      <c r="K1523" s="163"/>
      <c r="L1523" s="163"/>
      <c r="M1523" s="164">
        <v>24</v>
      </c>
      <c r="N1523" s="164"/>
      <c r="O1523" s="164"/>
      <c r="P1523" s="159" t="s">
        <v>428</v>
      </c>
      <c r="Q1523" s="159" t="s">
        <v>677</v>
      </c>
      <c r="R1523" s="159" t="s">
        <v>3613</v>
      </c>
      <c r="S1523" s="165">
        <v>2.1443845515949599E-2</v>
      </c>
      <c r="T1523" s="166" t="s">
        <v>382</v>
      </c>
      <c r="U1523" s="166"/>
      <c r="V1523" s="166"/>
      <c r="W1523" s="167">
        <f>IF(BetTable[Sport]="","",BetTable[Stake]+BetTable[S2]+BetTable[S3])</f>
        <v>24</v>
      </c>
      <c r="X1523" s="164">
        <f>IF(BetTable[Odds]="","",(BetTable[WBA1-Commission])-BetTable[TS])</f>
        <v>17.784000000000006</v>
      </c>
      <c r="Y1523" s="168">
        <f>IF(BetTable[Outcome]="","",BetTable[WBA1]+BetTable[WBA2]+BetTable[WBA3]-BetTable[TS])</f>
        <v>-24</v>
      </c>
      <c r="Z1523" s="164">
        <f>(((BetTable[Odds]-1)*BetTable[Stake])*(1-(BetTable[Comm %]))+BetTable[Stake])</f>
        <v>41.784000000000006</v>
      </c>
      <c r="AA1523" s="164">
        <f>(((BetTable[O2]-1)*BetTable[S2])*(1-(BetTable[C% 2]))+BetTable[S2])</f>
        <v>0</v>
      </c>
      <c r="AB1523" s="164">
        <f>(((BetTable[O3]-1)*BetTable[S3])*(1-(BetTable[C% 3]))+BetTable[S3])</f>
        <v>0</v>
      </c>
      <c r="AC1523" s="165">
        <f>IFERROR(IF(BetTable[Sport]="","",BetTable[R1]/BetTable[TS]),"")</f>
        <v>0.74100000000000021</v>
      </c>
      <c r="AD1523" s="165" t="str">
        <f>IF(BetTable[O2]="","",#REF!/BetTable[TS])</f>
        <v/>
      </c>
      <c r="AE1523" s="165" t="str">
        <f>IFERROR(IF(BetTable[Sport]="","",#REF!/BetTable[TS]),"")</f>
        <v/>
      </c>
      <c r="AF1523" s="164">
        <f>IF(BetTable[Outcome]="Win",BetTable[WBA1-Commission],IF(BetTable[Outcome]="Win Half Stake",(BetTable[Stake]/2)+BetTable[WBA1-Commission]/2,IF(BetTable[Outcome]="Lose Half Stake",BetTable[Stake]/2,IF(BetTable[Outcome]="Lose",0,IF(BetTable[Outcome]="Void",BetTable[Stake],)))))</f>
        <v>0</v>
      </c>
      <c r="AG1523" s="164">
        <f>IF(BetTable[Outcome2]="Win",BetTable[WBA2-Commission],IF(BetTable[Outcome2]="Win Half Stake",(BetTable[S2]/2)+BetTable[WBA2-Commission]/2,IF(BetTable[Outcome2]="Lose Half Stake",BetTable[S2]/2,IF(BetTable[Outcome2]="Lose",0,IF(BetTable[Outcome2]="Void",BetTable[S2],)))))</f>
        <v>0</v>
      </c>
      <c r="AH1523" s="164">
        <f>IF(BetTable[Outcome3]="Win",BetTable[WBA3-Commission],IF(BetTable[Outcome3]="Win Half Stake",(BetTable[S3]/2)+BetTable[WBA3-Commission]/2,IF(BetTable[Outcome3]="Lose Half Stake",BetTable[S3]/2,IF(BetTable[Outcome3]="Lose",0,IF(BetTable[Outcome3]="Void",BetTable[S3],)))))</f>
        <v>0</v>
      </c>
      <c r="AI1523" s="168">
        <f>IF(BetTable[Outcome]="",AI1522,BetTable[Result]+AI1522)</f>
        <v>2315.7777499999997</v>
      </c>
      <c r="AJ1523" s="160"/>
    </row>
    <row r="1524" spans="1:36" x14ac:dyDescent="0.2">
      <c r="A1524" s="159" t="s">
        <v>3560</v>
      </c>
      <c r="B1524" s="160" t="s">
        <v>200</v>
      </c>
      <c r="C1524" s="161" t="s">
        <v>1714</v>
      </c>
      <c r="D1524" s="161"/>
      <c r="E1524" s="161"/>
      <c r="F1524" s="162"/>
      <c r="G1524" s="162"/>
      <c r="H1524" s="162"/>
      <c r="I1524" s="160" t="s">
        <v>3614</v>
      </c>
      <c r="J1524" s="163">
        <v>1.94</v>
      </c>
      <c r="K1524" s="163"/>
      <c r="L1524" s="163"/>
      <c r="M1524" s="164">
        <v>57</v>
      </c>
      <c r="N1524" s="164"/>
      <c r="O1524" s="164"/>
      <c r="P1524" s="159" t="s">
        <v>868</v>
      </c>
      <c r="Q1524" s="159" t="s">
        <v>439</v>
      </c>
      <c r="R1524" s="159" t="s">
        <v>3615</v>
      </c>
      <c r="S1524" s="165">
        <v>3.4363383706791699E-2</v>
      </c>
      <c r="T1524" s="166" t="s">
        <v>372</v>
      </c>
      <c r="U1524" s="166"/>
      <c r="V1524" s="166"/>
      <c r="W1524" s="167">
        <f>IF(BetTable[Sport]="","",BetTable[Stake]+BetTable[S2]+BetTable[S3])</f>
        <v>57</v>
      </c>
      <c r="X1524" s="164">
        <f>IF(BetTable[Odds]="","",(BetTable[WBA1-Commission])-BetTable[TS])</f>
        <v>53.58</v>
      </c>
      <c r="Y1524" s="168">
        <f>IF(BetTable[Outcome]="","",BetTable[WBA1]+BetTable[WBA2]+BetTable[WBA3]-BetTable[TS])</f>
        <v>53.58</v>
      </c>
      <c r="Z1524" s="164">
        <f>(((BetTable[Odds]-1)*BetTable[Stake])*(1-(BetTable[Comm %]))+BetTable[Stake])</f>
        <v>110.58</v>
      </c>
      <c r="AA1524" s="164">
        <f>(((BetTable[O2]-1)*BetTable[S2])*(1-(BetTable[C% 2]))+BetTable[S2])</f>
        <v>0</v>
      </c>
      <c r="AB1524" s="164">
        <f>(((BetTable[O3]-1)*BetTable[S3])*(1-(BetTable[C% 3]))+BetTable[S3])</f>
        <v>0</v>
      </c>
      <c r="AC1524" s="165">
        <f>IFERROR(IF(BetTable[Sport]="","",BetTable[R1]/BetTable[TS]),"")</f>
        <v>0.94</v>
      </c>
      <c r="AD1524" s="165" t="str">
        <f>IF(BetTable[O2]="","",#REF!/BetTable[TS])</f>
        <v/>
      </c>
      <c r="AE1524" s="165" t="str">
        <f>IFERROR(IF(BetTable[Sport]="","",#REF!/BetTable[TS]),"")</f>
        <v/>
      </c>
      <c r="AF1524" s="164">
        <f>IF(BetTable[Outcome]="Win",BetTable[WBA1-Commission],IF(BetTable[Outcome]="Win Half Stake",(BetTable[Stake]/2)+BetTable[WBA1-Commission]/2,IF(BetTable[Outcome]="Lose Half Stake",BetTable[Stake]/2,IF(BetTable[Outcome]="Lose",0,IF(BetTable[Outcome]="Void",BetTable[Stake],)))))</f>
        <v>110.58</v>
      </c>
      <c r="AG1524" s="164">
        <f>IF(BetTable[Outcome2]="Win",BetTable[WBA2-Commission],IF(BetTable[Outcome2]="Win Half Stake",(BetTable[S2]/2)+BetTable[WBA2-Commission]/2,IF(BetTable[Outcome2]="Lose Half Stake",BetTable[S2]/2,IF(BetTable[Outcome2]="Lose",0,IF(BetTable[Outcome2]="Void",BetTable[S2],)))))</f>
        <v>0</v>
      </c>
      <c r="AH1524" s="164">
        <f>IF(BetTable[Outcome3]="Win",BetTable[WBA3-Commission],IF(BetTable[Outcome3]="Win Half Stake",(BetTable[S3]/2)+BetTable[WBA3-Commission]/2,IF(BetTable[Outcome3]="Lose Half Stake",BetTable[S3]/2,IF(BetTable[Outcome3]="Lose",0,IF(BetTable[Outcome3]="Void",BetTable[S3],)))))</f>
        <v>0</v>
      </c>
      <c r="AI1524" s="168">
        <f>IF(BetTable[Outcome]="",AI1523,BetTable[Result]+AI1523)</f>
        <v>2369.3577499999997</v>
      </c>
      <c r="AJ1524" s="160"/>
    </row>
    <row r="1525" spans="1:36" x14ac:dyDescent="0.2">
      <c r="A1525" s="159" t="s">
        <v>3560</v>
      </c>
      <c r="B1525" s="160" t="s">
        <v>7</v>
      </c>
      <c r="C1525" s="161" t="s">
        <v>91</v>
      </c>
      <c r="D1525" s="161"/>
      <c r="E1525" s="161"/>
      <c r="F1525" s="162"/>
      <c r="G1525" s="162"/>
      <c r="H1525" s="162"/>
      <c r="I1525" s="160" t="s">
        <v>3616</v>
      </c>
      <c r="J1525" s="163">
        <v>1.88</v>
      </c>
      <c r="K1525" s="163"/>
      <c r="L1525" s="163"/>
      <c r="M1525" s="164">
        <v>51</v>
      </c>
      <c r="N1525" s="164"/>
      <c r="O1525" s="164"/>
      <c r="P1525" s="159" t="s">
        <v>2743</v>
      </c>
      <c r="Q1525" s="159" t="s">
        <v>923</v>
      </c>
      <c r="R1525" s="159" t="s">
        <v>3617</v>
      </c>
      <c r="S1525" s="165">
        <v>2.4023153359006299E-2</v>
      </c>
      <c r="T1525" s="166" t="s">
        <v>382</v>
      </c>
      <c r="U1525" s="166"/>
      <c r="V1525" s="166"/>
      <c r="W1525" s="167">
        <f>IF(BetTable[Sport]="","",BetTable[Stake]+BetTable[S2]+BetTable[S3])</f>
        <v>51</v>
      </c>
      <c r="X1525" s="164">
        <f>IF(BetTable[Odds]="","",(BetTable[WBA1-Commission])-BetTable[TS])</f>
        <v>44.879999999999995</v>
      </c>
      <c r="Y1525" s="168">
        <f>IF(BetTable[Outcome]="","",BetTable[WBA1]+BetTable[WBA2]+BetTable[WBA3]-BetTable[TS])</f>
        <v>-51</v>
      </c>
      <c r="Z1525" s="164">
        <f>(((BetTable[Odds]-1)*BetTable[Stake])*(1-(BetTable[Comm %]))+BetTable[Stake])</f>
        <v>95.88</v>
      </c>
      <c r="AA1525" s="164">
        <f>(((BetTable[O2]-1)*BetTable[S2])*(1-(BetTable[C% 2]))+BetTable[S2])</f>
        <v>0</v>
      </c>
      <c r="AB1525" s="164">
        <f>(((BetTable[O3]-1)*BetTable[S3])*(1-(BetTable[C% 3]))+BetTable[S3])</f>
        <v>0</v>
      </c>
      <c r="AC1525" s="165">
        <f>IFERROR(IF(BetTable[Sport]="","",BetTable[R1]/BetTable[TS]),"")</f>
        <v>0.87999999999999989</v>
      </c>
      <c r="AD1525" s="165" t="str">
        <f>IF(BetTable[O2]="","",#REF!/BetTable[TS])</f>
        <v/>
      </c>
      <c r="AE1525" s="165" t="str">
        <f>IFERROR(IF(BetTable[Sport]="","",#REF!/BetTable[TS]),"")</f>
        <v/>
      </c>
      <c r="AF1525" s="164">
        <f>IF(BetTable[Outcome]="Win",BetTable[WBA1-Commission],IF(BetTable[Outcome]="Win Half Stake",(BetTable[Stake]/2)+BetTable[WBA1-Commission]/2,IF(BetTable[Outcome]="Lose Half Stake",BetTable[Stake]/2,IF(BetTable[Outcome]="Lose",0,IF(BetTable[Outcome]="Void",BetTable[Stake],)))))</f>
        <v>0</v>
      </c>
      <c r="AG1525" s="164">
        <f>IF(BetTable[Outcome2]="Win",BetTable[WBA2-Commission],IF(BetTable[Outcome2]="Win Half Stake",(BetTable[S2]/2)+BetTable[WBA2-Commission]/2,IF(BetTable[Outcome2]="Lose Half Stake",BetTable[S2]/2,IF(BetTable[Outcome2]="Lose",0,IF(BetTable[Outcome2]="Void",BetTable[S2],)))))</f>
        <v>0</v>
      </c>
      <c r="AH1525" s="164">
        <f>IF(BetTable[Outcome3]="Win",BetTable[WBA3-Commission],IF(BetTable[Outcome3]="Win Half Stake",(BetTable[S3]/2)+BetTable[WBA3-Commission]/2,IF(BetTable[Outcome3]="Lose Half Stake",BetTable[S3]/2,IF(BetTable[Outcome3]="Lose",0,IF(BetTable[Outcome3]="Void",BetTable[S3],)))))</f>
        <v>0</v>
      </c>
      <c r="AI1525" s="168">
        <f>IF(BetTable[Outcome]="",AI1524,BetTable[Result]+AI1524)</f>
        <v>2318.3577499999997</v>
      </c>
      <c r="AJ1525" s="160"/>
    </row>
    <row r="1526" spans="1:36" x14ac:dyDescent="0.2">
      <c r="A1526" s="159" t="s">
        <v>3560</v>
      </c>
      <c r="B1526" s="160" t="s">
        <v>7</v>
      </c>
      <c r="C1526" s="161" t="s">
        <v>91</v>
      </c>
      <c r="D1526" s="161"/>
      <c r="E1526" s="161"/>
      <c r="F1526" s="162"/>
      <c r="G1526" s="162"/>
      <c r="H1526" s="162"/>
      <c r="I1526" s="160" t="s">
        <v>3618</v>
      </c>
      <c r="J1526" s="163">
        <v>1.85</v>
      </c>
      <c r="K1526" s="163"/>
      <c r="L1526" s="163"/>
      <c r="M1526" s="164">
        <v>50</v>
      </c>
      <c r="N1526" s="164"/>
      <c r="O1526" s="164"/>
      <c r="P1526" s="159" t="s">
        <v>2887</v>
      </c>
      <c r="Q1526" s="159" t="s">
        <v>569</v>
      </c>
      <c r="R1526" s="159" t="s">
        <v>3619</v>
      </c>
      <c r="S1526" s="165">
        <v>2.24574565847666E-2</v>
      </c>
      <c r="T1526" s="166" t="s">
        <v>383</v>
      </c>
      <c r="U1526" s="166"/>
      <c r="V1526" s="166"/>
      <c r="W1526" s="167">
        <f>IF(BetTable[Sport]="","",BetTable[Stake]+BetTable[S2]+BetTable[S3])</f>
        <v>50</v>
      </c>
      <c r="X1526" s="164">
        <f>IF(BetTable[Odds]="","",(BetTable[WBA1-Commission])-BetTable[TS])</f>
        <v>42.5</v>
      </c>
      <c r="Y1526" s="168">
        <f>IF(BetTable[Outcome]="","",BetTable[WBA1]+BetTable[WBA2]+BetTable[WBA3]-BetTable[TS])</f>
        <v>0</v>
      </c>
      <c r="Z1526" s="164">
        <f>(((BetTable[Odds]-1)*BetTable[Stake])*(1-(BetTable[Comm %]))+BetTable[Stake])</f>
        <v>92.5</v>
      </c>
      <c r="AA1526" s="164">
        <f>(((BetTable[O2]-1)*BetTable[S2])*(1-(BetTable[C% 2]))+BetTable[S2])</f>
        <v>0</v>
      </c>
      <c r="AB1526" s="164">
        <f>(((BetTable[O3]-1)*BetTable[S3])*(1-(BetTable[C% 3]))+BetTable[S3])</f>
        <v>0</v>
      </c>
      <c r="AC1526" s="165">
        <f>IFERROR(IF(BetTable[Sport]="","",BetTable[R1]/BetTable[TS]),"")</f>
        <v>0.85</v>
      </c>
      <c r="AD1526" s="165" t="str">
        <f>IF(BetTable[O2]="","",#REF!/BetTable[TS])</f>
        <v/>
      </c>
      <c r="AE1526" s="165" t="str">
        <f>IFERROR(IF(BetTable[Sport]="","",#REF!/BetTable[TS]),"")</f>
        <v/>
      </c>
      <c r="AF1526" s="164">
        <f>IF(BetTable[Outcome]="Win",BetTable[WBA1-Commission],IF(BetTable[Outcome]="Win Half Stake",(BetTable[Stake]/2)+BetTable[WBA1-Commission]/2,IF(BetTable[Outcome]="Lose Half Stake",BetTable[Stake]/2,IF(BetTable[Outcome]="Lose",0,IF(BetTable[Outcome]="Void",BetTable[Stake],)))))</f>
        <v>50</v>
      </c>
      <c r="AG1526" s="164">
        <f>IF(BetTable[Outcome2]="Win",BetTable[WBA2-Commission],IF(BetTable[Outcome2]="Win Half Stake",(BetTable[S2]/2)+BetTable[WBA2-Commission]/2,IF(BetTable[Outcome2]="Lose Half Stake",BetTable[S2]/2,IF(BetTable[Outcome2]="Lose",0,IF(BetTable[Outcome2]="Void",BetTable[S2],)))))</f>
        <v>0</v>
      </c>
      <c r="AH1526" s="164">
        <f>IF(BetTable[Outcome3]="Win",BetTable[WBA3-Commission],IF(BetTable[Outcome3]="Win Half Stake",(BetTable[S3]/2)+BetTable[WBA3-Commission]/2,IF(BetTable[Outcome3]="Lose Half Stake",BetTable[S3]/2,IF(BetTable[Outcome3]="Lose",0,IF(BetTable[Outcome3]="Void",BetTable[S3],)))))</f>
        <v>0</v>
      </c>
      <c r="AI1526" s="168">
        <f>IF(BetTable[Outcome]="",AI1525,BetTable[Result]+AI1525)</f>
        <v>2318.3577499999997</v>
      </c>
      <c r="AJ1526" s="160"/>
    </row>
    <row r="1527" spans="1:36" x14ac:dyDescent="0.2">
      <c r="A1527" s="159" t="s">
        <v>3560</v>
      </c>
      <c r="B1527" s="160" t="s">
        <v>200</v>
      </c>
      <c r="C1527" s="161" t="s">
        <v>1714</v>
      </c>
      <c r="D1527" s="161"/>
      <c r="E1527" s="161"/>
      <c r="F1527" s="162"/>
      <c r="G1527" s="162"/>
      <c r="H1527" s="162"/>
      <c r="I1527" s="160" t="s">
        <v>3620</v>
      </c>
      <c r="J1527" s="163">
        <v>1.81</v>
      </c>
      <c r="K1527" s="163"/>
      <c r="L1527" s="163"/>
      <c r="M1527" s="164">
        <v>59</v>
      </c>
      <c r="N1527" s="164"/>
      <c r="O1527" s="164"/>
      <c r="P1527" s="159" t="s">
        <v>457</v>
      </c>
      <c r="Q1527" s="159" t="s">
        <v>439</v>
      </c>
      <c r="R1527" s="159" t="s">
        <v>3621</v>
      </c>
      <c r="S1527" s="165">
        <v>2.54730999027327E-2</v>
      </c>
      <c r="T1527" s="166" t="s">
        <v>372</v>
      </c>
      <c r="U1527" s="166"/>
      <c r="V1527" s="166"/>
      <c r="W1527" s="167">
        <f>IF(BetTable[Sport]="","",BetTable[Stake]+BetTable[S2]+BetTable[S3])</f>
        <v>59</v>
      </c>
      <c r="X1527" s="164">
        <f>IF(BetTable[Odds]="","",(BetTable[WBA1-Commission])-BetTable[TS])</f>
        <v>47.790000000000006</v>
      </c>
      <c r="Y1527" s="168">
        <f>IF(BetTable[Outcome]="","",BetTable[WBA1]+BetTable[WBA2]+BetTable[WBA3]-BetTable[TS])</f>
        <v>47.790000000000006</v>
      </c>
      <c r="Z1527" s="164">
        <f>(((BetTable[Odds]-1)*BetTable[Stake])*(1-(BetTable[Comm %]))+BetTable[Stake])</f>
        <v>106.79</v>
      </c>
      <c r="AA1527" s="164">
        <f>(((BetTable[O2]-1)*BetTable[S2])*(1-(BetTable[C% 2]))+BetTable[S2])</f>
        <v>0</v>
      </c>
      <c r="AB1527" s="164">
        <f>(((BetTable[O3]-1)*BetTable[S3])*(1-(BetTable[C% 3]))+BetTable[S3])</f>
        <v>0</v>
      </c>
      <c r="AC1527" s="165">
        <f>IFERROR(IF(BetTable[Sport]="","",BetTable[R1]/BetTable[TS]),"")</f>
        <v>0.81</v>
      </c>
      <c r="AD1527" s="165" t="str">
        <f>IF(BetTable[O2]="","",#REF!/BetTable[TS])</f>
        <v/>
      </c>
      <c r="AE1527" s="165" t="str">
        <f>IFERROR(IF(BetTable[Sport]="","",#REF!/BetTable[TS]),"")</f>
        <v/>
      </c>
      <c r="AF1527" s="164">
        <f>IF(BetTable[Outcome]="Win",BetTable[WBA1-Commission],IF(BetTable[Outcome]="Win Half Stake",(BetTable[Stake]/2)+BetTable[WBA1-Commission]/2,IF(BetTable[Outcome]="Lose Half Stake",BetTable[Stake]/2,IF(BetTable[Outcome]="Lose",0,IF(BetTable[Outcome]="Void",BetTable[Stake],)))))</f>
        <v>106.79</v>
      </c>
      <c r="AG1527" s="164">
        <f>IF(BetTable[Outcome2]="Win",BetTable[WBA2-Commission],IF(BetTable[Outcome2]="Win Half Stake",(BetTable[S2]/2)+BetTable[WBA2-Commission]/2,IF(BetTable[Outcome2]="Lose Half Stake",BetTable[S2]/2,IF(BetTable[Outcome2]="Lose",0,IF(BetTable[Outcome2]="Void",BetTable[S2],)))))</f>
        <v>0</v>
      </c>
      <c r="AH1527" s="164">
        <f>IF(BetTable[Outcome3]="Win",BetTable[WBA3-Commission],IF(BetTable[Outcome3]="Win Half Stake",(BetTable[S3]/2)+BetTable[WBA3-Commission]/2,IF(BetTable[Outcome3]="Lose Half Stake",BetTable[S3]/2,IF(BetTable[Outcome3]="Lose",0,IF(BetTable[Outcome3]="Void",BetTable[S3],)))))</f>
        <v>0</v>
      </c>
      <c r="AI1527" s="168">
        <f>IF(BetTable[Outcome]="",AI1526,BetTable[Result]+AI1526)</f>
        <v>2366.1477499999996</v>
      </c>
      <c r="AJ1527" s="160"/>
    </row>
    <row r="1528" spans="1:36" x14ac:dyDescent="0.2">
      <c r="A1528" s="159" t="s">
        <v>3560</v>
      </c>
      <c r="B1528" s="160" t="s">
        <v>200</v>
      </c>
      <c r="C1528" s="161" t="s">
        <v>1714</v>
      </c>
      <c r="D1528" s="161"/>
      <c r="E1528" s="161"/>
      <c r="F1528" s="162"/>
      <c r="G1528" s="162"/>
      <c r="H1528" s="162"/>
      <c r="I1528" s="160" t="s">
        <v>3622</v>
      </c>
      <c r="J1528" s="163">
        <v>1.92</v>
      </c>
      <c r="K1528" s="163"/>
      <c r="L1528" s="163"/>
      <c r="M1528" s="164">
        <v>49</v>
      </c>
      <c r="N1528" s="164"/>
      <c r="O1528" s="164"/>
      <c r="P1528" s="159" t="s">
        <v>852</v>
      </c>
      <c r="Q1528" s="159" t="s">
        <v>1132</v>
      </c>
      <c r="R1528" s="159" t="s">
        <v>3623</v>
      </c>
      <c r="S1528" s="165">
        <v>2.4186580282006799E-2</v>
      </c>
      <c r="T1528" s="166" t="s">
        <v>372</v>
      </c>
      <c r="U1528" s="166"/>
      <c r="V1528" s="166"/>
      <c r="W1528" s="167">
        <f>IF(BetTable[Sport]="","",BetTable[Stake]+BetTable[S2]+BetTable[S3])</f>
        <v>49</v>
      </c>
      <c r="X1528" s="164">
        <f>IF(BetTable[Odds]="","",(BetTable[WBA1-Commission])-BetTable[TS])</f>
        <v>45.08</v>
      </c>
      <c r="Y1528" s="168">
        <f>IF(BetTable[Outcome]="","",BetTable[WBA1]+BetTable[WBA2]+BetTable[WBA3]-BetTable[TS])</f>
        <v>45.08</v>
      </c>
      <c r="Z1528" s="164">
        <f>(((BetTable[Odds]-1)*BetTable[Stake])*(1-(BetTable[Comm %]))+BetTable[Stake])</f>
        <v>94.08</v>
      </c>
      <c r="AA1528" s="164">
        <f>(((BetTable[O2]-1)*BetTable[S2])*(1-(BetTable[C% 2]))+BetTable[S2])</f>
        <v>0</v>
      </c>
      <c r="AB1528" s="164">
        <f>(((BetTable[O3]-1)*BetTable[S3])*(1-(BetTable[C% 3]))+BetTable[S3])</f>
        <v>0</v>
      </c>
      <c r="AC1528" s="165">
        <f>IFERROR(IF(BetTable[Sport]="","",BetTable[R1]/BetTable[TS]),"")</f>
        <v>0.91999999999999993</v>
      </c>
      <c r="AD1528" s="165" t="str">
        <f>IF(BetTable[O2]="","",#REF!/BetTable[TS])</f>
        <v/>
      </c>
      <c r="AE1528" s="165" t="str">
        <f>IFERROR(IF(BetTable[Sport]="","",#REF!/BetTable[TS]),"")</f>
        <v/>
      </c>
      <c r="AF1528" s="164">
        <f>IF(BetTable[Outcome]="Win",BetTable[WBA1-Commission],IF(BetTable[Outcome]="Win Half Stake",(BetTable[Stake]/2)+BetTable[WBA1-Commission]/2,IF(BetTable[Outcome]="Lose Half Stake",BetTable[Stake]/2,IF(BetTable[Outcome]="Lose",0,IF(BetTable[Outcome]="Void",BetTable[Stake],)))))</f>
        <v>94.08</v>
      </c>
      <c r="AG1528" s="164">
        <f>IF(BetTable[Outcome2]="Win",BetTable[WBA2-Commission],IF(BetTable[Outcome2]="Win Half Stake",(BetTable[S2]/2)+BetTable[WBA2-Commission]/2,IF(BetTable[Outcome2]="Lose Half Stake",BetTable[S2]/2,IF(BetTable[Outcome2]="Lose",0,IF(BetTable[Outcome2]="Void",BetTable[S2],)))))</f>
        <v>0</v>
      </c>
      <c r="AH1528" s="164">
        <f>IF(BetTable[Outcome3]="Win",BetTable[WBA3-Commission],IF(BetTable[Outcome3]="Win Half Stake",(BetTable[S3]/2)+BetTable[WBA3-Commission]/2,IF(BetTable[Outcome3]="Lose Half Stake",BetTable[S3]/2,IF(BetTable[Outcome3]="Lose",0,IF(BetTable[Outcome3]="Void",BetTable[S3],)))))</f>
        <v>0</v>
      </c>
      <c r="AI1528" s="168">
        <f>IF(BetTable[Outcome]="",AI1527,BetTable[Result]+AI1527)</f>
        <v>2411.2277499999996</v>
      </c>
      <c r="AJ1528" s="160"/>
    </row>
    <row r="1529" spans="1:36" x14ac:dyDescent="0.2">
      <c r="A1529" s="159" t="s">
        <v>3560</v>
      </c>
      <c r="B1529" s="160" t="s">
        <v>7</v>
      </c>
      <c r="C1529" s="161" t="s">
        <v>91</v>
      </c>
      <c r="D1529" s="161"/>
      <c r="E1529" s="161"/>
      <c r="F1529" s="162"/>
      <c r="G1529" s="162"/>
      <c r="H1529" s="162"/>
      <c r="I1529" s="160" t="s">
        <v>3624</v>
      </c>
      <c r="J1529" s="163">
        <v>1.85</v>
      </c>
      <c r="K1529" s="163"/>
      <c r="L1529" s="163"/>
      <c r="M1529" s="164">
        <v>64</v>
      </c>
      <c r="N1529" s="164"/>
      <c r="O1529" s="164"/>
      <c r="P1529" s="159" t="s">
        <v>2210</v>
      </c>
      <c r="Q1529" s="159" t="s">
        <v>581</v>
      </c>
      <c r="R1529" s="159" t="s">
        <v>3625</v>
      </c>
      <c r="S1529" s="165">
        <v>3.4349426238837501E-2</v>
      </c>
      <c r="T1529" s="166" t="s">
        <v>383</v>
      </c>
      <c r="U1529" s="166"/>
      <c r="V1529" s="166"/>
      <c r="W1529" s="167">
        <f>IF(BetTable[Sport]="","",BetTable[Stake]+BetTable[S2]+BetTable[S3])</f>
        <v>64</v>
      </c>
      <c r="X1529" s="164">
        <f>IF(BetTable[Odds]="","",(BetTable[WBA1-Commission])-BetTable[TS])</f>
        <v>54.400000000000006</v>
      </c>
      <c r="Y1529" s="168">
        <f>IF(BetTable[Outcome]="","",BetTable[WBA1]+BetTable[WBA2]+BetTable[WBA3]-BetTable[TS])</f>
        <v>0</v>
      </c>
      <c r="Z1529" s="164">
        <f>(((BetTable[Odds]-1)*BetTable[Stake])*(1-(BetTable[Comm %]))+BetTable[Stake])</f>
        <v>118.4</v>
      </c>
      <c r="AA1529" s="164">
        <f>(((BetTable[O2]-1)*BetTable[S2])*(1-(BetTable[C% 2]))+BetTable[S2])</f>
        <v>0</v>
      </c>
      <c r="AB1529" s="164">
        <f>(((BetTable[O3]-1)*BetTable[S3])*(1-(BetTable[C% 3]))+BetTable[S3])</f>
        <v>0</v>
      </c>
      <c r="AC1529" s="165">
        <f>IFERROR(IF(BetTable[Sport]="","",BetTable[R1]/BetTable[TS]),"")</f>
        <v>0.85000000000000009</v>
      </c>
      <c r="AD1529" s="165" t="str">
        <f>IF(BetTable[O2]="","",#REF!/BetTable[TS])</f>
        <v/>
      </c>
      <c r="AE1529" s="165" t="str">
        <f>IFERROR(IF(BetTable[Sport]="","",#REF!/BetTable[TS]),"")</f>
        <v/>
      </c>
      <c r="AF1529" s="164">
        <f>IF(BetTable[Outcome]="Win",BetTable[WBA1-Commission],IF(BetTable[Outcome]="Win Half Stake",(BetTable[Stake]/2)+BetTable[WBA1-Commission]/2,IF(BetTable[Outcome]="Lose Half Stake",BetTable[Stake]/2,IF(BetTable[Outcome]="Lose",0,IF(BetTable[Outcome]="Void",BetTable[Stake],)))))</f>
        <v>64</v>
      </c>
      <c r="AG1529" s="164">
        <f>IF(BetTable[Outcome2]="Win",BetTable[WBA2-Commission],IF(BetTable[Outcome2]="Win Half Stake",(BetTable[S2]/2)+BetTable[WBA2-Commission]/2,IF(BetTable[Outcome2]="Lose Half Stake",BetTable[S2]/2,IF(BetTable[Outcome2]="Lose",0,IF(BetTable[Outcome2]="Void",BetTable[S2],)))))</f>
        <v>0</v>
      </c>
      <c r="AH1529" s="164">
        <f>IF(BetTable[Outcome3]="Win",BetTable[WBA3-Commission],IF(BetTable[Outcome3]="Win Half Stake",(BetTable[S3]/2)+BetTable[WBA3-Commission]/2,IF(BetTable[Outcome3]="Lose Half Stake",BetTable[S3]/2,IF(BetTable[Outcome3]="Lose",0,IF(BetTable[Outcome3]="Void",BetTable[S3],)))))</f>
        <v>0</v>
      </c>
      <c r="AI1529" s="168">
        <f>IF(BetTable[Outcome]="",AI1528,BetTable[Result]+AI1528)</f>
        <v>2411.2277499999996</v>
      </c>
      <c r="AJ1529" s="160"/>
    </row>
    <row r="1530" spans="1:36" x14ac:dyDescent="0.2">
      <c r="A1530" s="159" t="s">
        <v>3560</v>
      </c>
      <c r="B1530" s="160" t="s">
        <v>200</v>
      </c>
      <c r="C1530" s="161" t="s">
        <v>1714</v>
      </c>
      <c r="D1530" s="161"/>
      <c r="E1530" s="161"/>
      <c r="F1530" s="162"/>
      <c r="G1530" s="162"/>
      <c r="H1530" s="162"/>
      <c r="I1530" s="160" t="s">
        <v>3626</v>
      </c>
      <c r="J1530" s="163">
        <v>1.99</v>
      </c>
      <c r="K1530" s="163"/>
      <c r="L1530" s="163"/>
      <c r="M1530" s="164">
        <v>39</v>
      </c>
      <c r="N1530" s="164"/>
      <c r="O1530" s="164"/>
      <c r="P1530" s="159" t="s">
        <v>688</v>
      </c>
      <c r="Q1530" s="159" t="s">
        <v>703</v>
      </c>
      <c r="R1530" s="159" t="s">
        <v>3627</v>
      </c>
      <c r="S1530" s="165">
        <v>2.04363704443947E-2</v>
      </c>
      <c r="T1530" s="166" t="s">
        <v>382</v>
      </c>
      <c r="U1530" s="166"/>
      <c r="V1530" s="166"/>
      <c r="W1530" s="167">
        <f>IF(BetTable[Sport]="","",BetTable[Stake]+BetTable[S2]+BetTable[S3])</f>
        <v>39</v>
      </c>
      <c r="X1530" s="164">
        <f>IF(BetTable[Odds]="","",(BetTable[WBA1-Commission])-BetTable[TS])</f>
        <v>38.61</v>
      </c>
      <c r="Y1530" s="168">
        <f>IF(BetTable[Outcome]="","",BetTable[WBA1]+BetTable[WBA2]+BetTable[WBA3]-BetTable[TS])</f>
        <v>-39</v>
      </c>
      <c r="Z1530" s="164">
        <f>(((BetTable[Odds]-1)*BetTable[Stake])*(1-(BetTable[Comm %]))+BetTable[Stake])</f>
        <v>77.61</v>
      </c>
      <c r="AA1530" s="164">
        <f>(((BetTable[O2]-1)*BetTable[S2])*(1-(BetTable[C% 2]))+BetTable[S2])</f>
        <v>0</v>
      </c>
      <c r="AB1530" s="164">
        <f>(((BetTable[O3]-1)*BetTable[S3])*(1-(BetTable[C% 3]))+BetTable[S3])</f>
        <v>0</v>
      </c>
      <c r="AC1530" s="165">
        <f>IFERROR(IF(BetTable[Sport]="","",BetTable[R1]/BetTable[TS]),"")</f>
        <v>0.99</v>
      </c>
      <c r="AD1530" s="165" t="str">
        <f>IF(BetTable[O2]="","",#REF!/BetTable[TS])</f>
        <v/>
      </c>
      <c r="AE1530" s="165" t="str">
        <f>IFERROR(IF(BetTable[Sport]="","",#REF!/BetTable[TS]),"")</f>
        <v/>
      </c>
      <c r="AF1530" s="164">
        <f>IF(BetTable[Outcome]="Win",BetTable[WBA1-Commission],IF(BetTable[Outcome]="Win Half Stake",(BetTable[Stake]/2)+BetTable[WBA1-Commission]/2,IF(BetTable[Outcome]="Lose Half Stake",BetTable[Stake]/2,IF(BetTable[Outcome]="Lose",0,IF(BetTable[Outcome]="Void",BetTable[Stake],)))))</f>
        <v>0</v>
      </c>
      <c r="AG1530" s="164">
        <f>IF(BetTable[Outcome2]="Win",BetTable[WBA2-Commission],IF(BetTable[Outcome2]="Win Half Stake",(BetTable[S2]/2)+BetTable[WBA2-Commission]/2,IF(BetTable[Outcome2]="Lose Half Stake",BetTable[S2]/2,IF(BetTable[Outcome2]="Lose",0,IF(BetTable[Outcome2]="Void",BetTable[S2],)))))</f>
        <v>0</v>
      </c>
      <c r="AH1530" s="164">
        <f>IF(BetTable[Outcome3]="Win",BetTable[WBA3-Commission],IF(BetTable[Outcome3]="Win Half Stake",(BetTable[S3]/2)+BetTable[WBA3-Commission]/2,IF(BetTable[Outcome3]="Lose Half Stake",BetTable[S3]/2,IF(BetTable[Outcome3]="Lose",0,IF(BetTable[Outcome3]="Void",BetTable[S3],)))))</f>
        <v>0</v>
      </c>
      <c r="AI1530" s="168">
        <f>IF(BetTable[Outcome]="",AI1529,BetTable[Result]+AI1529)</f>
        <v>2372.2277499999996</v>
      </c>
      <c r="AJ1530" s="160"/>
    </row>
    <row r="1531" spans="1:36" x14ac:dyDescent="0.2">
      <c r="A1531" s="159" t="s">
        <v>3560</v>
      </c>
      <c r="B1531" s="160" t="s">
        <v>201</v>
      </c>
      <c r="C1531" s="161" t="s">
        <v>91</v>
      </c>
      <c r="D1531" s="161"/>
      <c r="E1531" s="161"/>
      <c r="F1531" s="162"/>
      <c r="G1531" s="162"/>
      <c r="H1531" s="162"/>
      <c r="I1531" s="160" t="s">
        <v>3550</v>
      </c>
      <c r="J1531" s="163">
        <v>2.04</v>
      </c>
      <c r="K1531" s="163"/>
      <c r="L1531" s="163"/>
      <c r="M1531" s="164">
        <v>36</v>
      </c>
      <c r="N1531" s="164"/>
      <c r="O1531" s="164"/>
      <c r="P1531" s="159" t="s">
        <v>3628</v>
      </c>
      <c r="Q1531" s="159" t="s">
        <v>503</v>
      </c>
      <c r="R1531" s="159" t="s">
        <v>3629</v>
      </c>
      <c r="S1531" s="165">
        <v>0.02</v>
      </c>
      <c r="T1531" s="166" t="s">
        <v>372</v>
      </c>
      <c r="U1531" s="166"/>
      <c r="V1531" s="166"/>
      <c r="W1531" s="167">
        <f>IF(BetTable[Sport]="","",BetTable[Stake]+BetTable[S2]+BetTable[S3])</f>
        <v>36</v>
      </c>
      <c r="X1531" s="164">
        <f>IF(BetTable[Odds]="","",(BetTable[WBA1-Commission])-BetTable[TS])</f>
        <v>37.44</v>
      </c>
      <c r="Y1531" s="168">
        <f>IF(BetTable[Outcome]="","",BetTable[WBA1]+BetTable[WBA2]+BetTable[WBA3]-BetTable[TS])</f>
        <v>37.44</v>
      </c>
      <c r="Z1531" s="164">
        <f>(((BetTable[Odds]-1)*BetTable[Stake])*(1-(BetTable[Comm %]))+BetTable[Stake])</f>
        <v>73.44</v>
      </c>
      <c r="AA1531" s="164">
        <f>(((BetTable[O2]-1)*BetTable[S2])*(1-(BetTable[C% 2]))+BetTable[S2])</f>
        <v>0</v>
      </c>
      <c r="AB1531" s="164">
        <f>(((BetTable[O3]-1)*BetTable[S3])*(1-(BetTable[C% 3]))+BetTable[S3])</f>
        <v>0</v>
      </c>
      <c r="AC1531" s="165">
        <f>IFERROR(IF(BetTable[Sport]="","",BetTable[R1]/BetTable[TS]),"")</f>
        <v>1.04</v>
      </c>
      <c r="AD1531" s="165" t="str">
        <f>IF(BetTable[O2]="","",#REF!/BetTable[TS])</f>
        <v/>
      </c>
      <c r="AE1531" s="165" t="str">
        <f>IFERROR(IF(BetTable[Sport]="","",#REF!/BetTable[TS]),"")</f>
        <v/>
      </c>
      <c r="AF1531" s="164">
        <f>IF(BetTable[Outcome]="Win",BetTable[WBA1-Commission],IF(BetTable[Outcome]="Win Half Stake",(BetTable[Stake]/2)+BetTable[WBA1-Commission]/2,IF(BetTable[Outcome]="Lose Half Stake",BetTable[Stake]/2,IF(BetTable[Outcome]="Lose",0,IF(BetTable[Outcome]="Void",BetTable[Stake],)))))</f>
        <v>73.44</v>
      </c>
      <c r="AG1531" s="164">
        <f>IF(BetTable[Outcome2]="Win",BetTable[WBA2-Commission],IF(BetTable[Outcome2]="Win Half Stake",(BetTable[S2]/2)+BetTable[WBA2-Commission]/2,IF(BetTable[Outcome2]="Lose Half Stake",BetTable[S2]/2,IF(BetTable[Outcome2]="Lose",0,IF(BetTable[Outcome2]="Void",BetTable[S2],)))))</f>
        <v>0</v>
      </c>
      <c r="AH1531" s="164">
        <f>IF(BetTable[Outcome3]="Win",BetTable[WBA3-Commission],IF(BetTable[Outcome3]="Win Half Stake",(BetTable[S3]/2)+BetTable[WBA3-Commission]/2,IF(BetTable[Outcome3]="Lose Half Stake",BetTable[S3]/2,IF(BetTable[Outcome3]="Lose",0,IF(BetTable[Outcome3]="Void",BetTable[S3],)))))</f>
        <v>0</v>
      </c>
      <c r="AI1531" s="168">
        <f>IF(BetTable[Outcome]="",AI1530,BetTable[Result]+AI1530)</f>
        <v>2409.6677499999996</v>
      </c>
      <c r="AJ1531" s="160"/>
    </row>
    <row r="1532" spans="1:36" x14ac:dyDescent="0.2">
      <c r="A1532" s="159" t="s">
        <v>3560</v>
      </c>
      <c r="B1532" s="160" t="s">
        <v>200</v>
      </c>
      <c r="C1532" s="161" t="s">
        <v>1714</v>
      </c>
      <c r="D1532" s="161"/>
      <c r="E1532" s="161"/>
      <c r="F1532" s="162"/>
      <c r="G1532" s="162"/>
      <c r="H1532" s="162"/>
      <c r="I1532" s="160" t="s">
        <v>3630</v>
      </c>
      <c r="J1532" s="163">
        <v>3.35</v>
      </c>
      <c r="K1532" s="163"/>
      <c r="L1532" s="163"/>
      <c r="M1532" s="164">
        <v>32</v>
      </c>
      <c r="N1532" s="164"/>
      <c r="O1532" s="164"/>
      <c r="P1532" s="159" t="s">
        <v>494</v>
      </c>
      <c r="Q1532" s="159" t="s">
        <v>632</v>
      </c>
      <c r="R1532" s="159" t="s">
        <v>3631</v>
      </c>
      <c r="S1532" s="165">
        <v>4.0141453035529399E-2</v>
      </c>
      <c r="T1532" s="166" t="s">
        <v>372</v>
      </c>
      <c r="U1532" s="166"/>
      <c r="V1532" s="166"/>
      <c r="W1532" s="167">
        <f>IF(BetTable[Sport]="","",BetTable[Stake]+BetTable[S2]+BetTable[S3])</f>
        <v>32</v>
      </c>
      <c r="X1532" s="164">
        <f>IF(BetTable[Odds]="","",(BetTable[WBA1-Commission])-BetTable[TS])</f>
        <v>75.2</v>
      </c>
      <c r="Y1532" s="168">
        <f>IF(BetTable[Outcome]="","",BetTable[WBA1]+BetTable[WBA2]+BetTable[WBA3]-BetTable[TS])</f>
        <v>75.2</v>
      </c>
      <c r="Z1532" s="164">
        <f>(((BetTable[Odds]-1)*BetTable[Stake])*(1-(BetTable[Comm %]))+BetTable[Stake])</f>
        <v>107.2</v>
      </c>
      <c r="AA1532" s="164">
        <f>(((BetTable[O2]-1)*BetTable[S2])*(1-(BetTable[C% 2]))+BetTable[S2])</f>
        <v>0</v>
      </c>
      <c r="AB1532" s="164">
        <f>(((BetTable[O3]-1)*BetTable[S3])*(1-(BetTable[C% 3]))+BetTable[S3])</f>
        <v>0</v>
      </c>
      <c r="AC1532" s="165">
        <f>IFERROR(IF(BetTable[Sport]="","",BetTable[R1]/BetTable[TS]),"")</f>
        <v>2.35</v>
      </c>
      <c r="AD1532" s="165" t="str">
        <f>IF(BetTable[O2]="","",#REF!/BetTable[TS])</f>
        <v/>
      </c>
      <c r="AE1532" s="165" t="str">
        <f>IFERROR(IF(BetTable[Sport]="","",#REF!/BetTable[TS]),"")</f>
        <v/>
      </c>
      <c r="AF1532" s="164">
        <f>IF(BetTable[Outcome]="Win",BetTable[WBA1-Commission],IF(BetTable[Outcome]="Win Half Stake",(BetTable[Stake]/2)+BetTable[WBA1-Commission]/2,IF(BetTable[Outcome]="Lose Half Stake",BetTable[Stake]/2,IF(BetTable[Outcome]="Lose",0,IF(BetTable[Outcome]="Void",BetTable[Stake],)))))</f>
        <v>107.2</v>
      </c>
      <c r="AG1532" s="164">
        <f>IF(BetTable[Outcome2]="Win",BetTable[WBA2-Commission],IF(BetTable[Outcome2]="Win Half Stake",(BetTable[S2]/2)+BetTable[WBA2-Commission]/2,IF(BetTable[Outcome2]="Lose Half Stake",BetTable[S2]/2,IF(BetTable[Outcome2]="Lose",0,IF(BetTable[Outcome2]="Void",BetTable[S2],)))))</f>
        <v>0</v>
      </c>
      <c r="AH1532" s="164">
        <f>IF(BetTable[Outcome3]="Win",BetTable[WBA3-Commission],IF(BetTable[Outcome3]="Win Half Stake",(BetTable[S3]/2)+BetTable[WBA3-Commission]/2,IF(BetTable[Outcome3]="Lose Half Stake",BetTable[S3]/2,IF(BetTable[Outcome3]="Lose",0,IF(BetTable[Outcome3]="Void",BetTable[S3],)))))</f>
        <v>0</v>
      </c>
      <c r="AI1532" s="168">
        <f>IF(BetTable[Outcome]="",AI1531,BetTable[Result]+AI1531)</f>
        <v>2484.8677499999994</v>
      </c>
      <c r="AJ1532" s="160"/>
    </row>
    <row r="1533" spans="1:36" x14ac:dyDescent="0.2">
      <c r="A1533" s="159" t="s">
        <v>3560</v>
      </c>
      <c r="B1533" s="160" t="s">
        <v>200</v>
      </c>
      <c r="C1533" s="161" t="s">
        <v>1714</v>
      </c>
      <c r="D1533" s="161"/>
      <c r="E1533" s="161"/>
      <c r="F1533" s="162"/>
      <c r="G1533" s="162"/>
      <c r="H1533" s="162"/>
      <c r="I1533" s="160" t="s">
        <v>3632</v>
      </c>
      <c r="J1533" s="163">
        <v>4.3</v>
      </c>
      <c r="K1533" s="163"/>
      <c r="L1533" s="163"/>
      <c r="M1533" s="164">
        <v>20</v>
      </c>
      <c r="N1533" s="164"/>
      <c r="O1533" s="164"/>
      <c r="P1533" s="159" t="s">
        <v>494</v>
      </c>
      <c r="Q1533" s="159" t="s">
        <v>439</v>
      </c>
      <c r="R1533" s="159" t="s">
        <v>3633</v>
      </c>
      <c r="S1533" s="165">
        <v>3.4889557807478301E-2</v>
      </c>
      <c r="T1533" s="166" t="s">
        <v>382</v>
      </c>
      <c r="U1533" s="166"/>
      <c r="V1533" s="166"/>
      <c r="W1533" s="167">
        <f>IF(BetTable[Sport]="","",BetTable[Stake]+BetTable[S2]+BetTable[S3])</f>
        <v>20</v>
      </c>
      <c r="X1533" s="164">
        <f>IF(BetTable[Odds]="","",(BetTable[WBA1-Commission])-BetTable[TS])</f>
        <v>66</v>
      </c>
      <c r="Y1533" s="168">
        <f>IF(BetTable[Outcome]="","",BetTable[WBA1]+BetTable[WBA2]+BetTable[WBA3]-BetTable[TS])</f>
        <v>-20</v>
      </c>
      <c r="Z1533" s="164">
        <f>(((BetTable[Odds]-1)*BetTable[Stake])*(1-(BetTable[Comm %]))+BetTable[Stake])</f>
        <v>86</v>
      </c>
      <c r="AA1533" s="164">
        <f>(((BetTable[O2]-1)*BetTable[S2])*(1-(BetTable[C% 2]))+BetTable[S2])</f>
        <v>0</v>
      </c>
      <c r="AB1533" s="164">
        <f>(((BetTable[O3]-1)*BetTable[S3])*(1-(BetTable[C% 3]))+BetTable[S3])</f>
        <v>0</v>
      </c>
      <c r="AC1533" s="165">
        <f>IFERROR(IF(BetTable[Sport]="","",BetTable[R1]/BetTable[TS]),"")</f>
        <v>3.3</v>
      </c>
      <c r="AD1533" s="165" t="str">
        <f>IF(BetTable[O2]="","",#REF!/BetTable[TS])</f>
        <v/>
      </c>
      <c r="AE1533" s="165" t="str">
        <f>IFERROR(IF(BetTable[Sport]="","",#REF!/BetTable[TS]),"")</f>
        <v/>
      </c>
      <c r="AF1533" s="164">
        <f>IF(BetTable[Outcome]="Win",BetTable[WBA1-Commission],IF(BetTable[Outcome]="Win Half Stake",(BetTable[Stake]/2)+BetTable[WBA1-Commission]/2,IF(BetTable[Outcome]="Lose Half Stake",BetTable[Stake]/2,IF(BetTable[Outcome]="Lose",0,IF(BetTable[Outcome]="Void",BetTable[Stake],)))))</f>
        <v>0</v>
      </c>
      <c r="AG1533" s="164">
        <f>IF(BetTable[Outcome2]="Win",BetTable[WBA2-Commission],IF(BetTable[Outcome2]="Win Half Stake",(BetTable[S2]/2)+BetTable[WBA2-Commission]/2,IF(BetTable[Outcome2]="Lose Half Stake",BetTable[S2]/2,IF(BetTable[Outcome2]="Lose",0,IF(BetTable[Outcome2]="Void",BetTable[S2],)))))</f>
        <v>0</v>
      </c>
      <c r="AH1533" s="164">
        <f>IF(BetTable[Outcome3]="Win",BetTable[WBA3-Commission],IF(BetTable[Outcome3]="Win Half Stake",(BetTable[S3]/2)+BetTable[WBA3-Commission]/2,IF(BetTable[Outcome3]="Lose Half Stake",BetTable[S3]/2,IF(BetTable[Outcome3]="Lose",0,IF(BetTable[Outcome3]="Void",BetTable[S3],)))))</f>
        <v>0</v>
      </c>
      <c r="AI1533" s="168">
        <f>IF(BetTable[Outcome]="",AI1532,BetTable[Result]+AI1532)</f>
        <v>2464.8677499999994</v>
      </c>
      <c r="AJ1533" s="160"/>
    </row>
    <row r="1534" spans="1:36" x14ac:dyDescent="0.2">
      <c r="A1534" s="159" t="s">
        <v>3560</v>
      </c>
      <c r="B1534" s="160" t="s">
        <v>200</v>
      </c>
      <c r="C1534" s="161" t="s">
        <v>1714</v>
      </c>
      <c r="D1534" s="161"/>
      <c r="E1534" s="161"/>
      <c r="F1534" s="162"/>
      <c r="G1534" s="162"/>
      <c r="H1534" s="162"/>
      <c r="I1534" s="160" t="s">
        <v>3634</v>
      </c>
      <c r="J1534" s="163">
        <v>1.48</v>
      </c>
      <c r="K1534" s="163"/>
      <c r="L1534" s="163"/>
      <c r="M1534" s="164">
        <v>88</v>
      </c>
      <c r="N1534" s="164"/>
      <c r="O1534" s="164"/>
      <c r="P1534" s="159" t="s">
        <v>435</v>
      </c>
      <c r="Q1534" s="159" t="s">
        <v>703</v>
      </c>
      <c r="R1534" s="159" t="s">
        <v>3635</v>
      </c>
      <c r="S1534" s="165">
        <v>2.8669877636290898E-2</v>
      </c>
      <c r="T1534" s="166" t="s">
        <v>382</v>
      </c>
      <c r="U1534" s="166"/>
      <c r="V1534" s="166"/>
      <c r="W1534" s="167">
        <f>IF(BetTable[Sport]="","",BetTable[Stake]+BetTable[S2]+BetTable[S3])</f>
        <v>88</v>
      </c>
      <c r="X1534" s="164">
        <f>IF(BetTable[Odds]="","",(BetTable[WBA1-Commission])-BetTable[TS])</f>
        <v>42.240000000000009</v>
      </c>
      <c r="Y1534" s="168">
        <f>IF(BetTable[Outcome]="","",BetTable[WBA1]+BetTable[WBA2]+BetTable[WBA3]-BetTable[TS])</f>
        <v>-88</v>
      </c>
      <c r="Z1534" s="164">
        <f>(((BetTable[Odds]-1)*BetTable[Stake])*(1-(BetTable[Comm %]))+BetTable[Stake])</f>
        <v>130.24</v>
      </c>
      <c r="AA1534" s="164">
        <f>(((BetTable[O2]-1)*BetTable[S2])*(1-(BetTable[C% 2]))+BetTable[S2])</f>
        <v>0</v>
      </c>
      <c r="AB1534" s="164">
        <f>(((BetTable[O3]-1)*BetTable[S3])*(1-(BetTable[C% 3]))+BetTable[S3])</f>
        <v>0</v>
      </c>
      <c r="AC1534" s="165">
        <f>IFERROR(IF(BetTable[Sport]="","",BetTable[R1]/BetTable[TS]),"")</f>
        <v>0.48000000000000009</v>
      </c>
      <c r="AD1534" s="165" t="str">
        <f>IF(BetTable[O2]="","",#REF!/BetTable[TS])</f>
        <v/>
      </c>
      <c r="AE1534" s="165" t="str">
        <f>IFERROR(IF(BetTable[Sport]="","",#REF!/BetTable[TS]),"")</f>
        <v/>
      </c>
      <c r="AF1534" s="164">
        <f>IF(BetTable[Outcome]="Win",BetTable[WBA1-Commission],IF(BetTable[Outcome]="Win Half Stake",(BetTable[Stake]/2)+BetTable[WBA1-Commission]/2,IF(BetTable[Outcome]="Lose Half Stake",BetTable[Stake]/2,IF(BetTable[Outcome]="Lose",0,IF(BetTable[Outcome]="Void",BetTable[Stake],)))))</f>
        <v>0</v>
      </c>
      <c r="AG1534" s="164">
        <f>IF(BetTable[Outcome2]="Win",BetTable[WBA2-Commission],IF(BetTable[Outcome2]="Win Half Stake",(BetTable[S2]/2)+BetTable[WBA2-Commission]/2,IF(BetTable[Outcome2]="Lose Half Stake",BetTable[S2]/2,IF(BetTable[Outcome2]="Lose",0,IF(BetTable[Outcome2]="Void",BetTable[S2],)))))</f>
        <v>0</v>
      </c>
      <c r="AH1534" s="164">
        <f>IF(BetTable[Outcome3]="Win",BetTable[WBA3-Commission],IF(BetTable[Outcome3]="Win Half Stake",(BetTable[S3]/2)+BetTable[WBA3-Commission]/2,IF(BetTable[Outcome3]="Lose Half Stake",BetTable[S3]/2,IF(BetTable[Outcome3]="Lose",0,IF(BetTable[Outcome3]="Void",BetTable[S3],)))))</f>
        <v>0</v>
      </c>
      <c r="AI1534" s="168">
        <f>IF(BetTable[Outcome]="",AI1533,BetTable[Result]+AI1533)</f>
        <v>2376.8677499999994</v>
      </c>
      <c r="AJ1534" s="160"/>
    </row>
    <row r="1535" spans="1:36" x14ac:dyDescent="0.2">
      <c r="A1535" s="159" t="s">
        <v>3560</v>
      </c>
      <c r="B1535" s="160" t="s">
        <v>200</v>
      </c>
      <c r="C1535" s="161" t="s">
        <v>1714</v>
      </c>
      <c r="D1535" s="161"/>
      <c r="E1535" s="161"/>
      <c r="F1535" s="162"/>
      <c r="G1535" s="162"/>
      <c r="H1535" s="162"/>
      <c r="I1535" s="160" t="s">
        <v>3636</v>
      </c>
      <c r="J1535" s="163">
        <v>2.2000000000000002</v>
      </c>
      <c r="K1535" s="163"/>
      <c r="L1535" s="163"/>
      <c r="M1535" s="164">
        <v>29</v>
      </c>
      <c r="N1535" s="164"/>
      <c r="O1535" s="164"/>
      <c r="P1535" s="159" t="s">
        <v>409</v>
      </c>
      <c r="Q1535" s="159" t="s">
        <v>503</v>
      </c>
      <c r="R1535" s="159" t="s">
        <v>3637</v>
      </c>
      <c r="S1535" s="165">
        <v>1.8561538102206201E-2</v>
      </c>
      <c r="T1535" s="166" t="s">
        <v>382</v>
      </c>
      <c r="U1535" s="166"/>
      <c r="V1535" s="166"/>
      <c r="W1535" s="167">
        <f>IF(BetTable[Sport]="","",BetTable[Stake]+BetTable[S2]+BetTable[S3])</f>
        <v>29</v>
      </c>
      <c r="X1535" s="164">
        <f>IF(BetTable[Odds]="","",(BetTable[WBA1-Commission])-BetTable[TS])</f>
        <v>34.800000000000004</v>
      </c>
      <c r="Y1535" s="168">
        <f>IF(BetTable[Outcome]="","",BetTable[WBA1]+BetTable[WBA2]+BetTable[WBA3]-BetTable[TS])</f>
        <v>-29</v>
      </c>
      <c r="Z1535" s="164">
        <f>(((BetTable[Odds]-1)*BetTable[Stake])*(1-(BetTable[Comm %]))+BetTable[Stake])</f>
        <v>63.800000000000004</v>
      </c>
      <c r="AA1535" s="164">
        <f>(((BetTable[O2]-1)*BetTable[S2])*(1-(BetTable[C% 2]))+BetTable[S2])</f>
        <v>0</v>
      </c>
      <c r="AB1535" s="164">
        <f>(((BetTable[O3]-1)*BetTable[S3])*(1-(BetTable[C% 3]))+BetTable[S3])</f>
        <v>0</v>
      </c>
      <c r="AC1535" s="165">
        <f>IFERROR(IF(BetTable[Sport]="","",BetTable[R1]/BetTable[TS]),"")</f>
        <v>1.2000000000000002</v>
      </c>
      <c r="AD1535" s="165" t="str">
        <f>IF(BetTable[O2]="","",#REF!/BetTable[TS])</f>
        <v/>
      </c>
      <c r="AE1535" s="165" t="str">
        <f>IFERROR(IF(BetTable[Sport]="","",#REF!/BetTable[TS]),"")</f>
        <v/>
      </c>
      <c r="AF1535" s="164">
        <f>IF(BetTable[Outcome]="Win",BetTable[WBA1-Commission],IF(BetTable[Outcome]="Win Half Stake",(BetTable[Stake]/2)+BetTable[WBA1-Commission]/2,IF(BetTable[Outcome]="Lose Half Stake",BetTable[Stake]/2,IF(BetTable[Outcome]="Lose",0,IF(BetTable[Outcome]="Void",BetTable[Stake],)))))</f>
        <v>0</v>
      </c>
      <c r="AG1535" s="164">
        <f>IF(BetTable[Outcome2]="Win",BetTable[WBA2-Commission],IF(BetTable[Outcome2]="Win Half Stake",(BetTable[S2]/2)+BetTable[WBA2-Commission]/2,IF(BetTable[Outcome2]="Lose Half Stake",BetTable[S2]/2,IF(BetTable[Outcome2]="Lose",0,IF(BetTable[Outcome2]="Void",BetTable[S2],)))))</f>
        <v>0</v>
      </c>
      <c r="AH1535" s="164">
        <f>IF(BetTable[Outcome3]="Win",BetTable[WBA3-Commission],IF(BetTable[Outcome3]="Win Half Stake",(BetTable[S3]/2)+BetTable[WBA3-Commission]/2,IF(BetTable[Outcome3]="Lose Half Stake",BetTable[S3]/2,IF(BetTable[Outcome3]="Lose",0,IF(BetTable[Outcome3]="Void",BetTable[S3],)))))</f>
        <v>0</v>
      </c>
      <c r="AI1535" s="168">
        <f>IF(BetTable[Outcome]="",AI1534,BetTable[Result]+AI1534)</f>
        <v>2347.8677499999994</v>
      </c>
      <c r="AJ1535" s="160"/>
    </row>
    <row r="1536" spans="1:36" x14ac:dyDescent="0.2">
      <c r="A1536" s="159" t="s">
        <v>3560</v>
      </c>
      <c r="B1536" s="160" t="s">
        <v>7</v>
      </c>
      <c r="C1536" s="161" t="s">
        <v>1714</v>
      </c>
      <c r="D1536" s="161"/>
      <c r="E1536" s="161"/>
      <c r="F1536" s="162"/>
      <c r="G1536" s="162"/>
      <c r="H1536" s="162"/>
      <c r="I1536" s="160" t="s">
        <v>3638</v>
      </c>
      <c r="J1536" s="163">
        <v>1.83</v>
      </c>
      <c r="K1536" s="163"/>
      <c r="L1536" s="163"/>
      <c r="M1536" s="164">
        <v>58</v>
      </c>
      <c r="N1536" s="164"/>
      <c r="O1536" s="164"/>
      <c r="P1536" s="159" t="s">
        <v>1257</v>
      </c>
      <c r="Q1536" s="159" t="s">
        <v>482</v>
      </c>
      <c r="R1536" s="159" t="s">
        <v>3639</v>
      </c>
      <c r="S1536" s="165">
        <v>2.5820734506698799E-2</v>
      </c>
      <c r="T1536" s="166" t="s">
        <v>372</v>
      </c>
      <c r="U1536" s="166"/>
      <c r="V1536" s="166"/>
      <c r="W1536" s="167">
        <f>IF(BetTable[Sport]="","",BetTable[Stake]+BetTable[S2]+BetTable[S3])</f>
        <v>58</v>
      </c>
      <c r="X1536" s="164">
        <f>IF(BetTable[Odds]="","",(BetTable[WBA1-Commission])-BetTable[TS])</f>
        <v>48.14</v>
      </c>
      <c r="Y1536" s="168">
        <f>IF(BetTable[Outcome]="","",BetTable[WBA1]+BetTable[WBA2]+BetTable[WBA3]-BetTable[TS])</f>
        <v>48.14</v>
      </c>
      <c r="Z1536" s="164">
        <f>(((BetTable[Odds]-1)*BetTable[Stake])*(1-(BetTable[Comm %]))+BetTable[Stake])</f>
        <v>106.14</v>
      </c>
      <c r="AA1536" s="164">
        <f>(((BetTable[O2]-1)*BetTable[S2])*(1-(BetTable[C% 2]))+BetTable[S2])</f>
        <v>0</v>
      </c>
      <c r="AB1536" s="164">
        <f>(((BetTable[O3]-1)*BetTable[S3])*(1-(BetTable[C% 3]))+BetTable[S3])</f>
        <v>0</v>
      </c>
      <c r="AC1536" s="165">
        <f>IFERROR(IF(BetTable[Sport]="","",BetTable[R1]/BetTable[TS]),"")</f>
        <v>0.83</v>
      </c>
      <c r="AD1536" s="165" t="str">
        <f>IF(BetTable[O2]="","",#REF!/BetTable[TS])</f>
        <v/>
      </c>
      <c r="AE1536" s="165" t="str">
        <f>IFERROR(IF(BetTable[Sport]="","",#REF!/BetTable[TS]),"")</f>
        <v/>
      </c>
      <c r="AF1536" s="164">
        <f>IF(BetTable[Outcome]="Win",BetTable[WBA1-Commission],IF(BetTable[Outcome]="Win Half Stake",(BetTable[Stake]/2)+BetTable[WBA1-Commission]/2,IF(BetTable[Outcome]="Lose Half Stake",BetTable[Stake]/2,IF(BetTable[Outcome]="Lose",0,IF(BetTable[Outcome]="Void",BetTable[Stake],)))))</f>
        <v>106.14</v>
      </c>
      <c r="AG1536" s="164">
        <f>IF(BetTable[Outcome2]="Win",BetTable[WBA2-Commission],IF(BetTable[Outcome2]="Win Half Stake",(BetTable[S2]/2)+BetTable[WBA2-Commission]/2,IF(BetTable[Outcome2]="Lose Half Stake",BetTable[S2]/2,IF(BetTable[Outcome2]="Lose",0,IF(BetTable[Outcome2]="Void",BetTable[S2],)))))</f>
        <v>0</v>
      </c>
      <c r="AH1536" s="164">
        <f>IF(BetTable[Outcome3]="Win",BetTable[WBA3-Commission],IF(BetTable[Outcome3]="Win Half Stake",(BetTable[S3]/2)+BetTable[WBA3-Commission]/2,IF(BetTable[Outcome3]="Lose Half Stake",BetTable[S3]/2,IF(BetTable[Outcome3]="Lose",0,IF(BetTable[Outcome3]="Void",BetTable[S3],)))))</f>
        <v>0</v>
      </c>
      <c r="AI1536" s="168">
        <f>IF(BetTable[Outcome]="",AI1535,BetTable[Result]+AI1535)</f>
        <v>2396.0077499999993</v>
      </c>
      <c r="AJ1536" s="160"/>
    </row>
    <row r="1537" spans="1:36" x14ac:dyDescent="0.2">
      <c r="A1537" s="159" t="s">
        <v>3560</v>
      </c>
      <c r="B1537" s="160" t="s">
        <v>201</v>
      </c>
      <c r="C1537" s="161" t="s">
        <v>91</v>
      </c>
      <c r="D1537" s="161"/>
      <c r="E1537" s="161"/>
      <c r="F1537" s="162"/>
      <c r="G1537" s="162"/>
      <c r="H1537" s="162"/>
      <c r="I1537" s="160" t="s">
        <v>3640</v>
      </c>
      <c r="J1537" s="163">
        <v>1.93</v>
      </c>
      <c r="K1537" s="163"/>
      <c r="L1537" s="163"/>
      <c r="M1537" s="164">
        <v>36</v>
      </c>
      <c r="N1537" s="164"/>
      <c r="O1537" s="164"/>
      <c r="P1537" s="159" t="s">
        <v>3641</v>
      </c>
      <c r="Q1537" s="159" t="s">
        <v>836</v>
      </c>
      <c r="R1537" s="159" t="s">
        <v>3642</v>
      </c>
      <c r="S1537" s="165">
        <v>1.79778823411374E-2</v>
      </c>
      <c r="T1537" s="166" t="s">
        <v>382</v>
      </c>
      <c r="U1537" s="166"/>
      <c r="V1537" s="166"/>
      <c r="W1537" s="167">
        <f>IF(BetTable[Sport]="","",BetTable[Stake]+BetTable[S2]+BetTable[S3])</f>
        <v>36</v>
      </c>
      <c r="X1537" s="164">
        <f>IF(BetTable[Odds]="","",(BetTable[WBA1-Commission])-BetTable[TS])</f>
        <v>33.47999999999999</v>
      </c>
      <c r="Y1537" s="168">
        <f>IF(BetTable[Outcome]="","",BetTable[WBA1]+BetTable[WBA2]+BetTable[WBA3]-BetTable[TS])</f>
        <v>-36</v>
      </c>
      <c r="Z1537" s="164">
        <f>(((BetTable[Odds]-1)*BetTable[Stake])*(1-(BetTable[Comm %]))+BetTable[Stake])</f>
        <v>69.47999999999999</v>
      </c>
      <c r="AA1537" s="164">
        <f>(((BetTable[O2]-1)*BetTable[S2])*(1-(BetTable[C% 2]))+BetTable[S2])</f>
        <v>0</v>
      </c>
      <c r="AB1537" s="164">
        <f>(((BetTable[O3]-1)*BetTable[S3])*(1-(BetTable[C% 3]))+BetTable[S3])</f>
        <v>0</v>
      </c>
      <c r="AC1537" s="165">
        <f>IFERROR(IF(BetTable[Sport]="","",BetTable[R1]/BetTable[TS]),"")</f>
        <v>0.92999999999999972</v>
      </c>
      <c r="AD1537" s="165" t="str">
        <f>IF(BetTable[O2]="","",#REF!/BetTable[TS])</f>
        <v/>
      </c>
      <c r="AE1537" s="165" t="str">
        <f>IFERROR(IF(BetTable[Sport]="","",#REF!/BetTable[TS]),"")</f>
        <v/>
      </c>
      <c r="AF1537" s="164">
        <f>IF(BetTable[Outcome]="Win",BetTable[WBA1-Commission],IF(BetTable[Outcome]="Win Half Stake",(BetTable[Stake]/2)+BetTable[WBA1-Commission]/2,IF(BetTable[Outcome]="Lose Half Stake",BetTable[Stake]/2,IF(BetTable[Outcome]="Lose",0,IF(BetTable[Outcome]="Void",BetTable[Stake],)))))</f>
        <v>0</v>
      </c>
      <c r="AG1537" s="164">
        <f>IF(BetTable[Outcome2]="Win",BetTable[WBA2-Commission],IF(BetTable[Outcome2]="Win Half Stake",(BetTable[S2]/2)+BetTable[WBA2-Commission]/2,IF(BetTable[Outcome2]="Lose Half Stake",BetTable[S2]/2,IF(BetTable[Outcome2]="Lose",0,IF(BetTable[Outcome2]="Void",BetTable[S2],)))))</f>
        <v>0</v>
      </c>
      <c r="AH1537" s="164">
        <f>IF(BetTable[Outcome3]="Win",BetTable[WBA3-Commission],IF(BetTable[Outcome3]="Win Half Stake",(BetTable[S3]/2)+BetTable[WBA3-Commission]/2,IF(BetTable[Outcome3]="Lose Half Stake",BetTable[S3]/2,IF(BetTable[Outcome3]="Lose",0,IF(BetTable[Outcome3]="Void",BetTable[S3],)))))</f>
        <v>0</v>
      </c>
      <c r="AI1537" s="168">
        <f>IF(BetTable[Outcome]="",AI1536,BetTable[Result]+AI1536)</f>
        <v>2360.0077499999993</v>
      </c>
      <c r="AJ1537" s="160"/>
    </row>
    <row r="1538" spans="1:36" x14ac:dyDescent="0.2">
      <c r="A1538" s="159" t="s">
        <v>3560</v>
      </c>
      <c r="B1538" s="160" t="s">
        <v>7</v>
      </c>
      <c r="C1538" s="161" t="s">
        <v>91</v>
      </c>
      <c r="D1538" s="161"/>
      <c r="E1538" s="161"/>
      <c r="F1538" s="162"/>
      <c r="G1538" s="162"/>
      <c r="H1538" s="162"/>
      <c r="I1538" s="160" t="s">
        <v>3643</v>
      </c>
      <c r="J1538" s="163">
        <v>1.88</v>
      </c>
      <c r="K1538" s="163"/>
      <c r="L1538" s="163"/>
      <c r="M1538" s="164">
        <v>47</v>
      </c>
      <c r="N1538" s="164"/>
      <c r="O1538" s="164"/>
      <c r="P1538" s="159" t="s">
        <v>3644</v>
      </c>
      <c r="Q1538" s="159" t="s">
        <v>569</v>
      </c>
      <c r="R1538" s="159" t="s">
        <v>3645</v>
      </c>
      <c r="S1538" s="165">
        <v>2.2221667913860401E-2</v>
      </c>
      <c r="T1538" s="166" t="s">
        <v>382</v>
      </c>
      <c r="U1538" s="166"/>
      <c r="V1538" s="166"/>
      <c r="W1538" s="167">
        <f>IF(BetTable[Sport]="","",BetTable[Stake]+BetTable[S2]+BetTable[S3])</f>
        <v>47</v>
      </c>
      <c r="X1538" s="164">
        <f>IF(BetTable[Odds]="","",(BetTable[WBA1-Commission])-BetTable[TS])</f>
        <v>41.359999999999985</v>
      </c>
      <c r="Y1538" s="168">
        <f>IF(BetTable[Outcome]="","",BetTable[WBA1]+BetTable[WBA2]+BetTable[WBA3]-BetTable[TS])</f>
        <v>-47</v>
      </c>
      <c r="Z1538" s="164">
        <f>(((BetTable[Odds]-1)*BetTable[Stake])*(1-(BetTable[Comm %]))+BetTable[Stake])</f>
        <v>88.359999999999985</v>
      </c>
      <c r="AA1538" s="164">
        <f>(((BetTable[O2]-1)*BetTable[S2])*(1-(BetTable[C% 2]))+BetTable[S2])</f>
        <v>0</v>
      </c>
      <c r="AB1538" s="164">
        <f>(((BetTable[O3]-1)*BetTable[S3])*(1-(BetTable[C% 3]))+BetTable[S3])</f>
        <v>0</v>
      </c>
      <c r="AC1538" s="165">
        <f>IFERROR(IF(BetTable[Sport]="","",BetTable[R1]/BetTable[TS]),"")</f>
        <v>0.87999999999999967</v>
      </c>
      <c r="AD1538" s="165" t="str">
        <f>IF(BetTable[O2]="","",#REF!/BetTable[TS])</f>
        <v/>
      </c>
      <c r="AE1538" s="165" t="str">
        <f>IFERROR(IF(BetTable[Sport]="","",#REF!/BetTable[TS]),"")</f>
        <v/>
      </c>
      <c r="AF1538" s="164">
        <f>IF(BetTable[Outcome]="Win",BetTable[WBA1-Commission],IF(BetTable[Outcome]="Win Half Stake",(BetTable[Stake]/2)+BetTable[WBA1-Commission]/2,IF(BetTable[Outcome]="Lose Half Stake",BetTable[Stake]/2,IF(BetTable[Outcome]="Lose",0,IF(BetTable[Outcome]="Void",BetTable[Stake],)))))</f>
        <v>0</v>
      </c>
      <c r="AG1538" s="164">
        <f>IF(BetTable[Outcome2]="Win",BetTable[WBA2-Commission],IF(BetTable[Outcome2]="Win Half Stake",(BetTable[S2]/2)+BetTable[WBA2-Commission]/2,IF(BetTable[Outcome2]="Lose Half Stake",BetTable[S2]/2,IF(BetTable[Outcome2]="Lose",0,IF(BetTable[Outcome2]="Void",BetTable[S2],)))))</f>
        <v>0</v>
      </c>
      <c r="AH1538" s="164">
        <f>IF(BetTable[Outcome3]="Win",BetTable[WBA3-Commission],IF(BetTable[Outcome3]="Win Half Stake",(BetTable[S3]/2)+BetTable[WBA3-Commission]/2,IF(BetTable[Outcome3]="Lose Half Stake",BetTable[S3]/2,IF(BetTable[Outcome3]="Lose",0,IF(BetTable[Outcome3]="Void",BetTable[S3],)))))</f>
        <v>0</v>
      </c>
      <c r="AI1538" s="168">
        <f>IF(BetTable[Outcome]="",AI1537,BetTable[Result]+AI1537)</f>
        <v>2313.0077499999993</v>
      </c>
      <c r="AJ1538" s="160"/>
    </row>
    <row r="1539" spans="1:36" x14ac:dyDescent="0.2">
      <c r="A1539" s="159" t="s">
        <v>3560</v>
      </c>
      <c r="B1539" s="160" t="s">
        <v>200</v>
      </c>
      <c r="C1539" s="161" t="s">
        <v>1714</v>
      </c>
      <c r="D1539" s="161"/>
      <c r="E1539" s="161"/>
      <c r="F1539" s="162"/>
      <c r="G1539" s="162"/>
      <c r="H1539" s="162"/>
      <c r="I1539" s="160" t="s">
        <v>3646</v>
      </c>
      <c r="J1539" s="163">
        <v>1.9</v>
      </c>
      <c r="K1539" s="163"/>
      <c r="L1539" s="163"/>
      <c r="M1539" s="164">
        <v>61</v>
      </c>
      <c r="N1539" s="164"/>
      <c r="O1539" s="164"/>
      <c r="P1539" s="159" t="s">
        <v>508</v>
      </c>
      <c r="Q1539" s="159" t="s">
        <v>703</v>
      </c>
      <c r="R1539" s="159" t="s">
        <v>3647</v>
      </c>
      <c r="S1539" s="165">
        <v>2.93508881419807E-2</v>
      </c>
      <c r="T1539" s="166" t="s">
        <v>372</v>
      </c>
      <c r="U1539" s="166"/>
      <c r="V1539" s="166"/>
      <c r="W1539" s="167">
        <f>IF(BetTable[Sport]="","",BetTable[Stake]+BetTable[S2]+BetTable[S3])</f>
        <v>61</v>
      </c>
      <c r="X1539" s="164">
        <f>IF(BetTable[Odds]="","",(BetTable[WBA1-Commission])-BetTable[TS])</f>
        <v>54.899999999999991</v>
      </c>
      <c r="Y1539" s="168">
        <f>IF(BetTable[Outcome]="","",BetTable[WBA1]+BetTable[WBA2]+BetTable[WBA3]-BetTable[TS])</f>
        <v>54.899999999999991</v>
      </c>
      <c r="Z1539" s="164">
        <f>(((BetTable[Odds]-1)*BetTable[Stake])*(1-(BetTable[Comm %]))+BetTable[Stake])</f>
        <v>115.89999999999999</v>
      </c>
      <c r="AA1539" s="164">
        <f>(((BetTable[O2]-1)*BetTable[S2])*(1-(BetTable[C% 2]))+BetTable[S2])</f>
        <v>0</v>
      </c>
      <c r="AB1539" s="164">
        <f>(((BetTable[O3]-1)*BetTable[S3])*(1-(BetTable[C% 3]))+BetTable[S3])</f>
        <v>0</v>
      </c>
      <c r="AC1539" s="165">
        <f>IFERROR(IF(BetTable[Sport]="","",BetTable[R1]/BetTable[TS]),"")</f>
        <v>0.89999999999999991</v>
      </c>
      <c r="AD1539" s="165" t="str">
        <f>IF(BetTable[O2]="","",#REF!/BetTable[TS])</f>
        <v/>
      </c>
      <c r="AE1539" s="165" t="str">
        <f>IFERROR(IF(BetTable[Sport]="","",#REF!/BetTable[TS]),"")</f>
        <v/>
      </c>
      <c r="AF1539" s="164">
        <f>IF(BetTable[Outcome]="Win",BetTable[WBA1-Commission],IF(BetTable[Outcome]="Win Half Stake",(BetTable[Stake]/2)+BetTable[WBA1-Commission]/2,IF(BetTable[Outcome]="Lose Half Stake",BetTable[Stake]/2,IF(BetTable[Outcome]="Lose",0,IF(BetTable[Outcome]="Void",BetTable[Stake],)))))</f>
        <v>115.89999999999999</v>
      </c>
      <c r="AG1539" s="164">
        <f>IF(BetTable[Outcome2]="Win",BetTable[WBA2-Commission],IF(BetTable[Outcome2]="Win Half Stake",(BetTable[S2]/2)+BetTable[WBA2-Commission]/2,IF(BetTable[Outcome2]="Lose Half Stake",BetTable[S2]/2,IF(BetTable[Outcome2]="Lose",0,IF(BetTable[Outcome2]="Void",BetTable[S2],)))))</f>
        <v>0</v>
      </c>
      <c r="AH1539" s="164">
        <f>IF(BetTable[Outcome3]="Win",BetTable[WBA3-Commission],IF(BetTable[Outcome3]="Win Half Stake",(BetTable[S3]/2)+BetTable[WBA3-Commission]/2,IF(BetTable[Outcome3]="Lose Half Stake",BetTable[S3]/2,IF(BetTable[Outcome3]="Lose",0,IF(BetTable[Outcome3]="Void",BetTable[S3],)))))</f>
        <v>0</v>
      </c>
      <c r="AI1539" s="168">
        <f>IF(BetTable[Outcome]="",AI1538,BetTable[Result]+AI1538)</f>
        <v>2367.9077499999994</v>
      </c>
      <c r="AJ1539" s="160"/>
    </row>
    <row r="1540" spans="1:36" x14ac:dyDescent="0.2">
      <c r="A1540" s="159" t="s">
        <v>3560</v>
      </c>
      <c r="B1540" s="160" t="s">
        <v>7</v>
      </c>
      <c r="C1540" s="161" t="s">
        <v>91</v>
      </c>
      <c r="D1540" s="161"/>
      <c r="E1540" s="161"/>
      <c r="F1540" s="162"/>
      <c r="G1540" s="162"/>
      <c r="H1540" s="162"/>
      <c r="I1540" s="160" t="s">
        <v>3648</v>
      </c>
      <c r="J1540" s="163">
        <v>2.04</v>
      </c>
      <c r="K1540" s="163"/>
      <c r="L1540" s="163"/>
      <c r="M1540" s="164">
        <v>61</v>
      </c>
      <c r="N1540" s="164"/>
      <c r="O1540" s="164"/>
      <c r="P1540" s="159" t="s">
        <v>3649</v>
      </c>
      <c r="Q1540" s="159" t="s">
        <v>530</v>
      </c>
      <c r="R1540" s="159" t="s">
        <v>3650</v>
      </c>
      <c r="S1540" s="165">
        <v>5.7397137302113599E-2</v>
      </c>
      <c r="T1540" s="166" t="s">
        <v>372</v>
      </c>
      <c r="U1540" s="166"/>
      <c r="V1540" s="166"/>
      <c r="W1540" s="167">
        <f>IF(BetTable[Sport]="","",BetTable[Stake]+BetTable[S2]+BetTable[S3])</f>
        <v>61</v>
      </c>
      <c r="X1540" s="164">
        <f>IF(BetTable[Odds]="","",(BetTable[WBA1-Commission])-BetTable[TS])</f>
        <v>63.44</v>
      </c>
      <c r="Y1540" s="168">
        <f>IF(BetTable[Outcome]="","",BetTable[WBA1]+BetTable[WBA2]+BetTable[WBA3]-BetTable[TS])</f>
        <v>63.44</v>
      </c>
      <c r="Z1540" s="164">
        <f>(((BetTable[Odds]-1)*BetTable[Stake])*(1-(BetTable[Comm %]))+BetTable[Stake])</f>
        <v>124.44</v>
      </c>
      <c r="AA1540" s="164">
        <f>(((BetTable[O2]-1)*BetTable[S2])*(1-(BetTable[C% 2]))+BetTable[S2])</f>
        <v>0</v>
      </c>
      <c r="AB1540" s="164">
        <f>(((BetTable[O3]-1)*BetTable[S3])*(1-(BetTable[C% 3]))+BetTable[S3])</f>
        <v>0</v>
      </c>
      <c r="AC1540" s="165">
        <f>IFERROR(IF(BetTable[Sport]="","",BetTable[R1]/BetTable[TS]),"")</f>
        <v>1.04</v>
      </c>
      <c r="AD1540" s="165" t="str">
        <f>IF(BetTable[O2]="","",#REF!/BetTable[TS])</f>
        <v/>
      </c>
      <c r="AE1540" s="165" t="str">
        <f>IFERROR(IF(BetTable[Sport]="","",#REF!/BetTable[TS]),"")</f>
        <v/>
      </c>
      <c r="AF1540" s="164">
        <f>IF(BetTable[Outcome]="Win",BetTable[WBA1-Commission],IF(BetTable[Outcome]="Win Half Stake",(BetTable[Stake]/2)+BetTable[WBA1-Commission]/2,IF(BetTable[Outcome]="Lose Half Stake",BetTable[Stake]/2,IF(BetTable[Outcome]="Lose",0,IF(BetTable[Outcome]="Void",BetTable[Stake],)))))</f>
        <v>124.44</v>
      </c>
      <c r="AG1540" s="164">
        <f>IF(BetTable[Outcome2]="Win",BetTable[WBA2-Commission],IF(BetTable[Outcome2]="Win Half Stake",(BetTable[S2]/2)+BetTable[WBA2-Commission]/2,IF(BetTable[Outcome2]="Lose Half Stake",BetTable[S2]/2,IF(BetTable[Outcome2]="Lose",0,IF(BetTable[Outcome2]="Void",BetTable[S2],)))))</f>
        <v>0</v>
      </c>
      <c r="AH1540" s="164">
        <f>IF(BetTable[Outcome3]="Win",BetTable[WBA3-Commission],IF(BetTable[Outcome3]="Win Half Stake",(BetTable[S3]/2)+BetTable[WBA3-Commission]/2,IF(BetTable[Outcome3]="Lose Half Stake",BetTable[S3]/2,IF(BetTable[Outcome3]="Lose",0,IF(BetTable[Outcome3]="Void",BetTable[S3],)))))</f>
        <v>0</v>
      </c>
      <c r="AI1540" s="168">
        <f>IF(BetTable[Outcome]="",AI1539,BetTable[Result]+AI1539)</f>
        <v>2431.3477499999995</v>
      </c>
      <c r="AJ1540" s="160"/>
    </row>
    <row r="1541" spans="1:36" x14ac:dyDescent="0.2">
      <c r="A1541" s="159" t="s">
        <v>3560</v>
      </c>
      <c r="B1541" s="160" t="s">
        <v>7</v>
      </c>
      <c r="C1541" s="161" t="s">
        <v>1714</v>
      </c>
      <c r="D1541" s="161"/>
      <c r="E1541" s="161"/>
      <c r="F1541" s="162"/>
      <c r="G1541" s="162"/>
      <c r="H1541" s="162"/>
      <c r="I1541" s="160" t="s">
        <v>3651</v>
      </c>
      <c r="J1541" s="163">
        <v>1.91</v>
      </c>
      <c r="K1541" s="163"/>
      <c r="L1541" s="163"/>
      <c r="M1541" s="164">
        <v>39</v>
      </c>
      <c r="N1541" s="164"/>
      <c r="O1541" s="164"/>
      <c r="P1541" s="159" t="s">
        <v>3652</v>
      </c>
      <c r="Q1541" s="159" t="s">
        <v>482</v>
      </c>
      <c r="R1541" s="159" t="s">
        <v>3653</v>
      </c>
      <c r="S1541" s="165">
        <v>5.5643459042953397E-2</v>
      </c>
      <c r="T1541" s="166" t="s">
        <v>372</v>
      </c>
      <c r="U1541" s="166"/>
      <c r="V1541" s="166"/>
      <c r="W1541" s="167">
        <f>IF(BetTable[Sport]="","",BetTable[Stake]+BetTable[S2]+BetTable[S3])</f>
        <v>39</v>
      </c>
      <c r="X1541" s="164">
        <f>IF(BetTable[Odds]="","",(BetTable[WBA1-Commission])-BetTable[TS])</f>
        <v>35.489999999999995</v>
      </c>
      <c r="Y1541" s="168">
        <f>IF(BetTable[Outcome]="","",BetTable[WBA1]+BetTable[WBA2]+BetTable[WBA3]-BetTable[TS])</f>
        <v>35.489999999999995</v>
      </c>
      <c r="Z1541" s="164">
        <f>(((BetTable[Odds]-1)*BetTable[Stake])*(1-(BetTable[Comm %]))+BetTable[Stake])</f>
        <v>74.489999999999995</v>
      </c>
      <c r="AA1541" s="164">
        <f>(((BetTable[O2]-1)*BetTable[S2])*(1-(BetTable[C% 2]))+BetTable[S2])</f>
        <v>0</v>
      </c>
      <c r="AB1541" s="164">
        <f>(((BetTable[O3]-1)*BetTable[S3])*(1-(BetTable[C% 3]))+BetTable[S3])</f>
        <v>0</v>
      </c>
      <c r="AC1541" s="165">
        <f>IFERROR(IF(BetTable[Sport]="","",BetTable[R1]/BetTable[TS]),"")</f>
        <v>0.90999999999999992</v>
      </c>
      <c r="AD1541" s="165" t="str">
        <f>IF(BetTable[O2]="","",#REF!/BetTable[TS])</f>
        <v/>
      </c>
      <c r="AE1541" s="165" t="str">
        <f>IFERROR(IF(BetTable[Sport]="","",#REF!/BetTable[TS]),"")</f>
        <v/>
      </c>
      <c r="AF1541" s="164">
        <f>IF(BetTable[Outcome]="Win",BetTable[WBA1-Commission],IF(BetTable[Outcome]="Win Half Stake",(BetTable[Stake]/2)+BetTable[WBA1-Commission]/2,IF(BetTable[Outcome]="Lose Half Stake",BetTable[Stake]/2,IF(BetTable[Outcome]="Lose",0,IF(BetTable[Outcome]="Void",BetTable[Stake],)))))</f>
        <v>74.489999999999995</v>
      </c>
      <c r="AG1541" s="164">
        <f>IF(BetTable[Outcome2]="Win",BetTable[WBA2-Commission],IF(BetTable[Outcome2]="Win Half Stake",(BetTable[S2]/2)+BetTable[WBA2-Commission]/2,IF(BetTable[Outcome2]="Lose Half Stake",BetTable[S2]/2,IF(BetTable[Outcome2]="Lose",0,IF(BetTable[Outcome2]="Void",BetTable[S2],)))))</f>
        <v>0</v>
      </c>
      <c r="AH1541" s="164">
        <f>IF(BetTable[Outcome3]="Win",BetTable[WBA3-Commission],IF(BetTable[Outcome3]="Win Half Stake",(BetTable[S3]/2)+BetTable[WBA3-Commission]/2,IF(BetTable[Outcome3]="Lose Half Stake",BetTable[S3]/2,IF(BetTable[Outcome3]="Lose",0,IF(BetTable[Outcome3]="Void",BetTable[S3],)))))</f>
        <v>0</v>
      </c>
      <c r="AI1541" s="168">
        <f>IF(BetTable[Outcome]="",AI1540,BetTable[Result]+AI1540)</f>
        <v>2466.8377499999992</v>
      </c>
      <c r="AJ1541" s="160"/>
    </row>
    <row r="1542" spans="1:36" x14ac:dyDescent="0.2">
      <c r="A1542" s="159" t="s">
        <v>3560</v>
      </c>
      <c r="B1542" s="160" t="s">
        <v>7</v>
      </c>
      <c r="C1542" s="161" t="s">
        <v>91</v>
      </c>
      <c r="D1542" s="161"/>
      <c r="E1542" s="161"/>
      <c r="F1542" s="162"/>
      <c r="G1542" s="162"/>
      <c r="H1542" s="162"/>
      <c r="I1542" s="160" t="s">
        <v>3654</v>
      </c>
      <c r="J1542" s="163">
        <v>1.8</v>
      </c>
      <c r="K1542" s="163"/>
      <c r="L1542" s="163"/>
      <c r="M1542" s="164">
        <v>64</v>
      </c>
      <c r="N1542" s="164"/>
      <c r="O1542" s="164"/>
      <c r="P1542" s="159" t="s">
        <v>3655</v>
      </c>
      <c r="Q1542" s="159" t="s">
        <v>1117</v>
      </c>
      <c r="R1542" s="159" t="s">
        <v>3656</v>
      </c>
      <c r="S1542" s="165">
        <v>4.1551025721649801E-2</v>
      </c>
      <c r="T1542" s="166" t="s">
        <v>382</v>
      </c>
      <c r="U1542" s="166"/>
      <c r="V1542" s="166"/>
      <c r="W1542" s="167">
        <f>IF(BetTable[Sport]="","",BetTable[Stake]+BetTable[S2]+BetTable[S3])</f>
        <v>64</v>
      </c>
      <c r="X1542" s="164">
        <f>IF(BetTable[Odds]="","",(BetTable[WBA1-Commission])-BetTable[TS])</f>
        <v>51.2</v>
      </c>
      <c r="Y1542" s="168">
        <f>IF(BetTable[Outcome]="","",BetTable[WBA1]+BetTable[WBA2]+BetTable[WBA3]-BetTable[TS])</f>
        <v>-64</v>
      </c>
      <c r="Z1542" s="164">
        <f>(((BetTable[Odds]-1)*BetTable[Stake])*(1-(BetTable[Comm %]))+BetTable[Stake])</f>
        <v>115.2</v>
      </c>
      <c r="AA1542" s="164">
        <f>(((BetTable[O2]-1)*BetTable[S2])*(1-(BetTable[C% 2]))+BetTable[S2])</f>
        <v>0</v>
      </c>
      <c r="AB1542" s="164">
        <f>(((BetTable[O3]-1)*BetTable[S3])*(1-(BetTable[C% 3]))+BetTable[S3])</f>
        <v>0</v>
      </c>
      <c r="AC1542" s="165">
        <f>IFERROR(IF(BetTable[Sport]="","",BetTable[R1]/BetTable[TS]),"")</f>
        <v>0.8</v>
      </c>
      <c r="AD1542" s="165" t="str">
        <f>IF(BetTable[O2]="","",#REF!/BetTable[TS])</f>
        <v/>
      </c>
      <c r="AE1542" s="165" t="str">
        <f>IFERROR(IF(BetTable[Sport]="","",#REF!/BetTable[TS]),"")</f>
        <v/>
      </c>
      <c r="AF1542" s="164">
        <f>IF(BetTable[Outcome]="Win",BetTable[WBA1-Commission],IF(BetTable[Outcome]="Win Half Stake",(BetTable[Stake]/2)+BetTable[WBA1-Commission]/2,IF(BetTable[Outcome]="Lose Half Stake",BetTable[Stake]/2,IF(BetTable[Outcome]="Lose",0,IF(BetTable[Outcome]="Void",BetTable[Stake],)))))</f>
        <v>0</v>
      </c>
      <c r="AG1542" s="164">
        <f>IF(BetTable[Outcome2]="Win",BetTable[WBA2-Commission],IF(BetTable[Outcome2]="Win Half Stake",(BetTable[S2]/2)+BetTable[WBA2-Commission]/2,IF(BetTable[Outcome2]="Lose Half Stake",BetTable[S2]/2,IF(BetTable[Outcome2]="Lose",0,IF(BetTable[Outcome2]="Void",BetTable[S2],)))))</f>
        <v>0</v>
      </c>
      <c r="AH1542" s="164">
        <f>IF(BetTable[Outcome3]="Win",BetTable[WBA3-Commission],IF(BetTable[Outcome3]="Win Half Stake",(BetTable[S3]/2)+BetTable[WBA3-Commission]/2,IF(BetTable[Outcome3]="Lose Half Stake",BetTable[S3]/2,IF(BetTable[Outcome3]="Lose",0,IF(BetTable[Outcome3]="Void",BetTable[S3],)))))</f>
        <v>0</v>
      </c>
      <c r="AI1542" s="168">
        <f>IF(BetTable[Outcome]="",AI1541,BetTable[Result]+AI1541)</f>
        <v>2402.8377499999992</v>
      </c>
      <c r="AJ1542" s="160"/>
    </row>
    <row r="1543" spans="1:36" x14ac:dyDescent="0.2">
      <c r="A1543" s="159" t="s">
        <v>3560</v>
      </c>
      <c r="B1543" s="160" t="s">
        <v>7</v>
      </c>
      <c r="C1543" s="161" t="s">
        <v>1714</v>
      </c>
      <c r="D1543" s="161"/>
      <c r="E1543" s="161"/>
      <c r="F1543" s="162"/>
      <c r="G1543" s="162"/>
      <c r="H1543" s="162"/>
      <c r="I1543" s="160" t="s">
        <v>3657</v>
      </c>
      <c r="J1543" s="163">
        <v>1.91</v>
      </c>
      <c r="K1543" s="163"/>
      <c r="L1543" s="163"/>
      <c r="M1543" s="164">
        <v>39</v>
      </c>
      <c r="N1543" s="164"/>
      <c r="O1543" s="164"/>
      <c r="P1543" s="159" t="s">
        <v>2083</v>
      </c>
      <c r="Q1543" s="159" t="s">
        <v>474</v>
      </c>
      <c r="R1543" s="159" t="s">
        <v>3658</v>
      </c>
      <c r="S1543" s="165">
        <v>3.4896939189363901E-2</v>
      </c>
      <c r="T1543" s="166" t="s">
        <v>382</v>
      </c>
      <c r="U1543" s="166"/>
      <c r="V1543" s="166"/>
      <c r="W1543" s="167">
        <f>IF(BetTable[Sport]="","",BetTable[Stake]+BetTable[S2]+BetTable[S3])</f>
        <v>39</v>
      </c>
      <c r="X1543" s="164">
        <f>IF(BetTable[Odds]="","",(BetTable[WBA1-Commission])-BetTable[TS])</f>
        <v>35.489999999999995</v>
      </c>
      <c r="Y1543" s="168">
        <f>IF(BetTable[Outcome]="","",BetTable[WBA1]+BetTable[WBA2]+BetTable[WBA3]-BetTable[TS])</f>
        <v>-39</v>
      </c>
      <c r="Z1543" s="164">
        <f>(((BetTable[Odds]-1)*BetTable[Stake])*(1-(BetTable[Comm %]))+BetTable[Stake])</f>
        <v>74.489999999999995</v>
      </c>
      <c r="AA1543" s="164">
        <f>(((BetTable[O2]-1)*BetTable[S2])*(1-(BetTable[C% 2]))+BetTable[S2])</f>
        <v>0</v>
      </c>
      <c r="AB1543" s="164">
        <f>(((BetTable[O3]-1)*BetTable[S3])*(1-(BetTable[C% 3]))+BetTable[S3])</f>
        <v>0</v>
      </c>
      <c r="AC1543" s="165">
        <f>IFERROR(IF(BetTable[Sport]="","",BetTable[R1]/BetTable[TS]),"")</f>
        <v>0.90999999999999992</v>
      </c>
      <c r="AD1543" s="165" t="str">
        <f>IF(BetTable[O2]="","",#REF!/BetTable[TS])</f>
        <v/>
      </c>
      <c r="AE1543" s="165" t="str">
        <f>IFERROR(IF(BetTable[Sport]="","",#REF!/BetTable[TS]),"")</f>
        <v/>
      </c>
      <c r="AF1543" s="164">
        <f>IF(BetTable[Outcome]="Win",BetTable[WBA1-Commission],IF(BetTable[Outcome]="Win Half Stake",(BetTable[Stake]/2)+BetTable[WBA1-Commission]/2,IF(BetTable[Outcome]="Lose Half Stake",BetTable[Stake]/2,IF(BetTable[Outcome]="Lose",0,IF(BetTable[Outcome]="Void",BetTable[Stake],)))))</f>
        <v>0</v>
      </c>
      <c r="AG1543" s="164">
        <f>IF(BetTable[Outcome2]="Win",BetTable[WBA2-Commission],IF(BetTable[Outcome2]="Win Half Stake",(BetTable[S2]/2)+BetTable[WBA2-Commission]/2,IF(BetTable[Outcome2]="Lose Half Stake",BetTable[S2]/2,IF(BetTable[Outcome2]="Lose",0,IF(BetTable[Outcome2]="Void",BetTable[S2],)))))</f>
        <v>0</v>
      </c>
      <c r="AH1543" s="164">
        <f>IF(BetTable[Outcome3]="Win",BetTable[WBA3-Commission],IF(BetTable[Outcome3]="Win Half Stake",(BetTable[S3]/2)+BetTable[WBA3-Commission]/2,IF(BetTable[Outcome3]="Lose Half Stake",BetTable[S3]/2,IF(BetTable[Outcome3]="Lose",0,IF(BetTable[Outcome3]="Void",BetTable[S3],)))))</f>
        <v>0</v>
      </c>
      <c r="AI1543" s="168">
        <f>IF(BetTable[Outcome]="",AI1542,BetTable[Result]+AI1542)</f>
        <v>2363.8377499999992</v>
      </c>
      <c r="AJ1543" s="160"/>
    </row>
    <row r="1544" spans="1:36" x14ac:dyDescent="0.2">
      <c r="A1544" s="159" t="s">
        <v>3560</v>
      </c>
      <c r="B1544" s="160" t="s">
        <v>200</v>
      </c>
      <c r="C1544" s="161" t="s">
        <v>1714</v>
      </c>
      <c r="D1544" s="161"/>
      <c r="E1544" s="161"/>
      <c r="F1544" s="162"/>
      <c r="G1544" s="162"/>
      <c r="H1544" s="162"/>
      <c r="I1544" s="160" t="s">
        <v>3659</v>
      </c>
      <c r="J1544" s="163">
        <v>1.85</v>
      </c>
      <c r="K1544" s="163"/>
      <c r="L1544" s="163"/>
      <c r="M1544" s="164">
        <v>51</v>
      </c>
      <c r="N1544" s="164"/>
      <c r="O1544" s="164"/>
      <c r="P1544" s="159" t="s">
        <v>498</v>
      </c>
      <c r="Q1544" s="159" t="s">
        <v>703</v>
      </c>
      <c r="R1544" s="159" t="s">
        <v>3660</v>
      </c>
      <c r="S1544" s="165">
        <v>2.2955191088165499E-2</v>
      </c>
      <c r="T1544" s="166" t="s">
        <v>372</v>
      </c>
      <c r="U1544" s="166"/>
      <c r="V1544" s="166"/>
      <c r="W1544" s="167">
        <f>IF(BetTable[Sport]="","",BetTable[Stake]+BetTable[S2]+BetTable[S3])</f>
        <v>51</v>
      </c>
      <c r="X1544" s="164">
        <f>IF(BetTable[Odds]="","",(BetTable[WBA1-Commission])-BetTable[TS])</f>
        <v>43.349999999999994</v>
      </c>
      <c r="Y1544" s="168">
        <f>IF(BetTable[Outcome]="","",BetTable[WBA1]+BetTable[WBA2]+BetTable[WBA3]-BetTable[TS])</f>
        <v>43.349999999999994</v>
      </c>
      <c r="Z1544" s="164">
        <f>(((BetTable[Odds]-1)*BetTable[Stake])*(1-(BetTable[Comm %]))+BetTable[Stake])</f>
        <v>94.35</v>
      </c>
      <c r="AA1544" s="164">
        <f>(((BetTable[O2]-1)*BetTable[S2])*(1-(BetTable[C% 2]))+BetTable[S2])</f>
        <v>0</v>
      </c>
      <c r="AB1544" s="164">
        <f>(((BetTable[O3]-1)*BetTable[S3])*(1-(BetTable[C% 3]))+BetTable[S3])</f>
        <v>0</v>
      </c>
      <c r="AC1544" s="165">
        <f>IFERROR(IF(BetTable[Sport]="","",BetTable[R1]/BetTable[TS]),"")</f>
        <v>0.84999999999999987</v>
      </c>
      <c r="AD1544" s="165" t="str">
        <f>IF(BetTable[O2]="","",#REF!/BetTable[TS])</f>
        <v/>
      </c>
      <c r="AE1544" s="165" t="str">
        <f>IFERROR(IF(BetTable[Sport]="","",#REF!/BetTable[TS]),"")</f>
        <v/>
      </c>
      <c r="AF1544" s="164">
        <f>IF(BetTable[Outcome]="Win",BetTable[WBA1-Commission],IF(BetTable[Outcome]="Win Half Stake",(BetTable[Stake]/2)+BetTable[WBA1-Commission]/2,IF(BetTable[Outcome]="Lose Half Stake",BetTable[Stake]/2,IF(BetTable[Outcome]="Lose",0,IF(BetTable[Outcome]="Void",BetTable[Stake],)))))</f>
        <v>94.35</v>
      </c>
      <c r="AG1544" s="164">
        <f>IF(BetTable[Outcome2]="Win",BetTable[WBA2-Commission],IF(BetTable[Outcome2]="Win Half Stake",(BetTable[S2]/2)+BetTable[WBA2-Commission]/2,IF(BetTable[Outcome2]="Lose Half Stake",BetTable[S2]/2,IF(BetTable[Outcome2]="Lose",0,IF(BetTable[Outcome2]="Void",BetTable[S2],)))))</f>
        <v>0</v>
      </c>
      <c r="AH1544" s="164">
        <f>IF(BetTable[Outcome3]="Win",BetTable[WBA3-Commission],IF(BetTable[Outcome3]="Win Half Stake",(BetTable[S3]/2)+BetTable[WBA3-Commission]/2,IF(BetTable[Outcome3]="Lose Half Stake",BetTable[S3]/2,IF(BetTable[Outcome3]="Lose",0,IF(BetTable[Outcome3]="Void",BetTable[S3],)))))</f>
        <v>0</v>
      </c>
      <c r="AI1544" s="168">
        <f>IF(BetTable[Outcome]="",AI1543,BetTable[Result]+AI1543)</f>
        <v>2407.1877499999991</v>
      </c>
      <c r="AJ1544" s="160"/>
    </row>
    <row r="1545" spans="1:36" x14ac:dyDescent="0.2">
      <c r="A1545" s="159" t="s">
        <v>3560</v>
      </c>
      <c r="B1545" s="160" t="s">
        <v>200</v>
      </c>
      <c r="C1545" s="161" t="s">
        <v>1714</v>
      </c>
      <c r="D1545" s="161"/>
      <c r="E1545" s="161"/>
      <c r="F1545" s="162"/>
      <c r="G1545" s="162"/>
      <c r="H1545" s="162"/>
      <c r="I1545" s="160" t="s">
        <v>3661</v>
      </c>
      <c r="J1545" s="163">
        <v>1.71</v>
      </c>
      <c r="K1545" s="163"/>
      <c r="L1545" s="163"/>
      <c r="M1545" s="164">
        <v>59</v>
      </c>
      <c r="N1545" s="164"/>
      <c r="O1545" s="164"/>
      <c r="P1545" s="159" t="s">
        <v>1345</v>
      </c>
      <c r="Q1545" s="159" t="s">
        <v>485</v>
      </c>
      <c r="R1545" s="159" t="s">
        <v>3662</v>
      </c>
      <c r="S1545" s="165">
        <v>2.2445255474452499E-2</v>
      </c>
      <c r="T1545" s="166" t="s">
        <v>372</v>
      </c>
      <c r="U1545" s="166"/>
      <c r="V1545" s="166"/>
      <c r="W1545" s="167">
        <f>IF(BetTable[Sport]="","",BetTable[Stake]+BetTable[S2]+BetTable[S3])</f>
        <v>59</v>
      </c>
      <c r="X1545" s="164">
        <f>IF(BetTable[Odds]="","",(BetTable[WBA1-Commission])-BetTable[TS])</f>
        <v>41.89</v>
      </c>
      <c r="Y1545" s="168">
        <f>IF(BetTable[Outcome]="","",BetTable[WBA1]+BetTable[WBA2]+BetTable[WBA3]-BetTable[TS])</f>
        <v>41.89</v>
      </c>
      <c r="Z1545" s="164">
        <f>(((BetTable[Odds]-1)*BetTable[Stake])*(1-(BetTable[Comm %]))+BetTable[Stake])</f>
        <v>100.89</v>
      </c>
      <c r="AA1545" s="164">
        <f>(((BetTable[O2]-1)*BetTable[S2])*(1-(BetTable[C% 2]))+BetTable[S2])</f>
        <v>0</v>
      </c>
      <c r="AB1545" s="164">
        <f>(((BetTable[O3]-1)*BetTable[S3])*(1-(BetTable[C% 3]))+BetTable[S3])</f>
        <v>0</v>
      </c>
      <c r="AC1545" s="165">
        <f>IFERROR(IF(BetTable[Sport]="","",BetTable[R1]/BetTable[TS]),"")</f>
        <v>0.71</v>
      </c>
      <c r="AD1545" s="165" t="str">
        <f>IF(BetTable[O2]="","",#REF!/BetTable[TS])</f>
        <v/>
      </c>
      <c r="AE1545" s="165" t="str">
        <f>IFERROR(IF(BetTable[Sport]="","",#REF!/BetTable[TS]),"")</f>
        <v/>
      </c>
      <c r="AF1545" s="164">
        <f>IF(BetTable[Outcome]="Win",BetTable[WBA1-Commission],IF(BetTable[Outcome]="Win Half Stake",(BetTable[Stake]/2)+BetTable[WBA1-Commission]/2,IF(BetTable[Outcome]="Lose Half Stake",BetTable[Stake]/2,IF(BetTable[Outcome]="Lose",0,IF(BetTable[Outcome]="Void",BetTable[Stake],)))))</f>
        <v>100.89</v>
      </c>
      <c r="AG1545" s="164">
        <f>IF(BetTable[Outcome2]="Win",BetTable[WBA2-Commission],IF(BetTable[Outcome2]="Win Half Stake",(BetTable[S2]/2)+BetTable[WBA2-Commission]/2,IF(BetTable[Outcome2]="Lose Half Stake",BetTable[S2]/2,IF(BetTable[Outcome2]="Lose",0,IF(BetTable[Outcome2]="Void",BetTable[S2],)))))</f>
        <v>0</v>
      </c>
      <c r="AH1545" s="164">
        <f>IF(BetTable[Outcome3]="Win",BetTable[WBA3-Commission],IF(BetTable[Outcome3]="Win Half Stake",(BetTable[S3]/2)+BetTable[WBA3-Commission]/2,IF(BetTable[Outcome3]="Lose Half Stake",BetTable[S3]/2,IF(BetTable[Outcome3]="Lose",0,IF(BetTable[Outcome3]="Void",BetTable[S3],)))))</f>
        <v>0</v>
      </c>
      <c r="AI1545" s="168">
        <f>IF(BetTable[Outcome]="",AI1544,BetTable[Result]+AI1544)</f>
        <v>2449.077749999999</v>
      </c>
      <c r="AJ1545" s="160"/>
    </row>
    <row r="1546" spans="1:36" x14ac:dyDescent="0.2">
      <c r="A1546" s="159" t="s">
        <v>3560</v>
      </c>
      <c r="B1546" s="160" t="s">
        <v>7</v>
      </c>
      <c r="C1546" s="161" t="s">
        <v>91</v>
      </c>
      <c r="D1546" s="161"/>
      <c r="E1546" s="161"/>
      <c r="F1546" s="162"/>
      <c r="G1546" s="162"/>
      <c r="H1546" s="162"/>
      <c r="I1546" s="160" t="s">
        <v>3638</v>
      </c>
      <c r="J1546" s="163">
        <v>2.0299999999999998</v>
      </c>
      <c r="K1546" s="163"/>
      <c r="L1546" s="163"/>
      <c r="M1546" s="164">
        <v>53</v>
      </c>
      <c r="N1546" s="164"/>
      <c r="O1546" s="164"/>
      <c r="P1546" s="159" t="s">
        <v>1268</v>
      </c>
      <c r="Q1546" s="159" t="s">
        <v>482</v>
      </c>
      <c r="R1546" s="159" t="s">
        <v>3663</v>
      </c>
      <c r="S1546" s="165">
        <v>2.9079296652377701E-2</v>
      </c>
      <c r="T1546" s="166" t="s">
        <v>382</v>
      </c>
      <c r="U1546" s="166"/>
      <c r="V1546" s="166"/>
      <c r="W1546" s="167">
        <f>IF(BetTable[Sport]="","",BetTable[Stake]+BetTable[S2]+BetTable[S3])</f>
        <v>53</v>
      </c>
      <c r="X1546" s="164">
        <f>IF(BetTable[Odds]="","",(BetTable[WBA1-Commission])-BetTable[TS])</f>
        <v>54.589999999999989</v>
      </c>
      <c r="Y1546" s="168">
        <f>IF(BetTable[Outcome]="","",BetTable[WBA1]+BetTable[WBA2]+BetTable[WBA3]-BetTable[TS])</f>
        <v>-53</v>
      </c>
      <c r="Z1546" s="164">
        <f>(((BetTable[Odds]-1)*BetTable[Stake])*(1-(BetTable[Comm %]))+BetTable[Stake])</f>
        <v>107.58999999999999</v>
      </c>
      <c r="AA1546" s="164">
        <f>(((BetTable[O2]-1)*BetTable[S2])*(1-(BetTable[C% 2]))+BetTable[S2])</f>
        <v>0</v>
      </c>
      <c r="AB1546" s="164">
        <f>(((BetTable[O3]-1)*BetTable[S3])*(1-(BetTable[C% 3]))+BetTable[S3])</f>
        <v>0</v>
      </c>
      <c r="AC1546" s="165">
        <f>IFERROR(IF(BetTable[Sport]="","",BetTable[R1]/BetTable[TS]),"")</f>
        <v>1.0299999999999998</v>
      </c>
      <c r="AD1546" s="165" t="str">
        <f>IF(BetTable[O2]="","",#REF!/BetTable[TS])</f>
        <v/>
      </c>
      <c r="AE1546" s="165" t="str">
        <f>IFERROR(IF(BetTable[Sport]="","",#REF!/BetTable[TS]),"")</f>
        <v/>
      </c>
      <c r="AF1546" s="164">
        <f>IF(BetTable[Outcome]="Win",BetTable[WBA1-Commission],IF(BetTable[Outcome]="Win Half Stake",(BetTable[Stake]/2)+BetTable[WBA1-Commission]/2,IF(BetTable[Outcome]="Lose Half Stake",BetTable[Stake]/2,IF(BetTable[Outcome]="Lose",0,IF(BetTable[Outcome]="Void",BetTable[Stake],)))))</f>
        <v>0</v>
      </c>
      <c r="AG1546" s="164">
        <f>IF(BetTable[Outcome2]="Win",BetTable[WBA2-Commission],IF(BetTable[Outcome2]="Win Half Stake",(BetTable[S2]/2)+BetTable[WBA2-Commission]/2,IF(BetTable[Outcome2]="Lose Half Stake",BetTable[S2]/2,IF(BetTable[Outcome2]="Lose",0,IF(BetTable[Outcome2]="Void",BetTable[S2],)))))</f>
        <v>0</v>
      </c>
      <c r="AH1546" s="164">
        <f>IF(BetTable[Outcome3]="Win",BetTable[WBA3-Commission],IF(BetTable[Outcome3]="Win Half Stake",(BetTable[S3]/2)+BetTable[WBA3-Commission]/2,IF(BetTable[Outcome3]="Lose Half Stake",BetTable[S3]/2,IF(BetTable[Outcome3]="Lose",0,IF(BetTable[Outcome3]="Void",BetTable[S3],)))))</f>
        <v>0</v>
      </c>
      <c r="AI1546" s="168">
        <f>IF(BetTable[Outcome]="",AI1545,BetTable[Result]+AI1545)</f>
        <v>2396.077749999999</v>
      </c>
      <c r="AJ1546" s="160"/>
    </row>
    <row r="1547" spans="1:36" x14ac:dyDescent="0.2">
      <c r="A1547" s="159" t="s">
        <v>3560</v>
      </c>
      <c r="B1547" s="160" t="s">
        <v>200</v>
      </c>
      <c r="C1547" s="161" t="s">
        <v>1714</v>
      </c>
      <c r="D1547" s="161"/>
      <c r="E1547" s="161"/>
      <c r="F1547" s="162"/>
      <c r="G1547" s="162"/>
      <c r="H1547" s="162"/>
      <c r="I1547" s="160" t="s">
        <v>3664</v>
      </c>
      <c r="J1547" s="163">
        <v>1.68</v>
      </c>
      <c r="K1547" s="163"/>
      <c r="L1547" s="163"/>
      <c r="M1547" s="164">
        <v>56</v>
      </c>
      <c r="N1547" s="164"/>
      <c r="O1547" s="164"/>
      <c r="P1547" s="159" t="s">
        <v>668</v>
      </c>
      <c r="Q1547" s="159" t="s">
        <v>677</v>
      </c>
      <c r="R1547" s="159" t="s">
        <v>3665</v>
      </c>
      <c r="S1547" s="165">
        <v>2.0339603973019101E-2</v>
      </c>
      <c r="T1547" s="166" t="s">
        <v>372</v>
      </c>
      <c r="U1547" s="166"/>
      <c r="V1547" s="166"/>
      <c r="W1547" s="167">
        <f>IF(BetTable[Sport]="","",BetTable[Stake]+BetTable[S2]+BetTable[S3])</f>
        <v>56</v>
      </c>
      <c r="X1547" s="164">
        <f>IF(BetTable[Odds]="","",(BetTable[WBA1-Commission])-BetTable[TS])</f>
        <v>38.08</v>
      </c>
      <c r="Y1547" s="168">
        <f>IF(BetTable[Outcome]="","",BetTable[WBA1]+BetTable[WBA2]+BetTable[WBA3]-BetTable[TS])</f>
        <v>38.08</v>
      </c>
      <c r="Z1547" s="164">
        <f>(((BetTable[Odds]-1)*BetTable[Stake])*(1-(BetTable[Comm %]))+BetTable[Stake])</f>
        <v>94.08</v>
      </c>
      <c r="AA1547" s="164">
        <f>(((BetTable[O2]-1)*BetTable[S2])*(1-(BetTable[C% 2]))+BetTable[S2])</f>
        <v>0</v>
      </c>
      <c r="AB1547" s="164">
        <f>(((BetTable[O3]-1)*BetTable[S3])*(1-(BetTable[C% 3]))+BetTable[S3])</f>
        <v>0</v>
      </c>
      <c r="AC1547" s="165">
        <f>IFERROR(IF(BetTable[Sport]="","",BetTable[R1]/BetTable[TS]),"")</f>
        <v>0.67999999999999994</v>
      </c>
      <c r="AD1547" s="165" t="str">
        <f>IF(BetTable[O2]="","",#REF!/BetTable[TS])</f>
        <v/>
      </c>
      <c r="AE1547" s="165" t="str">
        <f>IFERROR(IF(BetTable[Sport]="","",#REF!/BetTable[TS]),"")</f>
        <v/>
      </c>
      <c r="AF1547" s="164">
        <f>IF(BetTable[Outcome]="Win",BetTable[WBA1-Commission],IF(BetTable[Outcome]="Win Half Stake",(BetTable[Stake]/2)+BetTable[WBA1-Commission]/2,IF(BetTable[Outcome]="Lose Half Stake",BetTable[Stake]/2,IF(BetTable[Outcome]="Lose",0,IF(BetTable[Outcome]="Void",BetTable[Stake],)))))</f>
        <v>94.08</v>
      </c>
      <c r="AG1547" s="164">
        <f>IF(BetTable[Outcome2]="Win",BetTable[WBA2-Commission],IF(BetTable[Outcome2]="Win Half Stake",(BetTable[S2]/2)+BetTable[WBA2-Commission]/2,IF(BetTable[Outcome2]="Lose Half Stake",BetTable[S2]/2,IF(BetTable[Outcome2]="Lose",0,IF(BetTable[Outcome2]="Void",BetTable[S2],)))))</f>
        <v>0</v>
      </c>
      <c r="AH1547" s="164">
        <f>IF(BetTable[Outcome3]="Win",BetTable[WBA3-Commission],IF(BetTable[Outcome3]="Win Half Stake",(BetTable[S3]/2)+BetTable[WBA3-Commission]/2,IF(BetTable[Outcome3]="Lose Half Stake",BetTable[S3]/2,IF(BetTable[Outcome3]="Lose",0,IF(BetTable[Outcome3]="Void",BetTable[S3],)))))</f>
        <v>0</v>
      </c>
      <c r="AI1547" s="168">
        <f>IF(BetTable[Outcome]="",AI1546,BetTable[Result]+AI1546)</f>
        <v>2434.1577499999989</v>
      </c>
      <c r="AJ1547" s="160"/>
    </row>
    <row r="1548" spans="1:36" x14ac:dyDescent="0.2">
      <c r="A1548" s="159" t="s">
        <v>3560</v>
      </c>
      <c r="B1548" s="160" t="s">
        <v>7</v>
      </c>
      <c r="C1548" s="161" t="s">
        <v>91</v>
      </c>
      <c r="D1548" s="161"/>
      <c r="E1548" s="161"/>
      <c r="F1548" s="162"/>
      <c r="G1548" s="162"/>
      <c r="H1548" s="162"/>
      <c r="I1548" s="160" t="s">
        <v>3666</v>
      </c>
      <c r="J1548" s="163">
        <v>2.21</v>
      </c>
      <c r="K1548" s="163"/>
      <c r="L1548" s="163"/>
      <c r="M1548" s="164">
        <v>57</v>
      </c>
      <c r="N1548" s="164"/>
      <c r="O1548" s="164"/>
      <c r="P1548" s="159" t="s">
        <v>3156</v>
      </c>
      <c r="Q1548" s="159" t="s">
        <v>1842</v>
      </c>
      <c r="R1548" s="159" t="s">
        <v>3667</v>
      </c>
      <c r="S1548" s="165">
        <v>7.14958228512277E-2</v>
      </c>
      <c r="T1548" s="166" t="s">
        <v>382</v>
      </c>
      <c r="U1548" s="166"/>
      <c r="V1548" s="166"/>
      <c r="W1548" s="167">
        <f>IF(BetTable[Sport]="","",BetTable[Stake]+BetTable[S2]+BetTable[S3])</f>
        <v>57</v>
      </c>
      <c r="X1548" s="164">
        <f>IF(BetTable[Odds]="","",(BetTable[WBA1-Commission])-BetTable[TS])</f>
        <v>68.97</v>
      </c>
      <c r="Y1548" s="168">
        <f>IF(BetTable[Outcome]="","",BetTable[WBA1]+BetTable[WBA2]+BetTable[WBA3]-BetTable[TS])</f>
        <v>-57</v>
      </c>
      <c r="Z1548" s="164">
        <f>(((BetTable[Odds]-1)*BetTable[Stake])*(1-(BetTable[Comm %]))+BetTable[Stake])</f>
        <v>125.97</v>
      </c>
      <c r="AA1548" s="164">
        <f>(((BetTable[O2]-1)*BetTable[S2])*(1-(BetTable[C% 2]))+BetTable[S2])</f>
        <v>0</v>
      </c>
      <c r="AB1548" s="164">
        <f>(((BetTable[O3]-1)*BetTable[S3])*(1-(BetTable[C% 3]))+BetTable[S3])</f>
        <v>0</v>
      </c>
      <c r="AC1548" s="165">
        <f>IFERROR(IF(BetTable[Sport]="","",BetTable[R1]/BetTable[TS]),"")</f>
        <v>1.21</v>
      </c>
      <c r="AD1548" s="165" t="str">
        <f>IF(BetTable[O2]="","",#REF!/BetTable[TS])</f>
        <v/>
      </c>
      <c r="AE1548" s="165" t="str">
        <f>IFERROR(IF(BetTable[Sport]="","",#REF!/BetTable[TS]),"")</f>
        <v/>
      </c>
      <c r="AF1548" s="164">
        <f>IF(BetTable[Outcome]="Win",BetTable[WBA1-Commission],IF(BetTable[Outcome]="Win Half Stake",(BetTable[Stake]/2)+BetTable[WBA1-Commission]/2,IF(BetTable[Outcome]="Lose Half Stake",BetTable[Stake]/2,IF(BetTable[Outcome]="Lose",0,IF(BetTable[Outcome]="Void",BetTable[Stake],)))))</f>
        <v>0</v>
      </c>
      <c r="AG1548" s="164">
        <f>IF(BetTable[Outcome2]="Win",BetTable[WBA2-Commission],IF(BetTable[Outcome2]="Win Half Stake",(BetTable[S2]/2)+BetTable[WBA2-Commission]/2,IF(BetTable[Outcome2]="Lose Half Stake",BetTable[S2]/2,IF(BetTable[Outcome2]="Lose",0,IF(BetTable[Outcome2]="Void",BetTable[S2],)))))</f>
        <v>0</v>
      </c>
      <c r="AH1548" s="164">
        <f>IF(BetTable[Outcome3]="Win",BetTable[WBA3-Commission],IF(BetTable[Outcome3]="Win Half Stake",(BetTable[S3]/2)+BetTable[WBA3-Commission]/2,IF(BetTable[Outcome3]="Lose Half Stake",BetTable[S3]/2,IF(BetTable[Outcome3]="Lose",0,IF(BetTable[Outcome3]="Void",BetTable[S3],)))))</f>
        <v>0</v>
      </c>
      <c r="AI1548" s="168">
        <f>IF(BetTable[Outcome]="",AI1547,BetTable[Result]+AI1547)</f>
        <v>2377.1577499999989</v>
      </c>
      <c r="AJ1548" s="160"/>
    </row>
    <row r="1549" spans="1:36" x14ac:dyDescent="0.2">
      <c r="A1549" s="159" t="s">
        <v>3560</v>
      </c>
      <c r="B1549" s="160" t="s">
        <v>200</v>
      </c>
      <c r="C1549" s="161" t="s">
        <v>1714</v>
      </c>
      <c r="D1549" s="161"/>
      <c r="E1549" s="161"/>
      <c r="F1549" s="162"/>
      <c r="G1549" s="162"/>
      <c r="H1549" s="162"/>
      <c r="I1549" s="160" t="s">
        <v>3668</v>
      </c>
      <c r="J1549" s="163">
        <v>1.94</v>
      </c>
      <c r="K1549" s="163"/>
      <c r="L1549" s="163"/>
      <c r="M1549" s="164">
        <v>49</v>
      </c>
      <c r="N1549" s="164"/>
      <c r="O1549" s="164"/>
      <c r="P1549" s="159" t="s">
        <v>852</v>
      </c>
      <c r="Q1549" s="159" t="s">
        <v>461</v>
      </c>
      <c r="R1549" s="159" t="s">
        <v>3669</v>
      </c>
      <c r="S1549" s="165">
        <v>2.4377700470494802E-2</v>
      </c>
      <c r="T1549" s="166" t="s">
        <v>382</v>
      </c>
      <c r="U1549" s="166"/>
      <c r="V1549" s="166"/>
      <c r="W1549" s="167">
        <f>IF(BetTable[Sport]="","",BetTable[Stake]+BetTable[S2]+BetTable[S3])</f>
        <v>49</v>
      </c>
      <c r="X1549" s="164">
        <f>IF(BetTable[Odds]="","",(BetTable[WBA1-Commission])-BetTable[TS])</f>
        <v>46.06</v>
      </c>
      <c r="Y1549" s="168">
        <f>IF(BetTable[Outcome]="","",BetTable[WBA1]+BetTable[WBA2]+BetTable[WBA3]-BetTable[TS])</f>
        <v>-49</v>
      </c>
      <c r="Z1549" s="164">
        <f>(((BetTable[Odds]-1)*BetTable[Stake])*(1-(BetTable[Comm %]))+BetTable[Stake])</f>
        <v>95.06</v>
      </c>
      <c r="AA1549" s="164">
        <f>(((BetTable[O2]-1)*BetTable[S2])*(1-(BetTable[C% 2]))+BetTable[S2])</f>
        <v>0</v>
      </c>
      <c r="AB1549" s="164">
        <f>(((BetTable[O3]-1)*BetTable[S3])*(1-(BetTable[C% 3]))+BetTable[S3])</f>
        <v>0</v>
      </c>
      <c r="AC1549" s="165">
        <f>IFERROR(IF(BetTable[Sport]="","",BetTable[R1]/BetTable[TS]),"")</f>
        <v>0.94000000000000006</v>
      </c>
      <c r="AD1549" s="165" t="str">
        <f>IF(BetTable[O2]="","",#REF!/BetTable[TS])</f>
        <v/>
      </c>
      <c r="AE1549" s="165" t="str">
        <f>IFERROR(IF(BetTable[Sport]="","",#REF!/BetTable[TS]),"")</f>
        <v/>
      </c>
      <c r="AF1549" s="164">
        <f>IF(BetTable[Outcome]="Win",BetTable[WBA1-Commission],IF(BetTable[Outcome]="Win Half Stake",(BetTable[Stake]/2)+BetTable[WBA1-Commission]/2,IF(BetTable[Outcome]="Lose Half Stake",BetTable[Stake]/2,IF(BetTable[Outcome]="Lose",0,IF(BetTable[Outcome]="Void",BetTable[Stake],)))))</f>
        <v>0</v>
      </c>
      <c r="AG1549" s="164">
        <f>IF(BetTable[Outcome2]="Win",BetTable[WBA2-Commission],IF(BetTable[Outcome2]="Win Half Stake",(BetTable[S2]/2)+BetTable[WBA2-Commission]/2,IF(BetTable[Outcome2]="Lose Half Stake",BetTable[S2]/2,IF(BetTable[Outcome2]="Lose",0,IF(BetTable[Outcome2]="Void",BetTable[S2],)))))</f>
        <v>0</v>
      </c>
      <c r="AH1549" s="164">
        <f>IF(BetTable[Outcome3]="Win",BetTable[WBA3-Commission],IF(BetTable[Outcome3]="Win Half Stake",(BetTable[S3]/2)+BetTable[WBA3-Commission]/2,IF(BetTable[Outcome3]="Lose Half Stake",BetTable[S3]/2,IF(BetTable[Outcome3]="Lose",0,IF(BetTable[Outcome3]="Void",BetTable[S3],)))))</f>
        <v>0</v>
      </c>
      <c r="AI1549" s="168">
        <f>IF(BetTable[Outcome]="",AI1548,BetTable[Result]+AI1548)</f>
        <v>2328.1577499999989</v>
      </c>
      <c r="AJ1549" s="160"/>
    </row>
    <row r="1550" spans="1:36" x14ac:dyDescent="0.2">
      <c r="A1550" s="159" t="s">
        <v>3560</v>
      </c>
      <c r="B1550" s="160" t="s">
        <v>200</v>
      </c>
      <c r="C1550" s="161" t="s">
        <v>1714</v>
      </c>
      <c r="D1550" s="161"/>
      <c r="E1550" s="161"/>
      <c r="F1550" s="162"/>
      <c r="G1550" s="162"/>
      <c r="H1550" s="162"/>
      <c r="I1550" s="160" t="s">
        <v>3670</v>
      </c>
      <c r="J1550" s="163">
        <v>1.6</v>
      </c>
      <c r="K1550" s="163"/>
      <c r="L1550" s="163"/>
      <c r="M1550" s="164">
        <v>80</v>
      </c>
      <c r="N1550" s="164"/>
      <c r="O1550" s="164"/>
      <c r="P1550" s="159" t="s">
        <v>646</v>
      </c>
      <c r="Q1550" s="159" t="s">
        <v>621</v>
      </c>
      <c r="R1550" s="159" t="s">
        <v>3671</v>
      </c>
      <c r="S1550" s="165">
        <v>2.5688840694157399E-2</v>
      </c>
      <c r="T1550" s="166" t="s">
        <v>382</v>
      </c>
      <c r="U1550" s="166"/>
      <c r="V1550" s="166"/>
      <c r="W1550" s="167">
        <f>IF(BetTable[Sport]="","",BetTable[Stake]+BetTable[S2]+BetTable[S3])</f>
        <v>80</v>
      </c>
      <c r="X1550" s="164">
        <f>IF(BetTable[Odds]="","",(BetTable[WBA1-Commission])-BetTable[TS])</f>
        <v>48</v>
      </c>
      <c r="Y1550" s="168">
        <f>IF(BetTable[Outcome]="","",BetTable[WBA1]+BetTable[WBA2]+BetTable[WBA3]-BetTable[TS])</f>
        <v>-80</v>
      </c>
      <c r="Z1550" s="164">
        <f>(((BetTable[Odds]-1)*BetTable[Stake])*(1-(BetTable[Comm %]))+BetTable[Stake])</f>
        <v>128</v>
      </c>
      <c r="AA1550" s="164">
        <f>(((BetTable[O2]-1)*BetTable[S2])*(1-(BetTable[C% 2]))+BetTable[S2])</f>
        <v>0</v>
      </c>
      <c r="AB1550" s="164">
        <f>(((BetTable[O3]-1)*BetTable[S3])*(1-(BetTable[C% 3]))+BetTable[S3])</f>
        <v>0</v>
      </c>
      <c r="AC1550" s="165">
        <f>IFERROR(IF(BetTable[Sport]="","",BetTable[R1]/BetTable[TS]),"")</f>
        <v>0.6</v>
      </c>
      <c r="AD1550" s="165" t="str">
        <f>IF(BetTable[O2]="","",#REF!/BetTable[TS])</f>
        <v/>
      </c>
      <c r="AE1550" s="165" t="str">
        <f>IFERROR(IF(BetTable[Sport]="","",#REF!/BetTable[TS]),"")</f>
        <v/>
      </c>
      <c r="AF1550" s="164">
        <f>IF(BetTable[Outcome]="Win",BetTable[WBA1-Commission],IF(BetTable[Outcome]="Win Half Stake",(BetTable[Stake]/2)+BetTable[WBA1-Commission]/2,IF(BetTable[Outcome]="Lose Half Stake",BetTable[Stake]/2,IF(BetTable[Outcome]="Lose",0,IF(BetTable[Outcome]="Void",BetTable[Stake],)))))</f>
        <v>0</v>
      </c>
      <c r="AG1550" s="164">
        <f>IF(BetTable[Outcome2]="Win",BetTable[WBA2-Commission],IF(BetTable[Outcome2]="Win Half Stake",(BetTable[S2]/2)+BetTable[WBA2-Commission]/2,IF(BetTable[Outcome2]="Lose Half Stake",BetTable[S2]/2,IF(BetTable[Outcome2]="Lose",0,IF(BetTable[Outcome2]="Void",BetTable[S2],)))))</f>
        <v>0</v>
      </c>
      <c r="AH1550" s="164">
        <f>IF(BetTable[Outcome3]="Win",BetTable[WBA3-Commission],IF(BetTable[Outcome3]="Win Half Stake",(BetTable[S3]/2)+BetTable[WBA3-Commission]/2,IF(BetTable[Outcome3]="Lose Half Stake",BetTable[S3]/2,IF(BetTable[Outcome3]="Lose",0,IF(BetTable[Outcome3]="Void",BetTable[S3],)))))</f>
        <v>0</v>
      </c>
      <c r="AI1550" s="168">
        <f>IF(BetTable[Outcome]="",AI1549,BetTable[Result]+AI1549)</f>
        <v>2248.1577499999989</v>
      </c>
      <c r="AJ1550" s="160"/>
    </row>
    <row r="1551" spans="1:36" x14ac:dyDescent="0.2">
      <c r="A1551" s="159" t="s">
        <v>3560</v>
      </c>
      <c r="B1551" s="160" t="s">
        <v>200</v>
      </c>
      <c r="C1551" s="161" t="s">
        <v>1714</v>
      </c>
      <c r="D1551" s="161"/>
      <c r="E1551" s="161"/>
      <c r="F1551" s="162"/>
      <c r="G1551" s="162"/>
      <c r="H1551" s="162"/>
      <c r="I1551" s="160" t="s">
        <v>3672</v>
      </c>
      <c r="J1551" s="163">
        <v>2.13</v>
      </c>
      <c r="K1551" s="163"/>
      <c r="L1551" s="163"/>
      <c r="M1551" s="164">
        <v>41</v>
      </c>
      <c r="N1551" s="164"/>
      <c r="O1551" s="164"/>
      <c r="P1551" s="159" t="s">
        <v>351</v>
      </c>
      <c r="Q1551" s="159" t="s">
        <v>495</v>
      </c>
      <c r="R1551" s="159" t="s">
        <v>3673</v>
      </c>
      <c r="S1551" s="165">
        <v>2.48423904277465E-2</v>
      </c>
      <c r="T1551" s="166" t="s">
        <v>549</v>
      </c>
      <c r="U1551" s="166"/>
      <c r="V1551" s="166"/>
      <c r="W1551" s="167">
        <f>IF(BetTable[Sport]="","",BetTable[Stake]+BetTable[S2]+BetTable[S3])</f>
        <v>41</v>
      </c>
      <c r="X1551" s="164">
        <f>IF(BetTable[Odds]="","",(BetTable[WBA1-Commission])-BetTable[TS])</f>
        <v>46.33</v>
      </c>
      <c r="Y1551" s="168">
        <f>IF(BetTable[Outcome]="","",BetTable[WBA1]+BetTable[WBA2]+BetTable[WBA3]-BetTable[TS])</f>
        <v>-20.5</v>
      </c>
      <c r="Z1551" s="164">
        <f>(((BetTable[Odds]-1)*BetTable[Stake])*(1-(BetTable[Comm %]))+BetTable[Stake])</f>
        <v>87.33</v>
      </c>
      <c r="AA1551" s="164">
        <f>(((BetTable[O2]-1)*BetTable[S2])*(1-(BetTable[C% 2]))+BetTable[S2])</f>
        <v>0</v>
      </c>
      <c r="AB1551" s="164">
        <f>(((BetTable[O3]-1)*BetTable[S3])*(1-(BetTable[C% 3]))+BetTable[S3])</f>
        <v>0</v>
      </c>
      <c r="AC1551" s="165">
        <f>IFERROR(IF(BetTable[Sport]="","",BetTable[R1]/BetTable[TS]),"")</f>
        <v>1.1299999999999999</v>
      </c>
      <c r="AD1551" s="165" t="str">
        <f>IF(BetTable[O2]="","",#REF!/BetTable[TS])</f>
        <v/>
      </c>
      <c r="AE1551" s="165" t="str">
        <f>IFERROR(IF(BetTable[Sport]="","",#REF!/BetTable[TS]),"")</f>
        <v/>
      </c>
      <c r="AF1551" s="164">
        <f>IF(BetTable[Outcome]="Win",BetTable[WBA1-Commission],IF(BetTable[Outcome]="Win Half Stake",(BetTable[Stake]/2)+BetTable[WBA1-Commission]/2,IF(BetTable[Outcome]="Lose Half Stake",BetTable[Stake]/2,IF(BetTable[Outcome]="Lose",0,IF(BetTable[Outcome]="Void",BetTable[Stake],)))))</f>
        <v>20.5</v>
      </c>
      <c r="AG1551" s="164">
        <f>IF(BetTable[Outcome2]="Win",BetTable[WBA2-Commission],IF(BetTable[Outcome2]="Win Half Stake",(BetTable[S2]/2)+BetTable[WBA2-Commission]/2,IF(BetTable[Outcome2]="Lose Half Stake",BetTable[S2]/2,IF(BetTable[Outcome2]="Lose",0,IF(BetTable[Outcome2]="Void",BetTable[S2],)))))</f>
        <v>0</v>
      </c>
      <c r="AH1551" s="164">
        <f>IF(BetTable[Outcome3]="Win",BetTable[WBA3-Commission],IF(BetTable[Outcome3]="Win Half Stake",(BetTable[S3]/2)+BetTable[WBA3-Commission]/2,IF(BetTable[Outcome3]="Lose Half Stake",BetTable[S3]/2,IF(BetTable[Outcome3]="Lose",0,IF(BetTable[Outcome3]="Void",BetTable[S3],)))))</f>
        <v>0</v>
      </c>
      <c r="AI1551" s="168">
        <f>IF(BetTable[Outcome]="",AI1550,BetTable[Result]+AI1550)</f>
        <v>2227.6577499999989</v>
      </c>
      <c r="AJ1551" s="160"/>
    </row>
    <row r="1552" spans="1:36" x14ac:dyDescent="0.2">
      <c r="A1552" s="159" t="s">
        <v>3560</v>
      </c>
      <c r="B1552" s="160" t="s">
        <v>200</v>
      </c>
      <c r="C1552" s="161" t="s">
        <v>1714</v>
      </c>
      <c r="D1552" s="161"/>
      <c r="E1552" s="161"/>
      <c r="F1552" s="162"/>
      <c r="G1552" s="162"/>
      <c r="H1552" s="162"/>
      <c r="I1552" s="160" t="s">
        <v>3674</v>
      </c>
      <c r="J1552" s="163">
        <v>1.7</v>
      </c>
      <c r="K1552" s="163"/>
      <c r="L1552" s="163"/>
      <c r="M1552" s="164">
        <v>52</v>
      </c>
      <c r="N1552" s="164"/>
      <c r="O1552" s="164"/>
      <c r="P1552" s="159" t="s">
        <v>668</v>
      </c>
      <c r="Q1552" s="159" t="s">
        <v>482</v>
      </c>
      <c r="R1552" s="159" t="s">
        <v>3675</v>
      </c>
      <c r="S1552" s="165">
        <v>1.9533051156928698E-2</v>
      </c>
      <c r="T1552" s="166" t="s">
        <v>372</v>
      </c>
      <c r="U1552" s="166"/>
      <c r="V1552" s="166"/>
      <c r="W1552" s="167">
        <f>IF(BetTable[Sport]="","",BetTable[Stake]+BetTable[S2]+BetTable[S3])</f>
        <v>52</v>
      </c>
      <c r="X1552" s="164">
        <f>IF(BetTable[Odds]="","",(BetTable[WBA1-Commission])-BetTable[TS])</f>
        <v>36.400000000000006</v>
      </c>
      <c r="Y1552" s="168">
        <f>IF(BetTable[Outcome]="","",BetTable[WBA1]+BetTable[WBA2]+BetTable[WBA3]-BetTable[TS])</f>
        <v>36.400000000000006</v>
      </c>
      <c r="Z1552" s="164">
        <f>(((BetTable[Odds]-1)*BetTable[Stake])*(1-(BetTable[Comm %]))+BetTable[Stake])</f>
        <v>88.4</v>
      </c>
      <c r="AA1552" s="164">
        <f>(((BetTable[O2]-1)*BetTable[S2])*(1-(BetTable[C% 2]))+BetTable[S2])</f>
        <v>0</v>
      </c>
      <c r="AB1552" s="164">
        <f>(((BetTable[O3]-1)*BetTable[S3])*(1-(BetTable[C% 3]))+BetTable[S3])</f>
        <v>0</v>
      </c>
      <c r="AC1552" s="165">
        <f>IFERROR(IF(BetTable[Sport]="","",BetTable[R1]/BetTable[TS]),"")</f>
        <v>0.70000000000000007</v>
      </c>
      <c r="AD1552" s="165" t="str">
        <f>IF(BetTable[O2]="","",#REF!/BetTable[TS])</f>
        <v/>
      </c>
      <c r="AE1552" s="165" t="str">
        <f>IFERROR(IF(BetTable[Sport]="","",#REF!/BetTable[TS]),"")</f>
        <v/>
      </c>
      <c r="AF1552" s="164">
        <f>IF(BetTable[Outcome]="Win",BetTable[WBA1-Commission],IF(BetTable[Outcome]="Win Half Stake",(BetTable[Stake]/2)+BetTable[WBA1-Commission]/2,IF(BetTable[Outcome]="Lose Half Stake",BetTable[Stake]/2,IF(BetTable[Outcome]="Lose",0,IF(BetTable[Outcome]="Void",BetTable[Stake],)))))</f>
        <v>88.4</v>
      </c>
      <c r="AG1552" s="164">
        <f>IF(BetTable[Outcome2]="Win",BetTable[WBA2-Commission],IF(BetTable[Outcome2]="Win Half Stake",(BetTable[S2]/2)+BetTable[WBA2-Commission]/2,IF(BetTable[Outcome2]="Lose Half Stake",BetTable[S2]/2,IF(BetTable[Outcome2]="Lose",0,IF(BetTable[Outcome2]="Void",BetTable[S2],)))))</f>
        <v>0</v>
      </c>
      <c r="AH1552" s="164">
        <f>IF(BetTable[Outcome3]="Win",BetTable[WBA3-Commission],IF(BetTable[Outcome3]="Win Half Stake",(BetTable[S3]/2)+BetTable[WBA3-Commission]/2,IF(BetTable[Outcome3]="Lose Half Stake",BetTable[S3]/2,IF(BetTable[Outcome3]="Lose",0,IF(BetTable[Outcome3]="Void",BetTable[S3],)))))</f>
        <v>0</v>
      </c>
      <c r="AI1552" s="168">
        <f>IF(BetTable[Outcome]="",AI1551,BetTable[Result]+AI1551)</f>
        <v>2264.057749999999</v>
      </c>
      <c r="AJ1552" s="160"/>
    </row>
    <row r="1553" spans="1:36" x14ac:dyDescent="0.2">
      <c r="A1553" s="159" t="s">
        <v>3560</v>
      </c>
      <c r="B1553" s="160" t="s">
        <v>7</v>
      </c>
      <c r="C1553" s="161" t="s">
        <v>1714</v>
      </c>
      <c r="D1553" s="161"/>
      <c r="E1553" s="161"/>
      <c r="F1553" s="162"/>
      <c r="G1553" s="162"/>
      <c r="H1553" s="162"/>
      <c r="I1553" s="160" t="s">
        <v>3676</v>
      </c>
      <c r="J1553" s="163">
        <v>1.91</v>
      </c>
      <c r="K1553" s="163"/>
      <c r="L1553" s="163"/>
      <c r="M1553" s="164">
        <v>39</v>
      </c>
      <c r="N1553" s="164"/>
      <c r="O1553" s="164"/>
      <c r="P1553" s="159" t="s">
        <v>2083</v>
      </c>
      <c r="Q1553" s="159" t="s">
        <v>1132</v>
      </c>
      <c r="R1553" s="159" t="s">
        <v>3677</v>
      </c>
      <c r="S1553" s="165">
        <v>2.0860757405068299E-2</v>
      </c>
      <c r="T1553" s="166" t="s">
        <v>382</v>
      </c>
      <c r="U1553" s="166"/>
      <c r="V1553" s="166"/>
      <c r="W1553" s="167">
        <f>IF(BetTable[Sport]="","",BetTable[Stake]+BetTable[S2]+BetTable[S3])</f>
        <v>39</v>
      </c>
      <c r="X1553" s="164">
        <f>IF(BetTable[Odds]="","",(BetTable[WBA1-Commission])-BetTable[TS])</f>
        <v>35.489999999999995</v>
      </c>
      <c r="Y1553" s="168">
        <f>IF(BetTable[Outcome]="","",BetTable[WBA1]+BetTable[WBA2]+BetTable[WBA3]-BetTable[TS])</f>
        <v>-39</v>
      </c>
      <c r="Z1553" s="164">
        <f>(((BetTable[Odds]-1)*BetTable[Stake])*(1-(BetTable[Comm %]))+BetTable[Stake])</f>
        <v>74.489999999999995</v>
      </c>
      <c r="AA1553" s="164">
        <f>(((BetTable[O2]-1)*BetTable[S2])*(1-(BetTable[C% 2]))+BetTable[S2])</f>
        <v>0</v>
      </c>
      <c r="AB1553" s="164">
        <f>(((BetTable[O3]-1)*BetTable[S3])*(1-(BetTable[C% 3]))+BetTable[S3])</f>
        <v>0</v>
      </c>
      <c r="AC1553" s="165">
        <f>IFERROR(IF(BetTable[Sport]="","",BetTable[R1]/BetTable[TS]),"")</f>
        <v>0.90999999999999992</v>
      </c>
      <c r="AD1553" s="165" t="str">
        <f>IF(BetTable[O2]="","",#REF!/BetTable[TS])</f>
        <v/>
      </c>
      <c r="AE1553" s="165" t="str">
        <f>IFERROR(IF(BetTable[Sport]="","",#REF!/BetTable[TS]),"")</f>
        <v/>
      </c>
      <c r="AF1553" s="164">
        <f>IF(BetTable[Outcome]="Win",BetTable[WBA1-Commission],IF(BetTable[Outcome]="Win Half Stake",(BetTable[Stake]/2)+BetTable[WBA1-Commission]/2,IF(BetTable[Outcome]="Lose Half Stake",BetTable[Stake]/2,IF(BetTable[Outcome]="Lose",0,IF(BetTable[Outcome]="Void",BetTable[Stake],)))))</f>
        <v>0</v>
      </c>
      <c r="AG1553" s="164">
        <f>IF(BetTable[Outcome2]="Win",BetTable[WBA2-Commission],IF(BetTable[Outcome2]="Win Half Stake",(BetTable[S2]/2)+BetTable[WBA2-Commission]/2,IF(BetTable[Outcome2]="Lose Half Stake",BetTable[S2]/2,IF(BetTable[Outcome2]="Lose",0,IF(BetTable[Outcome2]="Void",BetTable[S2],)))))</f>
        <v>0</v>
      </c>
      <c r="AH1553" s="164">
        <f>IF(BetTable[Outcome3]="Win",BetTable[WBA3-Commission],IF(BetTable[Outcome3]="Win Half Stake",(BetTable[S3]/2)+BetTable[WBA3-Commission]/2,IF(BetTable[Outcome3]="Lose Half Stake",BetTable[S3]/2,IF(BetTable[Outcome3]="Lose",0,IF(BetTable[Outcome3]="Void",BetTable[S3],)))))</f>
        <v>0</v>
      </c>
      <c r="AI1553" s="168">
        <f>IF(BetTable[Outcome]="",AI1552,BetTable[Result]+AI1552)</f>
        <v>2225.057749999999</v>
      </c>
      <c r="AJ1553" s="160"/>
    </row>
    <row r="1554" spans="1:36" x14ac:dyDescent="0.2">
      <c r="A1554" s="159" t="s">
        <v>3560</v>
      </c>
      <c r="B1554" s="160" t="s">
        <v>7</v>
      </c>
      <c r="C1554" s="161" t="s">
        <v>91</v>
      </c>
      <c r="D1554" s="161"/>
      <c r="E1554" s="161"/>
      <c r="F1554" s="162"/>
      <c r="G1554" s="162"/>
      <c r="H1554" s="162"/>
      <c r="I1554" s="160" t="s">
        <v>3648</v>
      </c>
      <c r="J1554" s="163">
        <v>1.85</v>
      </c>
      <c r="K1554" s="163"/>
      <c r="L1554" s="163"/>
      <c r="M1554" s="164">
        <v>46</v>
      </c>
      <c r="N1554" s="164"/>
      <c r="O1554" s="164"/>
      <c r="P1554" s="159" t="s">
        <v>3014</v>
      </c>
      <c r="Q1554" s="159" t="s">
        <v>482</v>
      </c>
      <c r="R1554" s="159" t="s">
        <v>3678</v>
      </c>
      <c r="S1554" s="165">
        <v>2.07612105467898E-2</v>
      </c>
      <c r="T1554" s="166" t="s">
        <v>382</v>
      </c>
      <c r="U1554" s="166"/>
      <c r="V1554" s="166"/>
      <c r="W1554" s="167">
        <f>IF(BetTable[Sport]="","",BetTable[Stake]+BetTable[S2]+BetTable[S3])</f>
        <v>46</v>
      </c>
      <c r="X1554" s="164">
        <f>IF(BetTable[Odds]="","",(BetTable[WBA1-Commission])-BetTable[TS])</f>
        <v>39.099999999999994</v>
      </c>
      <c r="Y1554" s="168">
        <f>IF(BetTable[Outcome]="","",BetTable[WBA1]+BetTable[WBA2]+BetTable[WBA3]-BetTable[TS])</f>
        <v>-46</v>
      </c>
      <c r="Z1554" s="164">
        <f>(((BetTable[Odds]-1)*BetTable[Stake])*(1-(BetTable[Comm %]))+BetTable[Stake])</f>
        <v>85.1</v>
      </c>
      <c r="AA1554" s="164">
        <f>(((BetTable[O2]-1)*BetTable[S2])*(1-(BetTable[C% 2]))+BetTable[S2])</f>
        <v>0</v>
      </c>
      <c r="AB1554" s="164">
        <f>(((BetTable[O3]-1)*BetTable[S3])*(1-(BetTable[C% 3]))+BetTable[S3])</f>
        <v>0</v>
      </c>
      <c r="AC1554" s="165">
        <f>IFERROR(IF(BetTable[Sport]="","",BetTable[R1]/BetTable[TS]),"")</f>
        <v>0.84999999999999987</v>
      </c>
      <c r="AD1554" s="165" t="str">
        <f>IF(BetTable[O2]="","",#REF!/BetTable[TS])</f>
        <v/>
      </c>
      <c r="AE1554" s="165" t="str">
        <f>IFERROR(IF(BetTable[Sport]="","",#REF!/BetTable[TS]),"")</f>
        <v/>
      </c>
      <c r="AF1554" s="164">
        <f>IF(BetTable[Outcome]="Win",BetTable[WBA1-Commission],IF(BetTable[Outcome]="Win Half Stake",(BetTable[Stake]/2)+BetTable[WBA1-Commission]/2,IF(BetTable[Outcome]="Lose Half Stake",BetTable[Stake]/2,IF(BetTable[Outcome]="Lose",0,IF(BetTable[Outcome]="Void",BetTable[Stake],)))))</f>
        <v>0</v>
      </c>
      <c r="AG1554" s="164">
        <f>IF(BetTable[Outcome2]="Win",BetTable[WBA2-Commission],IF(BetTable[Outcome2]="Win Half Stake",(BetTable[S2]/2)+BetTable[WBA2-Commission]/2,IF(BetTable[Outcome2]="Lose Half Stake",BetTable[S2]/2,IF(BetTable[Outcome2]="Lose",0,IF(BetTable[Outcome2]="Void",BetTable[S2],)))))</f>
        <v>0</v>
      </c>
      <c r="AH1554" s="164">
        <f>IF(BetTable[Outcome3]="Win",BetTable[WBA3-Commission],IF(BetTable[Outcome3]="Win Half Stake",(BetTable[S3]/2)+BetTable[WBA3-Commission]/2,IF(BetTable[Outcome3]="Lose Half Stake",BetTable[S3]/2,IF(BetTable[Outcome3]="Lose",0,IF(BetTable[Outcome3]="Void",BetTable[S3],)))))</f>
        <v>0</v>
      </c>
      <c r="AI1554" s="168">
        <f>IF(BetTable[Outcome]="",AI1553,BetTable[Result]+AI1553)</f>
        <v>2179.057749999999</v>
      </c>
      <c r="AJ1554" s="160"/>
    </row>
    <row r="1555" spans="1:36" x14ac:dyDescent="0.2">
      <c r="A1555" s="159" t="s">
        <v>3560</v>
      </c>
      <c r="B1555" s="160" t="s">
        <v>200</v>
      </c>
      <c r="C1555" s="161" t="s">
        <v>1714</v>
      </c>
      <c r="D1555" s="161"/>
      <c r="E1555" s="161"/>
      <c r="F1555" s="162"/>
      <c r="G1555" s="162"/>
      <c r="H1555" s="162"/>
      <c r="I1555" s="160" t="s">
        <v>3679</v>
      </c>
      <c r="J1555" s="163">
        <v>1.83</v>
      </c>
      <c r="K1555" s="163"/>
      <c r="L1555" s="163"/>
      <c r="M1555" s="164">
        <v>70</v>
      </c>
      <c r="N1555" s="164"/>
      <c r="O1555" s="164"/>
      <c r="P1555" s="159" t="s">
        <v>385</v>
      </c>
      <c r="Q1555" s="159" t="s">
        <v>1083</v>
      </c>
      <c r="R1555" s="159" t="s">
        <v>3680</v>
      </c>
      <c r="S1555" s="165">
        <v>3.0947669670160601E-2</v>
      </c>
      <c r="T1555" s="166" t="s">
        <v>382</v>
      </c>
      <c r="U1555" s="166"/>
      <c r="V1555" s="166"/>
      <c r="W1555" s="167">
        <f>IF(BetTable[Sport]="","",BetTable[Stake]+BetTable[S2]+BetTable[S3])</f>
        <v>70</v>
      </c>
      <c r="X1555" s="164">
        <f>IF(BetTable[Odds]="","",(BetTable[WBA1-Commission])-BetTable[TS])</f>
        <v>58.100000000000023</v>
      </c>
      <c r="Y1555" s="168">
        <f>IF(BetTable[Outcome]="","",BetTable[WBA1]+BetTable[WBA2]+BetTable[WBA3]-BetTable[TS])</f>
        <v>-70</v>
      </c>
      <c r="Z1555" s="164">
        <f>(((BetTable[Odds]-1)*BetTable[Stake])*(1-(BetTable[Comm %]))+BetTable[Stake])</f>
        <v>128.10000000000002</v>
      </c>
      <c r="AA1555" s="164">
        <f>(((BetTable[O2]-1)*BetTable[S2])*(1-(BetTable[C% 2]))+BetTable[S2])</f>
        <v>0</v>
      </c>
      <c r="AB1555" s="164">
        <f>(((BetTable[O3]-1)*BetTable[S3])*(1-(BetTable[C% 3]))+BetTable[S3])</f>
        <v>0</v>
      </c>
      <c r="AC1555" s="165">
        <f>IFERROR(IF(BetTable[Sport]="","",BetTable[R1]/BetTable[TS]),"")</f>
        <v>0.83000000000000029</v>
      </c>
      <c r="AD1555" s="165" t="str">
        <f>IF(BetTable[O2]="","",#REF!/BetTable[TS])</f>
        <v/>
      </c>
      <c r="AE1555" s="165" t="str">
        <f>IFERROR(IF(BetTable[Sport]="","",#REF!/BetTable[TS]),"")</f>
        <v/>
      </c>
      <c r="AF1555" s="164">
        <f>IF(BetTable[Outcome]="Win",BetTable[WBA1-Commission],IF(BetTable[Outcome]="Win Half Stake",(BetTable[Stake]/2)+BetTable[WBA1-Commission]/2,IF(BetTable[Outcome]="Lose Half Stake",BetTable[Stake]/2,IF(BetTable[Outcome]="Lose",0,IF(BetTable[Outcome]="Void",BetTable[Stake],)))))</f>
        <v>0</v>
      </c>
      <c r="AG1555" s="164">
        <f>IF(BetTable[Outcome2]="Win",BetTable[WBA2-Commission],IF(BetTable[Outcome2]="Win Half Stake",(BetTable[S2]/2)+BetTable[WBA2-Commission]/2,IF(BetTable[Outcome2]="Lose Half Stake",BetTable[S2]/2,IF(BetTable[Outcome2]="Lose",0,IF(BetTable[Outcome2]="Void",BetTable[S2],)))))</f>
        <v>0</v>
      </c>
      <c r="AH1555" s="164">
        <f>IF(BetTable[Outcome3]="Win",BetTable[WBA3-Commission],IF(BetTable[Outcome3]="Win Half Stake",(BetTable[S3]/2)+BetTable[WBA3-Commission]/2,IF(BetTable[Outcome3]="Lose Half Stake",BetTable[S3]/2,IF(BetTable[Outcome3]="Lose",0,IF(BetTable[Outcome3]="Void",BetTable[S3],)))))</f>
        <v>0</v>
      </c>
      <c r="AI1555" s="168">
        <f>IF(BetTable[Outcome]="",AI1554,BetTable[Result]+AI1554)</f>
        <v>2109.057749999999</v>
      </c>
      <c r="AJ1555" s="160"/>
    </row>
    <row r="1556" spans="1:36" x14ac:dyDescent="0.2">
      <c r="A1556" s="159" t="s">
        <v>3560</v>
      </c>
      <c r="B1556" s="160" t="s">
        <v>200</v>
      </c>
      <c r="C1556" s="161" t="s">
        <v>1714</v>
      </c>
      <c r="D1556" s="161"/>
      <c r="E1556" s="161"/>
      <c r="F1556" s="162"/>
      <c r="G1556" s="162"/>
      <c r="H1556" s="162"/>
      <c r="I1556" s="160" t="s">
        <v>3681</v>
      </c>
      <c r="J1556" s="163">
        <v>1.93</v>
      </c>
      <c r="K1556" s="163"/>
      <c r="L1556" s="163"/>
      <c r="M1556" s="164">
        <v>42</v>
      </c>
      <c r="N1556" s="164"/>
      <c r="O1556" s="164"/>
      <c r="P1556" s="159" t="s">
        <v>360</v>
      </c>
      <c r="Q1556" s="159" t="s">
        <v>503</v>
      </c>
      <c r="R1556" s="159" t="s">
        <v>3682</v>
      </c>
      <c r="S1556" s="165">
        <v>2.0632886073096601E-2</v>
      </c>
      <c r="T1556" s="166" t="s">
        <v>382</v>
      </c>
      <c r="U1556" s="166"/>
      <c r="V1556" s="166"/>
      <c r="W1556" s="167">
        <f>IF(BetTable[Sport]="","",BetTable[Stake]+BetTable[S2]+BetTable[S3])</f>
        <v>42</v>
      </c>
      <c r="X1556" s="164">
        <f>IF(BetTable[Odds]="","",(BetTable[WBA1-Commission])-BetTable[TS])</f>
        <v>39.06</v>
      </c>
      <c r="Y1556" s="168">
        <f>IF(BetTable[Outcome]="","",BetTable[WBA1]+BetTable[WBA2]+BetTable[WBA3]-BetTable[TS])</f>
        <v>-42</v>
      </c>
      <c r="Z1556" s="164">
        <f>(((BetTable[Odds]-1)*BetTable[Stake])*(1-(BetTable[Comm %]))+BetTable[Stake])</f>
        <v>81.06</v>
      </c>
      <c r="AA1556" s="164">
        <f>(((BetTable[O2]-1)*BetTable[S2])*(1-(BetTable[C% 2]))+BetTable[S2])</f>
        <v>0</v>
      </c>
      <c r="AB1556" s="164">
        <f>(((BetTable[O3]-1)*BetTable[S3])*(1-(BetTable[C% 3]))+BetTable[S3])</f>
        <v>0</v>
      </c>
      <c r="AC1556" s="165">
        <f>IFERROR(IF(BetTable[Sport]="","",BetTable[R1]/BetTable[TS]),"")</f>
        <v>0.93</v>
      </c>
      <c r="AD1556" s="165" t="str">
        <f>IF(BetTable[O2]="","",#REF!/BetTable[TS])</f>
        <v/>
      </c>
      <c r="AE1556" s="165" t="str">
        <f>IFERROR(IF(BetTable[Sport]="","",#REF!/BetTable[TS]),"")</f>
        <v/>
      </c>
      <c r="AF1556" s="164">
        <f>IF(BetTable[Outcome]="Win",BetTable[WBA1-Commission],IF(BetTable[Outcome]="Win Half Stake",(BetTable[Stake]/2)+BetTable[WBA1-Commission]/2,IF(BetTable[Outcome]="Lose Half Stake",BetTable[Stake]/2,IF(BetTable[Outcome]="Lose",0,IF(BetTable[Outcome]="Void",BetTable[Stake],)))))</f>
        <v>0</v>
      </c>
      <c r="AG1556" s="164">
        <f>IF(BetTable[Outcome2]="Win",BetTable[WBA2-Commission],IF(BetTable[Outcome2]="Win Half Stake",(BetTable[S2]/2)+BetTable[WBA2-Commission]/2,IF(BetTable[Outcome2]="Lose Half Stake",BetTable[S2]/2,IF(BetTable[Outcome2]="Lose",0,IF(BetTable[Outcome2]="Void",BetTable[S2],)))))</f>
        <v>0</v>
      </c>
      <c r="AH1556" s="164">
        <f>IF(BetTable[Outcome3]="Win",BetTable[WBA3-Commission],IF(BetTable[Outcome3]="Win Half Stake",(BetTable[S3]/2)+BetTable[WBA3-Commission]/2,IF(BetTable[Outcome3]="Lose Half Stake",BetTable[S3]/2,IF(BetTable[Outcome3]="Lose",0,IF(BetTable[Outcome3]="Void",BetTable[S3],)))))</f>
        <v>0</v>
      </c>
      <c r="AI1556" s="168">
        <f>IF(BetTable[Outcome]="",AI1555,BetTable[Result]+AI1555)</f>
        <v>2067.057749999999</v>
      </c>
      <c r="AJ1556" s="160"/>
    </row>
    <row r="1557" spans="1:36" x14ac:dyDescent="0.2">
      <c r="A1557" s="159" t="s">
        <v>3560</v>
      </c>
      <c r="B1557" s="160" t="s">
        <v>7</v>
      </c>
      <c r="C1557" s="161" t="s">
        <v>91</v>
      </c>
      <c r="D1557" s="161"/>
      <c r="E1557" s="161"/>
      <c r="F1557" s="162"/>
      <c r="G1557" s="162"/>
      <c r="H1557" s="162"/>
      <c r="I1557" s="160" t="s">
        <v>3683</v>
      </c>
      <c r="J1557" s="163">
        <v>1.86</v>
      </c>
      <c r="K1557" s="163"/>
      <c r="L1557" s="163"/>
      <c r="M1557" s="164">
        <v>61</v>
      </c>
      <c r="N1557" s="164"/>
      <c r="O1557" s="164"/>
      <c r="P1557" s="159" t="s">
        <v>3684</v>
      </c>
      <c r="Q1557" s="159" t="s">
        <v>482</v>
      </c>
      <c r="R1557" s="159" t="s">
        <v>3685</v>
      </c>
      <c r="S1557" s="165">
        <v>2.7984253647386902E-2</v>
      </c>
      <c r="T1557" s="166" t="s">
        <v>382</v>
      </c>
      <c r="U1557" s="166"/>
      <c r="V1557" s="166"/>
      <c r="W1557" s="167">
        <f>IF(BetTable[Sport]="","",BetTable[Stake]+BetTable[S2]+BetTable[S3])</f>
        <v>61</v>
      </c>
      <c r="X1557" s="164">
        <f>IF(BetTable[Odds]="","",(BetTable[WBA1-Commission])-BetTable[TS])</f>
        <v>52.460000000000008</v>
      </c>
      <c r="Y1557" s="168">
        <f>IF(BetTable[Outcome]="","",BetTable[WBA1]+BetTable[WBA2]+BetTable[WBA3]-BetTable[TS])</f>
        <v>-61</v>
      </c>
      <c r="Z1557" s="164">
        <f>(((BetTable[Odds]-1)*BetTable[Stake])*(1-(BetTable[Comm %]))+BetTable[Stake])</f>
        <v>113.46000000000001</v>
      </c>
      <c r="AA1557" s="164">
        <f>(((BetTable[O2]-1)*BetTable[S2])*(1-(BetTable[C% 2]))+BetTable[S2])</f>
        <v>0</v>
      </c>
      <c r="AB1557" s="164">
        <f>(((BetTable[O3]-1)*BetTable[S3])*(1-(BetTable[C% 3]))+BetTable[S3])</f>
        <v>0</v>
      </c>
      <c r="AC1557" s="165">
        <f>IFERROR(IF(BetTable[Sport]="","",BetTable[R1]/BetTable[TS]),"")</f>
        <v>0.8600000000000001</v>
      </c>
      <c r="AD1557" s="165" t="str">
        <f>IF(BetTable[O2]="","",#REF!/BetTable[TS])</f>
        <v/>
      </c>
      <c r="AE1557" s="165" t="str">
        <f>IFERROR(IF(BetTable[Sport]="","",#REF!/BetTable[TS]),"")</f>
        <v/>
      </c>
      <c r="AF1557" s="164">
        <f>IF(BetTable[Outcome]="Win",BetTable[WBA1-Commission],IF(BetTable[Outcome]="Win Half Stake",(BetTable[Stake]/2)+BetTable[WBA1-Commission]/2,IF(BetTable[Outcome]="Lose Half Stake",BetTable[Stake]/2,IF(BetTable[Outcome]="Lose",0,IF(BetTable[Outcome]="Void",BetTable[Stake],)))))</f>
        <v>0</v>
      </c>
      <c r="AG1557" s="164">
        <f>IF(BetTable[Outcome2]="Win",BetTable[WBA2-Commission],IF(BetTable[Outcome2]="Win Half Stake",(BetTable[S2]/2)+BetTable[WBA2-Commission]/2,IF(BetTable[Outcome2]="Lose Half Stake",BetTable[S2]/2,IF(BetTable[Outcome2]="Lose",0,IF(BetTable[Outcome2]="Void",BetTable[S2],)))))</f>
        <v>0</v>
      </c>
      <c r="AH1557" s="164">
        <f>IF(BetTable[Outcome3]="Win",BetTable[WBA3-Commission],IF(BetTable[Outcome3]="Win Half Stake",(BetTable[S3]/2)+BetTable[WBA3-Commission]/2,IF(BetTable[Outcome3]="Lose Half Stake",BetTable[S3]/2,IF(BetTable[Outcome3]="Lose",0,IF(BetTable[Outcome3]="Void",BetTable[S3],)))))</f>
        <v>0</v>
      </c>
      <c r="AI1557" s="168">
        <f>IF(BetTable[Outcome]="",AI1556,BetTable[Result]+AI1556)</f>
        <v>2006.057749999999</v>
      </c>
      <c r="AJ1557" s="160"/>
    </row>
    <row r="1558" spans="1:36" x14ac:dyDescent="0.2">
      <c r="A1558" s="159" t="s">
        <v>3560</v>
      </c>
      <c r="B1558" s="160" t="s">
        <v>200</v>
      </c>
      <c r="C1558" s="161" t="s">
        <v>1714</v>
      </c>
      <c r="D1558" s="161"/>
      <c r="E1558" s="161"/>
      <c r="F1558" s="162"/>
      <c r="G1558" s="162"/>
      <c r="H1558" s="162"/>
      <c r="I1558" s="160" t="s">
        <v>3686</v>
      </c>
      <c r="J1558" s="163">
        <v>3.2</v>
      </c>
      <c r="K1558" s="163"/>
      <c r="L1558" s="163"/>
      <c r="M1558" s="164">
        <v>32</v>
      </c>
      <c r="N1558" s="164"/>
      <c r="O1558" s="164"/>
      <c r="P1558" s="159" t="s">
        <v>494</v>
      </c>
      <c r="Q1558" s="159" t="s">
        <v>632</v>
      </c>
      <c r="R1558" s="159" t="s">
        <v>3687</v>
      </c>
      <c r="S1558" s="165">
        <v>3.7517918507713098E-2</v>
      </c>
      <c r="T1558" s="166" t="s">
        <v>382</v>
      </c>
      <c r="U1558" s="166"/>
      <c r="V1558" s="166"/>
      <c r="W1558" s="167">
        <f>IF(BetTable[Sport]="","",BetTable[Stake]+BetTable[S2]+BetTable[S3])</f>
        <v>32</v>
      </c>
      <c r="X1558" s="164">
        <f>IF(BetTable[Odds]="","",(BetTable[WBA1-Commission])-BetTable[TS])</f>
        <v>70.400000000000006</v>
      </c>
      <c r="Y1558" s="168">
        <f>IF(BetTable[Outcome]="","",BetTable[WBA1]+BetTable[WBA2]+BetTable[WBA3]-BetTable[TS])</f>
        <v>-32</v>
      </c>
      <c r="Z1558" s="164">
        <f>(((BetTable[Odds]-1)*BetTable[Stake])*(1-(BetTable[Comm %]))+BetTable[Stake])</f>
        <v>102.4</v>
      </c>
      <c r="AA1558" s="164">
        <f>(((BetTable[O2]-1)*BetTable[S2])*(1-(BetTable[C% 2]))+BetTable[S2])</f>
        <v>0</v>
      </c>
      <c r="AB1558" s="164">
        <f>(((BetTable[O3]-1)*BetTable[S3])*(1-(BetTable[C% 3]))+BetTable[S3])</f>
        <v>0</v>
      </c>
      <c r="AC1558" s="165">
        <f>IFERROR(IF(BetTable[Sport]="","",BetTable[R1]/BetTable[TS]),"")</f>
        <v>2.2000000000000002</v>
      </c>
      <c r="AD1558" s="165" t="str">
        <f>IF(BetTable[O2]="","",#REF!/BetTable[TS])</f>
        <v/>
      </c>
      <c r="AE1558" s="165" t="str">
        <f>IFERROR(IF(BetTable[Sport]="","",#REF!/BetTable[TS]),"")</f>
        <v/>
      </c>
      <c r="AF1558" s="164">
        <f>IF(BetTable[Outcome]="Win",BetTable[WBA1-Commission],IF(BetTable[Outcome]="Win Half Stake",(BetTable[Stake]/2)+BetTable[WBA1-Commission]/2,IF(BetTable[Outcome]="Lose Half Stake",BetTable[Stake]/2,IF(BetTable[Outcome]="Lose",0,IF(BetTable[Outcome]="Void",BetTable[Stake],)))))</f>
        <v>0</v>
      </c>
      <c r="AG1558" s="164">
        <f>IF(BetTable[Outcome2]="Win",BetTable[WBA2-Commission],IF(BetTable[Outcome2]="Win Half Stake",(BetTable[S2]/2)+BetTable[WBA2-Commission]/2,IF(BetTable[Outcome2]="Lose Half Stake",BetTable[S2]/2,IF(BetTable[Outcome2]="Lose",0,IF(BetTable[Outcome2]="Void",BetTable[S2],)))))</f>
        <v>0</v>
      </c>
      <c r="AH1558" s="164">
        <f>IF(BetTable[Outcome3]="Win",BetTable[WBA3-Commission],IF(BetTable[Outcome3]="Win Half Stake",(BetTable[S3]/2)+BetTable[WBA3-Commission]/2,IF(BetTable[Outcome3]="Lose Half Stake",BetTable[S3]/2,IF(BetTable[Outcome3]="Lose",0,IF(BetTable[Outcome3]="Void",BetTable[S3],)))))</f>
        <v>0</v>
      </c>
      <c r="AI1558" s="168">
        <f>IF(BetTable[Outcome]="",AI1557,BetTable[Result]+AI1557)</f>
        <v>1974.057749999999</v>
      </c>
      <c r="AJ1558" s="160"/>
    </row>
    <row r="1559" spans="1:36" x14ac:dyDescent="0.2">
      <c r="A1559" s="159" t="s">
        <v>3560</v>
      </c>
      <c r="B1559" s="160" t="s">
        <v>201</v>
      </c>
      <c r="C1559" s="161" t="s">
        <v>91</v>
      </c>
      <c r="D1559" s="161"/>
      <c r="E1559" s="161"/>
      <c r="F1559" s="162"/>
      <c r="G1559" s="162"/>
      <c r="H1559" s="162"/>
      <c r="I1559" s="160" t="s">
        <v>3688</v>
      </c>
      <c r="J1559" s="163">
        <v>2.04</v>
      </c>
      <c r="K1559" s="163"/>
      <c r="L1559" s="163"/>
      <c r="M1559" s="164">
        <v>32</v>
      </c>
      <c r="N1559" s="164"/>
      <c r="O1559" s="164"/>
      <c r="P1559" s="159" t="s">
        <v>1141</v>
      </c>
      <c r="Q1559" s="159" t="s">
        <v>503</v>
      </c>
      <c r="R1559" s="159" t="s">
        <v>3689</v>
      </c>
      <c r="S1559" s="165">
        <v>1.7631959709083801E-2</v>
      </c>
      <c r="T1559" s="166" t="s">
        <v>382</v>
      </c>
      <c r="U1559" s="166"/>
      <c r="V1559" s="166"/>
      <c r="W1559" s="167">
        <f>IF(BetTable[Sport]="","",BetTable[Stake]+BetTable[S2]+BetTable[S3])</f>
        <v>32</v>
      </c>
      <c r="X1559" s="164">
        <f>IF(BetTable[Odds]="","",(BetTable[WBA1-Commission])-BetTable[TS])</f>
        <v>33.28</v>
      </c>
      <c r="Y1559" s="168">
        <f>IF(BetTable[Outcome]="","",BetTable[WBA1]+BetTable[WBA2]+BetTable[WBA3]-BetTable[TS])</f>
        <v>-32</v>
      </c>
      <c r="Z1559" s="164">
        <f>(((BetTable[Odds]-1)*BetTable[Stake])*(1-(BetTable[Comm %]))+BetTable[Stake])</f>
        <v>65.28</v>
      </c>
      <c r="AA1559" s="164">
        <f>(((BetTable[O2]-1)*BetTable[S2])*(1-(BetTable[C% 2]))+BetTable[S2])</f>
        <v>0</v>
      </c>
      <c r="AB1559" s="164">
        <f>(((BetTable[O3]-1)*BetTable[S3])*(1-(BetTable[C% 3]))+BetTable[S3])</f>
        <v>0</v>
      </c>
      <c r="AC1559" s="165">
        <f>IFERROR(IF(BetTable[Sport]="","",BetTable[R1]/BetTable[TS]),"")</f>
        <v>1.04</v>
      </c>
      <c r="AD1559" s="165" t="str">
        <f>IF(BetTable[O2]="","",#REF!/BetTable[TS])</f>
        <v/>
      </c>
      <c r="AE1559" s="165" t="str">
        <f>IFERROR(IF(BetTable[Sport]="","",#REF!/BetTable[TS]),"")</f>
        <v/>
      </c>
      <c r="AF1559" s="164">
        <f>IF(BetTable[Outcome]="Win",BetTable[WBA1-Commission],IF(BetTable[Outcome]="Win Half Stake",(BetTable[Stake]/2)+BetTable[WBA1-Commission]/2,IF(BetTable[Outcome]="Lose Half Stake",BetTable[Stake]/2,IF(BetTable[Outcome]="Lose",0,IF(BetTable[Outcome]="Void",BetTable[Stake],)))))</f>
        <v>0</v>
      </c>
      <c r="AG1559" s="164">
        <f>IF(BetTable[Outcome2]="Win",BetTable[WBA2-Commission],IF(BetTable[Outcome2]="Win Half Stake",(BetTable[S2]/2)+BetTable[WBA2-Commission]/2,IF(BetTable[Outcome2]="Lose Half Stake",BetTable[S2]/2,IF(BetTable[Outcome2]="Lose",0,IF(BetTable[Outcome2]="Void",BetTable[S2],)))))</f>
        <v>0</v>
      </c>
      <c r="AH1559" s="164">
        <f>IF(BetTable[Outcome3]="Win",BetTable[WBA3-Commission],IF(BetTable[Outcome3]="Win Half Stake",(BetTable[S3]/2)+BetTable[WBA3-Commission]/2,IF(BetTable[Outcome3]="Lose Half Stake",BetTable[S3]/2,IF(BetTable[Outcome3]="Lose",0,IF(BetTable[Outcome3]="Void",BetTable[S3],)))))</f>
        <v>0</v>
      </c>
      <c r="AI1559" s="168">
        <f>IF(BetTable[Outcome]="",AI1558,BetTable[Result]+AI1558)</f>
        <v>1942.057749999999</v>
      </c>
      <c r="AJ1559" s="160"/>
    </row>
    <row r="1560" spans="1:36" x14ac:dyDescent="0.2">
      <c r="A1560" s="159" t="s">
        <v>3560</v>
      </c>
      <c r="B1560" s="160" t="s">
        <v>200</v>
      </c>
      <c r="C1560" s="161" t="s">
        <v>1714</v>
      </c>
      <c r="D1560" s="161"/>
      <c r="E1560" s="161"/>
      <c r="F1560" s="162"/>
      <c r="G1560" s="162"/>
      <c r="H1560" s="162"/>
      <c r="I1560" s="160" t="s">
        <v>3690</v>
      </c>
      <c r="J1560" s="163">
        <v>2.88</v>
      </c>
      <c r="K1560" s="163"/>
      <c r="L1560" s="163"/>
      <c r="M1560" s="164">
        <v>39</v>
      </c>
      <c r="N1560" s="164"/>
      <c r="O1560" s="164"/>
      <c r="P1560" s="159" t="s">
        <v>428</v>
      </c>
      <c r="Q1560" s="159" t="s">
        <v>632</v>
      </c>
      <c r="R1560" s="159" t="s">
        <v>3691</v>
      </c>
      <c r="S1560" s="165">
        <v>3.8751500600239998E-2</v>
      </c>
      <c r="T1560" s="166" t="s">
        <v>382</v>
      </c>
      <c r="U1560" s="166"/>
      <c r="V1560" s="166"/>
      <c r="W1560" s="167">
        <f>IF(BetTable[Sport]="","",BetTable[Stake]+BetTable[S2]+BetTable[S3])</f>
        <v>39</v>
      </c>
      <c r="X1560" s="164">
        <f>IF(BetTable[Odds]="","",(BetTable[WBA1-Commission])-BetTable[TS])</f>
        <v>73.319999999999993</v>
      </c>
      <c r="Y1560" s="168">
        <f>IF(BetTable[Outcome]="","",BetTable[WBA1]+BetTable[WBA2]+BetTable[WBA3]-BetTable[TS])</f>
        <v>-39</v>
      </c>
      <c r="Z1560" s="164">
        <f>(((BetTable[Odds]-1)*BetTable[Stake])*(1-(BetTable[Comm %]))+BetTable[Stake])</f>
        <v>112.32</v>
      </c>
      <c r="AA1560" s="164">
        <f>(((BetTable[O2]-1)*BetTable[S2])*(1-(BetTable[C% 2]))+BetTable[S2])</f>
        <v>0</v>
      </c>
      <c r="AB1560" s="164">
        <f>(((BetTable[O3]-1)*BetTable[S3])*(1-(BetTable[C% 3]))+BetTable[S3])</f>
        <v>0</v>
      </c>
      <c r="AC1560" s="165">
        <f>IFERROR(IF(BetTable[Sport]="","",BetTable[R1]/BetTable[TS]),"")</f>
        <v>1.88</v>
      </c>
      <c r="AD1560" s="165" t="str">
        <f>IF(BetTable[O2]="","",#REF!/BetTable[TS])</f>
        <v/>
      </c>
      <c r="AE1560" s="165" t="str">
        <f>IFERROR(IF(BetTable[Sport]="","",#REF!/BetTable[TS]),"")</f>
        <v/>
      </c>
      <c r="AF1560" s="164">
        <f>IF(BetTable[Outcome]="Win",BetTable[WBA1-Commission],IF(BetTable[Outcome]="Win Half Stake",(BetTable[Stake]/2)+BetTable[WBA1-Commission]/2,IF(BetTable[Outcome]="Lose Half Stake",BetTable[Stake]/2,IF(BetTable[Outcome]="Lose",0,IF(BetTable[Outcome]="Void",BetTable[Stake],)))))</f>
        <v>0</v>
      </c>
      <c r="AG1560" s="164">
        <f>IF(BetTable[Outcome2]="Win",BetTable[WBA2-Commission],IF(BetTable[Outcome2]="Win Half Stake",(BetTable[S2]/2)+BetTable[WBA2-Commission]/2,IF(BetTable[Outcome2]="Lose Half Stake",BetTable[S2]/2,IF(BetTable[Outcome2]="Lose",0,IF(BetTable[Outcome2]="Void",BetTable[S2],)))))</f>
        <v>0</v>
      </c>
      <c r="AH1560" s="164">
        <f>IF(BetTable[Outcome3]="Win",BetTable[WBA3-Commission],IF(BetTable[Outcome3]="Win Half Stake",(BetTable[S3]/2)+BetTable[WBA3-Commission]/2,IF(BetTable[Outcome3]="Lose Half Stake",BetTable[S3]/2,IF(BetTable[Outcome3]="Lose",0,IF(BetTable[Outcome3]="Void",BetTable[S3],)))))</f>
        <v>0</v>
      </c>
      <c r="AI1560" s="168">
        <f>IF(BetTable[Outcome]="",AI1559,BetTable[Result]+AI1559)</f>
        <v>1903.057749999999</v>
      </c>
      <c r="AJ1560" s="160"/>
    </row>
    <row r="1561" spans="1:36" x14ac:dyDescent="0.2">
      <c r="A1561" s="159" t="s">
        <v>3560</v>
      </c>
      <c r="B1561" s="160" t="s">
        <v>7</v>
      </c>
      <c r="C1561" s="161" t="s">
        <v>1714</v>
      </c>
      <c r="D1561" s="161"/>
      <c r="E1561" s="161"/>
      <c r="F1561" s="162"/>
      <c r="G1561" s="162"/>
      <c r="H1561" s="162"/>
      <c r="I1561" s="160" t="s">
        <v>3692</v>
      </c>
      <c r="J1561" s="163">
        <v>1.88</v>
      </c>
      <c r="K1561" s="163"/>
      <c r="L1561" s="163"/>
      <c r="M1561" s="164">
        <v>39</v>
      </c>
      <c r="N1561" s="164"/>
      <c r="O1561" s="164"/>
      <c r="P1561" s="159" t="s">
        <v>908</v>
      </c>
      <c r="Q1561" s="159" t="s">
        <v>530</v>
      </c>
      <c r="R1561" s="159" t="s">
        <v>3693</v>
      </c>
      <c r="S1561" s="165">
        <v>2.2221667913860401E-2</v>
      </c>
      <c r="T1561" s="166" t="s">
        <v>372</v>
      </c>
      <c r="U1561" s="166"/>
      <c r="V1561" s="166"/>
      <c r="W1561" s="167">
        <f>IF(BetTable[Sport]="","",BetTable[Stake]+BetTable[S2]+BetTable[S3])</f>
        <v>39</v>
      </c>
      <c r="X1561" s="164">
        <f>IF(BetTable[Odds]="","",(BetTable[WBA1-Commission])-BetTable[TS])</f>
        <v>34.319999999999993</v>
      </c>
      <c r="Y1561" s="168">
        <f>IF(BetTable[Outcome]="","",BetTable[WBA1]+BetTable[WBA2]+BetTable[WBA3]-BetTable[TS])</f>
        <v>34.319999999999993</v>
      </c>
      <c r="Z1561" s="164">
        <f>(((BetTable[Odds]-1)*BetTable[Stake])*(1-(BetTable[Comm %]))+BetTable[Stake])</f>
        <v>73.319999999999993</v>
      </c>
      <c r="AA1561" s="164">
        <f>(((BetTable[O2]-1)*BetTable[S2])*(1-(BetTable[C% 2]))+BetTable[S2])</f>
        <v>0</v>
      </c>
      <c r="AB1561" s="164">
        <f>(((BetTable[O3]-1)*BetTable[S3])*(1-(BetTable[C% 3]))+BetTable[S3])</f>
        <v>0</v>
      </c>
      <c r="AC1561" s="165">
        <f>IFERROR(IF(BetTable[Sport]="","",BetTable[R1]/BetTable[TS]),"")</f>
        <v>0.87999999999999978</v>
      </c>
      <c r="AD1561" s="165" t="str">
        <f>IF(BetTable[O2]="","",#REF!/BetTable[TS])</f>
        <v/>
      </c>
      <c r="AE1561" s="165" t="str">
        <f>IFERROR(IF(BetTable[Sport]="","",#REF!/BetTable[TS]),"")</f>
        <v/>
      </c>
      <c r="AF1561" s="164">
        <f>IF(BetTable[Outcome]="Win",BetTable[WBA1-Commission],IF(BetTable[Outcome]="Win Half Stake",(BetTable[Stake]/2)+BetTable[WBA1-Commission]/2,IF(BetTable[Outcome]="Lose Half Stake",BetTable[Stake]/2,IF(BetTable[Outcome]="Lose",0,IF(BetTable[Outcome]="Void",BetTable[Stake],)))))</f>
        <v>73.319999999999993</v>
      </c>
      <c r="AG1561" s="164">
        <f>IF(BetTable[Outcome2]="Win",BetTable[WBA2-Commission],IF(BetTable[Outcome2]="Win Half Stake",(BetTable[S2]/2)+BetTable[WBA2-Commission]/2,IF(BetTable[Outcome2]="Lose Half Stake",BetTable[S2]/2,IF(BetTable[Outcome2]="Lose",0,IF(BetTable[Outcome2]="Void",BetTable[S2],)))))</f>
        <v>0</v>
      </c>
      <c r="AH1561" s="164">
        <f>IF(BetTable[Outcome3]="Win",BetTable[WBA3-Commission],IF(BetTable[Outcome3]="Win Half Stake",(BetTable[S3]/2)+BetTable[WBA3-Commission]/2,IF(BetTable[Outcome3]="Lose Half Stake",BetTable[S3]/2,IF(BetTable[Outcome3]="Lose",0,IF(BetTable[Outcome3]="Void",BetTable[S3],)))))</f>
        <v>0</v>
      </c>
      <c r="AI1561" s="168">
        <f>IF(BetTable[Outcome]="",AI1560,BetTable[Result]+AI1560)</f>
        <v>1937.377749999999</v>
      </c>
      <c r="AJ1561" s="160"/>
    </row>
    <row r="1562" spans="1:36" x14ac:dyDescent="0.2">
      <c r="A1562" s="159" t="s">
        <v>3560</v>
      </c>
      <c r="B1562" s="160" t="s">
        <v>7</v>
      </c>
      <c r="C1562" s="161" t="s">
        <v>1714</v>
      </c>
      <c r="D1562" s="161"/>
      <c r="E1562" s="161"/>
      <c r="F1562" s="162"/>
      <c r="G1562" s="162"/>
      <c r="H1562" s="162"/>
      <c r="I1562" s="160" t="s">
        <v>3694</v>
      </c>
      <c r="J1562" s="163">
        <v>1.92</v>
      </c>
      <c r="K1562" s="163"/>
      <c r="L1562" s="163"/>
      <c r="M1562" s="164">
        <v>46</v>
      </c>
      <c r="N1562" s="164"/>
      <c r="O1562" s="164"/>
      <c r="P1562" s="159" t="s">
        <v>3695</v>
      </c>
      <c r="Q1562" s="159" t="s">
        <v>632</v>
      </c>
      <c r="R1562" s="159" t="s">
        <v>3696</v>
      </c>
      <c r="S1562" s="165">
        <v>2.2745098039215601E-2</v>
      </c>
      <c r="T1562" s="166" t="s">
        <v>382</v>
      </c>
      <c r="U1562" s="166"/>
      <c r="V1562" s="166"/>
      <c r="W1562" s="167">
        <f>IF(BetTable[Sport]="","",BetTable[Stake]+BetTable[S2]+BetTable[S3])</f>
        <v>46</v>
      </c>
      <c r="X1562" s="164">
        <f>IF(BetTable[Odds]="","",(BetTable[WBA1-Commission])-BetTable[TS])</f>
        <v>42.319999999999993</v>
      </c>
      <c r="Y1562" s="168">
        <f>IF(BetTable[Outcome]="","",BetTable[WBA1]+BetTable[WBA2]+BetTable[WBA3]-BetTable[TS])</f>
        <v>-46</v>
      </c>
      <c r="Z1562" s="164">
        <f>(((BetTable[Odds]-1)*BetTable[Stake])*(1-(BetTable[Comm %]))+BetTable[Stake])</f>
        <v>88.32</v>
      </c>
      <c r="AA1562" s="164">
        <f>(((BetTable[O2]-1)*BetTable[S2])*(1-(BetTable[C% 2]))+BetTable[S2])</f>
        <v>0</v>
      </c>
      <c r="AB1562" s="164">
        <f>(((BetTable[O3]-1)*BetTable[S3])*(1-(BetTable[C% 3]))+BetTable[S3])</f>
        <v>0</v>
      </c>
      <c r="AC1562" s="165">
        <f>IFERROR(IF(BetTable[Sport]="","",BetTable[R1]/BetTable[TS]),"")</f>
        <v>0.91999999999999982</v>
      </c>
      <c r="AD1562" s="165" t="str">
        <f>IF(BetTable[O2]="","",#REF!/BetTable[TS])</f>
        <v/>
      </c>
      <c r="AE1562" s="165" t="str">
        <f>IFERROR(IF(BetTable[Sport]="","",#REF!/BetTable[TS]),"")</f>
        <v/>
      </c>
      <c r="AF1562" s="164">
        <f>IF(BetTable[Outcome]="Win",BetTable[WBA1-Commission],IF(BetTable[Outcome]="Win Half Stake",(BetTable[Stake]/2)+BetTable[WBA1-Commission]/2,IF(BetTable[Outcome]="Lose Half Stake",BetTable[Stake]/2,IF(BetTable[Outcome]="Lose",0,IF(BetTable[Outcome]="Void",BetTable[Stake],)))))</f>
        <v>0</v>
      </c>
      <c r="AG1562" s="164">
        <f>IF(BetTable[Outcome2]="Win",BetTable[WBA2-Commission],IF(BetTable[Outcome2]="Win Half Stake",(BetTable[S2]/2)+BetTable[WBA2-Commission]/2,IF(BetTable[Outcome2]="Lose Half Stake",BetTable[S2]/2,IF(BetTable[Outcome2]="Lose",0,IF(BetTable[Outcome2]="Void",BetTable[S2],)))))</f>
        <v>0</v>
      </c>
      <c r="AH1562" s="164">
        <f>IF(BetTable[Outcome3]="Win",BetTable[WBA3-Commission],IF(BetTable[Outcome3]="Win Half Stake",(BetTable[S3]/2)+BetTable[WBA3-Commission]/2,IF(BetTable[Outcome3]="Lose Half Stake",BetTable[S3]/2,IF(BetTable[Outcome3]="Lose",0,IF(BetTable[Outcome3]="Void",BetTable[S3],)))))</f>
        <v>0</v>
      </c>
      <c r="AI1562" s="168">
        <f>IF(BetTable[Outcome]="",AI1561,BetTable[Result]+AI1561)</f>
        <v>1891.377749999999</v>
      </c>
      <c r="AJ1562" s="160"/>
    </row>
    <row r="1563" spans="1:36" x14ac:dyDescent="0.2">
      <c r="A1563" s="159" t="s">
        <v>3560</v>
      </c>
      <c r="B1563" s="160" t="s">
        <v>200</v>
      </c>
      <c r="C1563" s="161" t="s">
        <v>1714</v>
      </c>
      <c r="D1563" s="161"/>
      <c r="E1563" s="161"/>
      <c r="F1563" s="162"/>
      <c r="G1563" s="162"/>
      <c r="H1563" s="162"/>
      <c r="I1563" s="160" t="s">
        <v>3697</v>
      </c>
      <c r="J1563" s="163">
        <v>1.85</v>
      </c>
      <c r="K1563" s="163"/>
      <c r="L1563" s="163"/>
      <c r="M1563" s="164">
        <v>60</v>
      </c>
      <c r="N1563" s="164"/>
      <c r="O1563" s="164"/>
      <c r="P1563" s="159" t="s">
        <v>791</v>
      </c>
      <c r="Q1563" s="159" t="s">
        <v>503</v>
      </c>
      <c r="R1563" s="159" t="s">
        <v>3698</v>
      </c>
      <c r="S1563" s="165">
        <v>2.7071516211099E-2</v>
      </c>
      <c r="T1563" s="166" t="s">
        <v>382</v>
      </c>
      <c r="U1563" s="166"/>
      <c r="V1563" s="166"/>
      <c r="W1563" s="167">
        <f>IF(BetTable[Sport]="","",BetTable[Stake]+BetTable[S2]+BetTable[S3])</f>
        <v>60</v>
      </c>
      <c r="X1563" s="164">
        <f>IF(BetTable[Odds]="","",(BetTable[WBA1-Commission])-BetTable[TS])</f>
        <v>51</v>
      </c>
      <c r="Y1563" s="168">
        <f>IF(BetTable[Outcome]="","",BetTable[WBA1]+BetTable[WBA2]+BetTable[WBA3]-BetTable[TS])</f>
        <v>-60</v>
      </c>
      <c r="Z1563" s="164">
        <f>(((BetTable[Odds]-1)*BetTable[Stake])*(1-(BetTable[Comm %]))+BetTable[Stake])</f>
        <v>111</v>
      </c>
      <c r="AA1563" s="164">
        <f>(((BetTable[O2]-1)*BetTable[S2])*(1-(BetTable[C% 2]))+BetTable[S2])</f>
        <v>0</v>
      </c>
      <c r="AB1563" s="164">
        <f>(((BetTable[O3]-1)*BetTable[S3])*(1-(BetTable[C% 3]))+BetTable[S3])</f>
        <v>0</v>
      </c>
      <c r="AC1563" s="165">
        <f>IFERROR(IF(BetTable[Sport]="","",BetTable[R1]/BetTable[TS]),"")</f>
        <v>0.85</v>
      </c>
      <c r="AD1563" s="165" t="str">
        <f>IF(BetTable[O2]="","",#REF!/BetTable[TS])</f>
        <v/>
      </c>
      <c r="AE1563" s="165" t="str">
        <f>IFERROR(IF(BetTable[Sport]="","",#REF!/BetTable[TS]),"")</f>
        <v/>
      </c>
      <c r="AF1563" s="164">
        <f>IF(BetTable[Outcome]="Win",BetTable[WBA1-Commission],IF(BetTable[Outcome]="Win Half Stake",(BetTable[Stake]/2)+BetTable[WBA1-Commission]/2,IF(BetTable[Outcome]="Lose Half Stake",BetTable[Stake]/2,IF(BetTable[Outcome]="Lose",0,IF(BetTable[Outcome]="Void",BetTable[Stake],)))))</f>
        <v>0</v>
      </c>
      <c r="AG1563" s="164">
        <f>IF(BetTable[Outcome2]="Win",BetTable[WBA2-Commission],IF(BetTable[Outcome2]="Win Half Stake",(BetTable[S2]/2)+BetTable[WBA2-Commission]/2,IF(BetTable[Outcome2]="Lose Half Stake",BetTable[S2]/2,IF(BetTable[Outcome2]="Lose",0,IF(BetTable[Outcome2]="Void",BetTable[S2],)))))</f>
        <v>0</v>
      </c>
      <c r="AH1563" s="164">
        <f>IF(BetTable[Outcome3]="Win",BetTable[WBA3-Commission],IF(BetTable[Outcome3]="Win Half Stake",(BetTable[S3]/2)+BetTable[WBA3-Commission]/2,IF(BetTable[Outcome3]="Lose Half Stake",BetTable[S3]/2,IF(BetTable[Outcome3]="Lose",0,IF(BetTable[Outcome3]="Void",BetTable[S3],)))))</f>
        <v>0</v>
      </c>
      <c r="AI1563" s="168">
        <f>IF(BetTable[Outcome]="",AI1562,BetTable[Result]+AI1562)</f>
        <v>1831.377749999999</v>
      </c>
      <c r="AJ1563" s="160"/>
    </row>
    <row r="1564" spans="1:36" x14ac:dyDescent="0.2">
      <c r="A1564" s="159" t="s">
        <v>3560</v>
      </c>
      <c r="B1564" s="160" t="s">
        <v>7</v>
      </c>
      <c r="C1564" s="161" t="s">
        <v>216</v>
      </c>
      <c r="D1564" s="161"/>
      <c r="E1564" s="161"/>
      <c r="F1564" s="162"/>
      <c r="G1564" s="162"/>
      <c r="H1564" s="162"/>
      <c r="I1564" s="160" t="s">
        <v>3699</v>
      </c>
      <c r="J1564" s="163">
        <v>1.87</v>
      </c>
      <c r="K1564" s="163"/>
      <c r="L1564" s="163"/>
      <c r="M1564" s="164">
        <v>28</v>
      </c>
      <c r="N1564" s="164"/>
      <c r="O1564" s="164"/>
      <c r="P1564" s="159" t="s">
        <v>1294</v>
      </c>
      <c r="Q1564" s="159" t="s">
        <v>458</v>
      </c>
      <c r="R1564" s="159" t="s">
        <v>3700</v>
      </c>
      <c r="S1564" s="165">
        <v>3.5543217630241999E-2</v>
      </c>
      <c r="T1564" s="166" t="s">
        <v>372</v>
      </c>
      <c r="U1564" s="166"/>
      <c r="V1564" s="166"/>
      <c r="W1564" s="167">
        <f>IF(BetTable[Sport]="","",BetTable[Stake]+BetTable[S2]+BetTable[S3])</f>
        <v>28</v>
      </c>
      <c r="X1564" s="164">
        <f>IF(BetTable[Odds]="","",(BetTable[WBA1-Commission])-BetTable[TS])</f>
        <v>24.36</v>
      </c>
      <c r="Y1564" s="168">
        <f>IF(BetTable[Outcome]="","",BetTable[WBA1]+BetTable[WBA2]+BetTable[WBA3]-BetTable[TS])</f>
        <v>24.36</v>
      </c>
      <c r="Z1564" s="164">
        <f>(((BetTable[Odds]-1)*BetTable[Stake])*(1-(BetTable[Comm %]))+BetTable[Stake])</f>
        <v>52.36</v>
      </c>
      <c r="AA1564" s="164">
        <f>(((BetTable[O2]-1)*BetTable[S2])*(1-(BetTable[C% 2]))+BetTable[S2])</f>
        <v>0</v>
      </c>
      <c r="AB1564" s="164">
        <f>(((BetTable[O3]-1)*BetTable[S3])*(1-(BetTable[C% 3]))+BetTable[S3])</f>
        <v>0</v>
      </c>
      <c r="AC1564" s="165">
        <f>IFERROR(IF(BetTable[Sport]="","",BetTable[R1]/BetTable[TS]),"")</f>
        <v>0.87</v>
      </c>
      <c r="AD1564" s="165" t="str">
        <f>IF(BetTable[O2]="","",#REF!/BetTable[TS])</f>
        <v/>
      </c>
      <c r="AE1564" s="165" t="str">
        <f>IFERROR(IF(BetTable[Sport]="","",#REF!/BetTable[TS]),"")</f>
        <v/>
      </c>
      <c r="AF1564" s="164">
        <f>IF(BetTable[Outcome]="Win",BetTable[WBA1-Commission],IF(BetTable[Outcome]="Win Half Stake",(BetTable[Stake]/2)+BetTable[WBA1-Commission]/2,IF(BetTable[Outcome]="Lose Half Stake",BetTable[Stake]/2,IF(BetTable[Outcome]="Lose",0,IF(BetTable[Outcome]="Void",BetTable[Stake],)))))</f>
        <v>52.36</v>
      </c>
      <c r="AG1564" s="164">
        <f>IF(BetTable[Outcome2]="Win",BetTable[WBA2-Commission],IF(BetTable[Outcome2]="Win Half Stake",(BetTable[S2]/2)+BetTable[WBA2-Commission]/2,IF(BetTable[Outcome2]="Lose Half Stake",BetTable[S2]/2,IF(BetTable[Outcome2]="Lose",0,IF(BetTable[Outcome2]="Void",BetTable[S2],)))))</f>
        <v>0</v>
      </c>
      <c r="AH1564" s="164">
        <f>IF(BetTable[Outcome3]="Win",BetTable[WBA3-Commission],IF(BetTable[Outcome3]="Win Half Stake",(BetTable[S3]/2)+BetTable[WBA3-Commission]/2,IF(BetTable[Outcome3]="Lose Half Stake",BetTable[S3]/2,IF(BetTable[Outcome3]="Lose",0,IF(BetTable[Outcome3]="Void",BetTable[S3],)))))</f>
        <v>0</v>
      </c>
      <c r="AI1564" s="168">
        <f>IF(BetTable[Outcome]="",AI1563,BetTable[Result]+AI1563)</f>
        <v>1855.7377499999989</v>
      </c>
      <c r="AJ1564" s="160"/>
    </row>
    <row r="1565" spans="1:36" x14ac:dyDescent="0.2">
      <c r="A1565" s="159" t="s">
        <v>3560</v>
      </c>
      <c r="B1565" s="160" t="s">
        <v>7</v>
      </c>
      <c r="C1565" s="161" t="s">
        <v>216</v>
      </c>
      <c r="D1565" s="161"/>
      <c r="E1565" s="161"/>
      <c r="F1565" s="162"/>
      <c r="G1565" s="162"/>
      <c r="H1565" s="162"/>
      <c r="I1565" s="160" t="s">
        <v>3701</v>
      </c>
      <c r="J1565" s="163">
        <v>1.87</v>
      </c>
      <c r="K1565" s="163"/>
      <c r="L1565" s="163"/>
      <c r="M1565" s="164">
        <v>28</v>
      </c>
      <c r="N1565" s="164"/>
      <c r="O1565" s="164"/>
      <c r="P1565" s="159" t="s">
        <v>3702</v>
      </c>
      <c r="Q1565" s="159" t="s">
        <v>503</v>
      </c>
      <c r="R1565" s="159" t="s">
        <v>3703</v>
      </c>
      <c r="S1565" s="165">
        <v>7.5865028995271297E-2</v>
      </c>
      <c r="T1565" s="166" t="s">
        <v>382</v>
      </c>
      <c r="U1565" s="166"/>
      <c r="V1565" s="166"/>
      <c r="W1565" s="167">
        <f>IF(BetTable[Sport]="","",BetTable[Stake]+BetTable[S2]+BetTable[S3])</f>
        <v>28</v>
      </c>
      <c r="X1565" s="164">
        <f>IF(BetTable[Odds]="","",(BetTable[WBA1-Commission])-BetTable[TS])</f>
        <v>24.36</v>
      </c>
      <c r="Y1565" s="168">
        <f>IF(BetTable[Outcome]="","",BetTable[WBA1]+BetTable[WBA2]+BetTable[WBA3]-BetTable[TS])</f>
        <v>-28</v>
      </c>
      <c r="Z1565" s="164">
        <f>(((BetTable[Odds]-1)*BetTable[Stake])*(1-(BetTable[Comm %]))+BetTable[Stake])</f>
        <v>52.36</v>
      </c>
      <c r="AA1565" s="164">
        <f>(((BetTable[O2]-1)*BetTable[S2])*(1-(BetTable[C% 2]))+BetTable[S2])</f>
        <v>0</v>
      </c>
      <c r="AB1565" s="164">
        <f>(((BetTable[O3]-1)*BetTable[S3])*(1-(BetTable[C% 3]))+BetTable[S3])</f>
        <v>0</v>
      </c>
      <c r="AC1565" s="165">
        <f>IFERROR(IF(BetTable[Sport]="","",BetTable[R1]/BetTable[TS]),"")</f>
        <v>0.87</v>
      </c>
      <c r="AD1565" s="165" t="str">
        <f>IF(BetTable[O2]="","",#REF!/BetTable[TS])</f>
        <v/>
      </c>
      <c r="AE1565" s="165" t="str">
        <f>IFERROR(IF(BetTable[Sport]="","",#REF!/BetTable[TS]),"")</f>
        <v/>
      </c>
      <c r="AF1565" s="164">
        <f>IF(BetTable[Outcome]="Win",BetTable[WBA1-Commission],IF(BetTable[Outcome]="Win Half Stake",(BetTable[Stake]/2)+BetTable[WBA1-Commission]/2,IF(BetTable[Outcome]="Lose Half Stake",BetTable[Stake]/2,IF(BetTable[Outcome]="Lose",0,IF(BetTable[Outcome]="Void",BetTable[Stake],)))))</f>
        <v>0</v>
      </c>
      <c r="AG1565" s="164">
        <f>IF(BetTable[Outcome2]="Win",BetTable[WBA2-Commission],IF(BetTable[Outcome2]="Win Half Stake",(BetTable[S2]/2)+BetTable[WBA2-Commission]/2,IF(BetTable[Outcome2]="Lose Half Stake",BetTable[S2]/2,IF(BetTable[Outcome2]="Lose",0,IF(BetTable[Outcome2]="Void",BetTable[S2],)))))</f>
        <v>0</v>
      </c>
      <c r="AH1565" s="164">
        <f>IF(BetTable[Outcome3]="Win",BetTable[WBA3-Commission],IF(BetTable[Outcome3]="Win Half Stake",(BetTable[S3]/2)+BetTable[WBA3-Commission]/2,IF(BetTable[Outcome3]="Lose Half Stake",BetTable[S3]/2,IF(BetTable[Outcome3]="Lose",0,IF(BetTable[Outcome3]="Void",BetTable[S3],)))))</f>
        <v>0</v>
      </c>
      <c r="AI1565" s="168">
        <f>IF(BetTable[Outcome]="",AI1564,BetTable[Result]+AI1564)</f>
        <v>1827.7377499999989</v>
      </c>
      <c r="AJ1565" s="160"/>
    </row>
    <row r="1566" spans="1:36" x14ac:dyDescent="0.2">
      <c r="A1566" s="159" t="s">
        <v>3560</v>
      </c>
      <c r="B1566" s="160" t="s">
        <v>7</v>
      </c>
      <c r="C1566" s="161" t="s">
        <v>1714</v>
      </c>
      <c r="D1566" s="161"/>
      <c r="E1566" s="161"/>
      <c r="F1566" s="162"/>
      <c r="G1566" s="162"/>
      <c r="H1566" s="162"/>
      <c r="I1566" s="160" t="s">
        <v>3694</v>
      </c>
      <c r="J1566" s="163">
        <v>2</v>
      </c>
      <c r="K1566" s="163"/>
      <c r="L1566" s="163"/>
      <c r="M1566" s="164">
        <v>55</v>
      </c>
      <c r="N1566" s="164"/>
      <c r="O1566" s="164"/>
      <c r="P1566" s="159" t="s">
        <v>1901</v>
      </c>
      <c r="Q1566" s="159" t="s">
        <v>632</v>
      </c>
      <c r="R1566" s="159" t="s">
        <v>3704</v>
      </c>
      <c r="S1566" s="165">
        <v>2.9367233655500199E-2</v>
      </c>
      <c r="T1566" s="166" t="s">
        <v>382</v>
      </c>
      <c r="U1566" s="166"/>
      <c r="V1566" s="166"/>
      <c r="W1566" s="167">
        <f>IF(BetTable[Sport]="","",BetTable[Stake]+BetTable[S2]+BetTable[S3])</f>
        <v>55</v>
      </c>
      <c r="X1566" s="164">
        <f>IF(BetTable[Odds]="","",(BetTable[WBA1-Commission])-BetTable[TS])</f>
        <v>55</v>
      </c>
      <c r="Y1566" s="168">
        <f>IF(BetTable[Outcome]="","",BetTable[WBA1]+BetTable[WBA2]+BetTable[WBA3]-BetTable[TS])</f>
        <v>-55</v>
      </c>
      <c r="Z1566" s="164">
        <f>(((BetTable[Odds]-1)*BetTable[Stake])*(1-(BetTable[Comm %]))+BetTable[Stake])</f>
        <v>110</v>
      </c>
      <c r="AA1566" s="164">
        <f>(((BetTable[O2]-1)*BetTable[S2])*(1-(BetTable[C% 2]))+BetTable[S2])</f>
        <v>0</v>
      </c>
      <c r="AB1566" s="164">
        <f>(((BetTable[O3]-1)*BetTable[S3])*(1-(BetTable[C% 3]))+BetTable[S3])</f>
        <v>0</v>
      </c>
      <c r="AC1566" s="165">
        <f>IFERROR(IF(BetTable[Sport]="","",BetTable[R1]/BetTable[TS]),"")</f>
        <v>1</v>
      </c>
      <c r="AD1566" s="165" t="str">
        <f>IF(BetTable[O2]="","",#REF!/BetTable[TS])</f>
        <v/>
      </c>
      <c r="AE1566" s="165" t="str">
        <f>IFERROR(IF(BetTable[Sport]="","",#REF!/BetTable[TS]),"")</f>
        <v/>
      </c>
      <c r="AF1566" s="164">
        <f>IF(BetTable[Outcome]="Win",BetTable[WBA1-Commission],IF(BetTable[Outcome]="Win Half Stake",(BetTable[Stake]/2)+BetTable[WBA1-Commission]/2,IF(BetTable[Outcome]="Lose Half Stake",BetTable[Stake]/2,IF(BetTable[Outcome]="Lose",0,IF(BetTable[Outcome]="Void",BetTable[Stake],)))))</f>
        <v>0</v>
      </c>
      <c r="AG1566" s="164">
        <f>IF(BetTable[Outcome2]="Win",BetTable[WBA2-Commission],IF(BetTable[Outcome2]="Win Half Stake",(BetTable[S2]/2)+BetTable[WBA2-Commission]/2,IF(BetTable[Outcome2]="Lose Half Stake",BetTable[S2]/2,IF(BetTable[Outcome2]="Lose",0,IF(BetTable[Outcome2]="Void",BetTable[S2],)))))</f>
        <v>0</v>
      </c>
      <c r="AH1566" s="164">
        <f>IF(BetTable[Outcome3]="Win",BetTable[WBA3-Commission],IF(BetTable[Outcome3]="Win Half Stake",(BetTable[S3]/2)+BetTable[WBA3-Commission]/2,IF(BetTable[Outcome3]="Lose Half Stake",BetTable[S3]/2,IF(BetTable[Outcome3]="Lose",0,IF(BetTable[Outcome3]="Void",BetTable[S3],)))))</f>
        <v>0</v>
      </c>
      <c r="AI1566" s="168">
        <f>IF(BetTable[Outcome]="",AI1565,BetTable[Result]+AI1565)</f>
        <v>1772.7377499999989</v>
      </c>
      <c r="AJ1566" s="160"/>
    </row>
    <row r="1567" spans="1:36" x14ac:dyDescent="0.2">
      <c r="A1567" s="159" t="s">
        <v>3560</v>
      </c>
      <c r="B1567" s="160" t="s">
        <v>200</v>
      </c>
      <c r="C1567" s="161" t="s">
        <v>1714</v>
      </c>
      <c r="D1567" s="161"/>
      <c r="E1567" s="161"/>
      <c r="F1567" s="162"/>
      <c r="G1567" s="162"/>
      <c r="H1567" s="162"/>
      <c r="I1567" s="160" t="s">
        <v>3705</v>
      </c>
      <c r="J1567" s="163">
        <v>1.94</v>
      </c>
      <c r="K1567" s="163"/>
      <c r="L1567" s="163"/>
      <c r="M1567" s="164">
        <v>42</v>
      </c>
      <c r="N1567" s="164"/>
      <c r="O1567" s="164"/>
      <c r="P1567" s="159" t="s">
        <v>354</v>
      </c>
      <c r="Q1567" s="159" t="s">
        <v>461</v>
      </c>
      <c r="R1567" s="159" t="s">
        <v>3706</v>
      </c>
      <c r="S1567" s="165">
        <v>2.1259358760858198E-2</v>
      </c>
      <c r="T1567" s="166" t="s">
        <v>510</v>
      </c>
      <c r="U1567" s="166"/>
      <c r="V1567" s="166"/>
      <c r="W1567" s="167">
        <f>IF(BetTable[Sport]="","",BetTable[Stake]+BetTable[S2]+BetTable[S3])</f>
        <v>42</v>
      </c>
      <c r="X1567" s="164">
        <f>IF(BetTable[Odds]="","",(BetTable[WBA1-Commission])-BetTable[TS])</f>
        <v>39.47999999999999</v>
      </c>
      <c r="Y1567" s="168">
        <f>IF(BetTable[Outcome]="","",BetTable[WBA1]+BetTable[WBA2]+BetTable[WBA3]-BetTable[TS])</f>
        <v>19.739999999999995</v>
      </c>
      <c r="Z1567" s="164">
        <f>(((BetTable[Odds]-1)*BetTable[Stake])*(1-(BetTable[Comm %]))+BetTable[Stake])</f>
        <v>81.47999999999999</v>
      </c>
      <c r="AA1567" s="164">
        <f>(((BetTable[O2]-1)*BetTable[S2])*(1-(BetTable[C% 2]))+BetTable[S2])</f>
        <v>0</v>
      </c>
      <c r="AB1567" s="164">
        <f>(((BetTable[O3]-1)*BetTable[S3])*(1-(BetTable[C% 3]))+BetTable[S3])</f>
        <v>0</v>
      </c>
      <c r="AC1567" s="165">
        <f>IFERROR(IF(BetTable[Sport]="","",BetTable[R1]/BetTable[TS]),"")</f>
        <v>0.93999999999999972</v>
      </c>
      <c r="AD1567" s="165" t="str">
        <f>IF(BetTable[O2]="","",#REF!/BetTable[TS])</f>
        <v/>
      </c>
      <c r="AE1567" s="165" t="str">
        <f>IFERROR(IF(BetTable[Sport]="","",#REF!/BetTable[TS]),"")</f>
        <v/>
      </c>
      <c r="AF1567" s="164">
        <f>IF(BetTable[Outcome]="Win",BetTable[WBA1-Commission],IF(BetTable[Outcome]="Win Half Stake",(BetTable[Stake]/2)+BetTable[WBA1-Commission]/2,IF(BetTable[Outcome]="Lose Half Stake",BetTable[Stake]/2,IF(BetTable[Outcome]="Lose",0,IF(BetTable[Outcome]="Void",BetTable[Stake],)))))</f>
        <v>61.739999999999995</v>
      </c>
      <c r="AG1567" s="164">
        <f>IF(BetTable[Outcome2]="Win",BetTable[WBA2-Commission],IF(BetTable[Outcome2]="Win Half Stake",(BetTable[S2]/2)+BetTable[WBA2-Commission]/2,IF(BetTable[Outcome2]="Lose Half Stake",BetTable[S2]/2,IF(BetTable[Outcome2]="Lose",0,IF(BetTable[Outcome2]="Void",BetTable[S2],)))))</f>
        <v>0</v>
      </c>
      <c r="AH1567" s="164">
        <f>IF(BetTable[Outcome3]="Win",BetTable[WBA3-Commission],IF(BetTable[Outcome3]="Win Half Stake",(BetTable[S3]/2)+BetTable[WBA3-Commission]/2,IF(BetTable[Outcome3]="Lose Half Stake",BetTable[S3]/2,IF(BetTable[Outcome3]="Lose",0,IF(BetTable[Outcome3]="Void",BetTable[S3],)))))</f>
        <v>0</v>
      </c>
      <c r="AI1567" s="168">
        <f>IF(BetTable[Outcome]="",AI1566,BetTable[Result]+AI1566)</f>
        <v>1792.4777499999989</v>
      </c>
      <c r="AJ1567" s="160"/>
    </row>
    <row r="1568" spans="1:36" x14ac:dyDescent="0.2">
      <c r="A1568" s="159" t="s">
        <v>3560</v>
      </c>
      <c r="B1568" s="160" t="s">
        <v>7</v>
      </c>
      <c r="C1568" s="161" t="s">
        <v>1714</v>
      </c>
      <c r="D1568" s="161"/>
      <c r="E1568" s="161"/>
      <c r="F1568" s="162"/>
      <c r="G1568" s="162"/>
      <c r="H1568" s="162"/>
      <c r="I1568" s="160" t="s">
        <v>3707</v>
      </c>
      <c r="J1568" s="163">
        <v>1.91</v>
      </c>
      <c r="K1568" s="163"/>
      <c r="L1568" s="163"/>
      <c r="M1568" s="164">
        <v>38</v>
      </c>
      <c r="N1568" s="164"/>
      <c r="O1568" s="164"/>
      <c r="P1568" s="159" t="s">
        <v>2083</v>
      </c>
      <c r="Q1568" s="159" t="s">
        <v>530</v>
      </c>
      <c r="R1568" s="159" t="s">
        <v>3708</v>
      </c>
      <c r="S1568" s="165">
        <v>3.0844977503023899E-2</v>
      </c>
      <c r="T1568" s="166" t="s">
        <v>382</v>
      </c>
      <c r="U1568" s="166"/>
      <c r="V1568" s="166"/>
      <c r="W1568" s="167">
        <f>IF(BetTable[Sport]="","",BetTable[Stake]+BetTable[S2]+BetTable[S3])</f>
        <v>38</v>
      </c>
      <c r="X1568" s="164">
        <f>IF(BetTable[Odds]="","",(BetTable[WBA1-Commission])-BetTable[TS])</f>
        <v>34.58</v>
      </c>
      <c r="Y1568" s="168">
        <f>IF(BetTable[Outcome]="","",BetTable[WBA1]+BetTable[WBA2]+BetTable[WBA3]-BetTable[TS])</f>
        <v>-38</v>
      </c>
      <c r="Z1568" s="164">
        <f>(((BetTable[Odds]-1)*BetTable[Stake])*(1-(BetTable[Comm %]))+BetTable[Stake])</f>
        <v>72.58</v>
      </c>
      <c r="AA1568" s="164">
        <f>(((BetTable[O2]-1)*BetTable[S2])*(1-(BetTable[C% 2]))+BetTable[S2])</f>
        <v>0</v>
      </c>
      <c r="AB1568" s="164">
        <f>(((BetTable[O3]-1)*BetTable[S3])*(1-(BetTable[C% 3]))+BetTable[S3])</f>
        <v>0</v>
      </c>
      <c r="AC1568" s="165">
        <f>IFERROR(IF(BetTable[Sport]="","",BetTable[R1]/BetTable[TS]),"")</f>
        <v>0.90999999999999992</v>
      </c>
      <c r="AD1568" s="165" t="str">
        <f>IF(BetTable[O2]="","",#REF!/BetTable[TS])</f>
        <v/>
      </c>
      <c r="AE1568" s="165" t="str">
        <f>IFERROR(IF(BetTable[Sport]="","",#REF!/BetTable[TS]),"")</f>
        <v/>
      </c>
      <c r="AF1568" s="164">
        <f>IF(BetTable[Outcome]="Win",BetTable[WBA1-Commission],IF(BetTable[Outcome]="Win Half Stake",(BetTable[Stake]/2)+BetTable[WBA1-Commission]/2,IF(BetTable[Outcome]="Lose Half Stake",BetTable[Stake]/2,IF(BetTable[Outcome]="Lose",0,IF(BetTable[Outcome]="Void",BetTable[Stake],)))))</f>
        <v>0</v>
      </c>
      <c r="AG1568" s="164">
        <f>IF(BetTable[Outcome2]="Win",BetTable[WBA2-Commission],IF(BetTable[Outcome2]="Win Half Stake",(BetTable[S2]/2)+BetTable[WBA2-Commission]/2,IF(BetTable[Outcome2]="Lose Half Stake",BetTable[S2]/2,IF(BetTable[Outcome2]="Lose",0,IF(BetTable[Outcome2]="Void",BetTable[S2],)))))</f>
        <v>0</v>
      </c>
      <c r="AH1568" s="164">
        <f>IF(BetTable[Outcome3]="Win",BetTable[WBA3-Commission],IF(BetTable[Outcome3]="Win Half Stake",(BetTable[S3]/2)+BetTable[WBA3-Commission]/2,IF(BetTable[Outcome3]="Lose Half Stake",BetTable[S3]/2,IF(BetTable[Outcome3]="Lose",0,IF(BetTable[Outcome3]="Void",BetTable[S3],)))))</f>
        <v>0</v>
      </c>
      <c r="AI1568" s="168">
        <f>IF(BetTable[Outcome]="",AI1567,BetTable[Result]+AI1567)</f>
        <v>1754.4777499999989</v>
      </c>
      <c r="AJ1568" s="160"/>
    </row>
    <row r="1569" spans="1:36" x14ac:dyDescent="0.2">
      <c r="A1569" s="159" t="s">
        <v>3560</v>
      </c>
      <c r="B1569" s="160" t="s">
        <v>7</v>
      </c>
      <c r="C1569" s="161" t="s">
        <v>91</v>
      </c>
      <c r="D1569" s="161"/>
      <c r="E1569" s="161"/>
      <c r="F1569" s="162"/>
      <c r="G1569" s="162"/>
      <c r="H1569" s="162"/>
      <c r="I1569" s="160" t="s">
        <v>3638</v>
      </c>
      <c r="J1569" s="163">
        <v>1.94</v>
      </c>
      <c r="K1569" s="163"/>
      <c r="L1569" s="163"/>
      <c r="M1569" s="164">
        <v>64</v>
      </c>
      <c r="N1569" s="164"/>
      <c r="O1569" s="164"/>
      <c r="P1569" s="159" t="s">
        <v>3709</v>
      </c>
      <c r="Q1569" s="159" t="s">
        <v>466</v>
      </c>
      <c r="R1569" s="159" t="s">
        <v>3710</v>
      </c>
      <c r="S1569" s="165">
        <v>4.7036259872181303E-2</v>
      </c>
      <c r="T1569" s="166" t="s">
        <v>382</v>
      </c>
      <c r="U1569" s="166"/>
      <c r="V1569" s="166"/>
      <c r="W1569" s="167">
        <f>IF(BetTable[Sport]="","",BetTable[Stake]+BetTable[S2]+BetTable[S3])</f>
        <v>64</v>
      </c>
      <c r="X1569" s="164">
        <f>IF(BetTable[Odds]="","",(BetTable[WBA1-Commission])-BetTable[TS])</f>
        <v>60.16</v>
      </c>
      <c r="Y1569" s="168">
        <f>IF(BetTable[Outcome]="","",BetTable[WBA1]+BetTable[WBA2]+BetTable[WBA3]-BetTable[TS])</f>
        <v>-64</v>
      </c>
      <c r="Z1569" s="164">
        <f>(((BetTable[Odds]-1)*BetTable[Stake])*(1-(BetTable[Comm %]))+BetTable[Stake])</f>
        <v>124.16</v>
      </c>
      <c r="AA1569" s="164">
        <f>(((BetTable[O2]-1)*BetTable[S2])*(1-(BetTable[C% 2]))+BetTable[S2])</f>
        <v>0</v>
      </c>
      <c r="AB1569" s="164">
        <f>(((BetTable[O3]-1)*BetTable[S3])*(1-(BetTable[C% 3]))+BetTable[S3])</f>
        <v>0</v>
      </c>
      <c r="AC1569" s="165">
        <f>IFERROR(IF(BetTable[Sport]="","",BetTable[R1]/BetTable[TS]),"")</f>
        <v>0.94</v>
      </c>
      <c r="AD1569" s="165" t="str">
        <f>IF(BetTable[O2]="","",#REF!/BetTable[TS])</f>
        <v/>
      </c>
      <c r="AE1569" s="165" t="str">
        <f>IFERROR(IF(BetTable[Sport]="","",#REF!/BetTable[TS]),"")</f>
        <v/>
      </c>
      <c r="AF1569" s="164">
        <f>IF(BetTable[Outcome]="Win",BetTable[WBA1-Commission],IF(BetTable[Outcome]="Win Half Stake",(BetTable[Stake]/2)+BetTable[WBA1-Commission]/2,IF(BetTable[Outcome]="Lose Half Stake",BetTable[Stake]/2,IF(BetTable[Outcome]="Lose",0,IF(BetTable[Outcome]="Void",BetTable[Stake],)))))</f>
        <v>0</v>
      </c>
      <c r="AG1569" s="164">
        <f>IF(BetTable[Outcome2]="Win",BetTable[WBA2-Commission],IF(BetTable[Outcome2]="Win Half Stake",(BetTable[S2]/2)+BetTable[WBA2-Commission]/2,IF(BetTable[Outcome2]="Lose Half Stake",BetTable[S2]/2,IF(BetTable[Outcome2]="Lose",0,IF(BetTable[Outcome2]="Void",BetTable[S2],)))))</f>
        <v>0</v>
      </c>
      <c r="AH1569" s="164">
        <f>IF(BetTable[Outcome3]="Win",BetTable[WBA3-Commission],IF(BetTable[Outcome3]="Win Half Stake",(BetTable[S3]/2)+BetTable[WBA3-Commission]/2,IF(BetTable[Outcome3]="Lose Half Stake",BetTable[S3]/2,IF(BetTable[Outcome3]="Lose",0,IF(BetTable[Outcome3]="Void",BetTable[S3],)))))</f>
        <v>0</v>
      </c>
      <c r="AI1569" s="168">
        <f>IF(BetTable[Outcome]="",AI1568,BetTable[Result]+AI1568)</f>
        <v>1690.4777499999989</v>
      </c>
      <c r="AJ1569" s="160"/>
    </row>
    <row r="1570" spans="1:36" x14ac:dyDescent="0.2">
      <c r="A1570" s="159" t="s">
        <v>3560</v>
      </c>
      <c r="B1570" s="160" t="s">
        <v>7</v>
      </c>
      <c r="C1570" s="161" t="s">
        <v>1714</v>
      </c>
      <c r="D1570" s="161"/>
      <c r="E1570" s="161"/>
      <c r="F1570" s="162"/>
      <c r="G1570" s="162"/>
      <c r="H1570" s="162"/>
      <c r="I1570" s="160" t="s">
        <v>3711</v>
      </c>
      <c r="J1570" s="163">
        <v>1.84</v>
      </c>
      <c r="K1570" s="163"/>
      <c r="L1570" s="163"/>
      <c r="M1570" s="164">
        <v>39</v>
      </c>
      <c r="N1570" s="164"/>
      <c r="O1570" s="164"/>
      <c r="P1570" s="159" t="s">
        <v>2812</v>
      </c>
      <c r="Q1570" s="159" t="s">
        <v>625</v>
      </c>
      <c r="R1570" s="159" t="s">
        <v>3712</v>
      </c>
      <c r="S1570" s="165">
        <v>2.7850292336220599E-2</v>
      </c>
      <c r="T1570" s="166" t="s">
        <v>372</v>
      </c>
      <c r="U1570" s="166"/>
      <c r="V1570" s="166"/>
      <c r="W1570" s="167">
        <f>IF(BetTable[Sport]="","",BetTable[Stake]+BetTable[S2]+BetTable[S3])</f>
        <v>39</v>
      </c>
      <c r="X1570" s="164">
        <f>IF(BetTable[Odds]="","",(BetTable[WBA1-Commission])-BetTable[TS])</f>
        <v>32.760000000000005</v>
      </c>
      <c r="Y1570" s="168">
        <f>IF(BetTable[Outcome]="","",BetTable[WBA1]+BetTable[WBA2]+BetTable[WBA3]-BetTable[TS])</f>
        <v>32.760000000000005</v>
      </c>
      <c r="Z1570" s="164">
        <f>(((BetTable[Odds]-1)*BetTable[Stake])*(1-(BetTable[Comm %]))+BetTable[Stake])</f>
        <v>71.760000000000005</v>
      </c>
      <c r="AA1570" s="164">
        <f>(((BetTable[O2]-1)*BetTable[S2])*(1-(BetTable[C% 2]))+BetTable[S2])</f>
        <v>0</v>
      </c>
      <c r="AB1570" s="164">
        <f>(((BetTable[O3]-1)*BetTable[S3])*(1-(BetTable[C% 3]))+BetTable[S3])</f>
        <v>0</v>
      </c>
      <c r="AC1570" s="165">
        <f>IFERROR(IF(BetTable[Sport]="","",BetTable[R1]/BetTable[TS]),"")</f>
        <v>0.84000000000000008</v>
      </c>
      <c r="AD1570" s="165" t="str">
        <f>IF(BetTable[O2]="","",#REF!/BetTable[TS])</f>
        <v/>
      </c>
      <c r="AE1570" s="165" t="str">
        <f>IFERROR(IF(BetTable[Sport]="","",#REF!/BetTable[TS]),"")</f>
        <v/>
      </c>
      <c r="AF1570" s="164">
        <f>IF(BetTable[Outcome]="Win",BetTable[WBA1-Commission],IF(BetTable[Outcome]="Win Half Stake",(BetTable[Stake]/2)+BetTable[WBA1-Commission]/2,IF(BetTable[Outcome]="Lose Half Stake",BetTable[Stake]/2,IF(BetTable[Outcome]="Lose",0,IF(BetTable[Outcome]="Void",BetTable[Stake],)))))</f>
        <v>71.760000000000005</v>
      </c>
      <c r="AG1570" s="164">
        <f>IF(BetTable[Outcome2]="Win",BetTable[WBA2-Commission],IF(BetTable[Outcome2]="Win Half Stake",(BetTable[S2]/2)+BetTable[WBA2-Commission]/2,IF(BetTable[Outcome2]="Lose Half Stake",BetTable[S2]/2,IF(BetTable[Outcome2]="Lose",0,IF(BetTable[Outcome2]="Void",BetTable[S2],)))))</f>
        <v>0</v>
      </c>
      <c r="AH1570" s="164">
        <f>IF(BetTable[Outcome3]="Win",BetTable[WBA3-Commission],IF(BetTable[Outcome3]="Win Half Stake",(BetTable[S3]/2)+BetTable[WBA3-Commission]/2,IF(BetTable[Outcome3]="Lose Half Stake",BetTable[S3]/2,IF(BetTable[Outcome3]="Lose",0,IF(BetTable[Outcome3]="Void",BetTable[S3],)))))</f>
        <v>0</v>
      </c>
      <c r="AI1570" s="168">
        <f>IF(BetTable[Outcome]="",AI1569,BetTable[Result]+AI1569)</f>
        <v>1723.2377499999989</v>
      </c>
      <c r="AJ1570" s="160"/>
    </row>
    <row r="1571" spans="1:36" x14ac:dyDescent="0.2">
      <c r="A1571" s="159" t="s">
        <v>3560</v>
      </c>
      <c r="B1571" s="160" t="s">
        <v>200</v>
      </c>
      <c r="C1571" s="161" t="s">
        <v>1714</v>
      </c>
      <c r="D1571" s="161"/>
      <c r="E1571" s="161"/>
      <c r="F1571" s="162"/>
      <c r="G1571" s="162"/>
      <c r="H1571" s="162"/>
      <c r="I1571" s="160" t="s">
        <v>3713</v>
      </c>
      <c r="J1571" s="163">
        <v>1.66</v>
      </c>
      <c r="K1571" s="163"/>
      <c r="L1571" s="163"/>
      <c r="M1571" s="164">
        <v>71</v>
      </c>
      <c r="N1571" s="164"/>
      <c r="O1571" s="164"/>
      <c r="P1571" s="159" t="s">
        <v>646</v>
      </c>
      <c r="Q1571" s="159" t="s">
        <v>488</v>
      </c>
      <c r="R1571" s="159" t="s">
        <v>3714</v>
      </c>
      <c r="S1571" s="165">
        <v>2.4967834275934499E-2</v>
      </c>
      <c r="T1571" s="166" t="s">
        <v>382</v>
      </c>
      <c r="U1571" s="166"/>
      <c r="V1571" s="166"/>
      <c r="W1571" s="167">
        <f>IF(BetTable[Sport]="","",BetTable[Stake]+BetTable[S2]+BetTable[S3])</f>
        <v>71</v>
      </c>
      <c r="X1571" s="164">
        <f>IF(BetTable[Odds]="","",(BetTable[WBA1-Commission])-BetTable[TS])</f>
        <v>46.859999999999985</v>
      </c>
      <c r="Y1571" s="168">
        <f>IF(BetTable[Outcome]="","",BetTable[WBA1]+BetTable[WBA2]+BetTable[WBA3]-BetTable[TS])</f>
        <v>-71</v>
      </c>
      <c r="Z1571" s="164">
        <f>(((BetTable[Odds]-1)*BetTable[Stake])*(1-(BetTable[Comm %]))+BetTable[Stake])</f>
        <v>117.85999999999999</v>
      </c>
      <c r="AA1571" s="164">
        <f>(((BetTable[O2]-1)*BetTable[S2])*(1-(BetTable[C% 2]))+BetTable[S2])</f>
        <v>0</v>
      </c>
      <c r="AB1571" s="164">
        <f>(((BetTable[O3]-1)*BetTable[S3])*(1-(BetTable[C% 3]))+BetTable[S3])</f>
        <v>0</v>
      </c>
      <c r="AC1571" s="165">
        <f>IFERROR(IF(BetTable[Sport]="","",BetTable[R1]/BetTable[TS]),"")</f>
        <v>0.65999999999999981</v>
      </c>
      <c r="AD1571" s="165" t="str">
        <f>IF(BetTable[O2]="","",#REF!/BetTable[TS])</f>
        <v/>
      </c>
      <c r="AE1571" s="165" t="str">
        <f>IFERROR(IF(BetTable[Sport]="","",#REF!/BetTable[TS]),"")</f>
        <v/>
      </c>
      <c r="AF1571" s="164">
        <f>IF(BetTable[Outcome]="Win",BetTable[WBA1-Commission],IF(BetTable[Outcome]="Win Half Stake",(BetTable[Stake]/2)+BetTable[WBA1-Commission]/2,IF(BetTable[Outcome]="Lose Half Stake",BetTable[Stake]/2,IF(BetTable[Outcome]="Lose",0,IF(BetTable[Outcome]="Void",BetTable[Stake],)))))</f>
        <v>0</v>
      </c>
      <c r="AG1571" s="164">
        <f>IF(BetTable[Outcome2]="Win",BetTable[WBA2-Commission],IF(BetTable[Outcome2]="Win Half Stake",(BetTable[S2]/2)+BetTable[WBA2-Commission]/2,IF(BetTable[Outcome2]="Lose Half Stake",BetTable[S2]/2,IF(BetTable[Outcome2]="Lose",0,IF(BetTable[Outcome2]="Void",BetTable[S2],)))))</f>
        <v>0</v>
      </c>
      <c r="AH1571" s="164">
        <f>IF(BetTable[Outcome3]="Win",BetTable[WBA3-Commission],IF(BetTable[Outcome3]="Win Half Stake",(BetTable[S3]/2)+BetTable[WBA3-Commission]/2,IF(BetTable[Outcome3]="Lose Half Stake",BetTable[S3]/2,IF(BetTable[Outcome3]="Lose",0,IF(BetTable[Outcome3]="Void",BetTable[S3],)))))</f>
        <v>0</v>
      </c>
      <c r="AI1571" s="168">
        <f>IF(BetTable[Outcome]="",AI1570,BetTable[Result]+AI1570)</f>
        <v>1652.2377499999989</v>
      </c>
      <c r="AJ1571" s="160"/>
    </row>
    <row r="1572" spans="1:36" x14ac:dyDescent="0.2">
      <c r="A1572" s="159" t="s">
        <v>3560</v>
      </c>
      <c r="B1572" s="160" t="s">
        <v>200</v>
      </c>
      <c r="C1572" s="161" t="s">
        <v>1714</v>
      </c>
      <c r="D1572" s="161"/>
      <c r="E1572" s="161"/>
      <c r="F1572" s="162"/>
      <c r="G1572" s="162"/>
      <c r="H1572" s="162"/>
      <c r="I1572" s="160" t="s">
        <v>3715</v>
      </c>
      <c r="J1572" s="163">
        <v>1.79</v>
      </c>
      <c r="K1572" s="163"/>
      <c r="L1572" s="163"/>
      <c r="M1572" s="164">
        <v>52</v>
      </c>
      <c r="N1572" s="164"/>
      <c r="O1572" s="164"/>
      <c r="P1572" s="159" t="s">
        <v>360</v>
      </c>
      <c r="Q1572" s="159" t="s">
        <v>632</v>
      </c>
      <c r="R1572" s="159" t="s">
        <v>3716</v>
      </c>
      <c r="S1572" s="165">
        <v>2.18528152693118E-2</v>
      </c>
      <c r="T1572" s="166" t="s">
        <v>383</v>
      </c>
      <c r="U1572" s="166"/>
      <c r="V1572" s="166"/>
      <c r="W1572" s="167">
        <f>IF(BetTable[Sport]="","",BetTable[Stake]+BetTable[S2]+BetTable[S3])</f>
        <v>52</v>
      </c>
      <c r="X1572" s="164">
        <f>IF(BetTable[Odds]="","",(BetTable[WBA1-Commission])-BetTable[TS])</f>
        <v>41.08</v>
      </c>
      <c r="Y1572" s="168">
        <f>IF(BetTable[Outcome]="","",BetTable[WBA1]+BetTable[WBA2]+BetTable[WBA3]-BetTable[TS])</f>
        <v>0</v>
      </c>
      <c r="Z1572" s="164">
        <f>(((BetTable[Odds]-1)*BetTable[Stake])*(1-(BetTable[Comm %]))+BetTable[Stake])</f>
        <v>93.08</v>
      </c>
      <c r="AA1572" s="164">
        <f>(((BetTable[O2]-1)*BetTable[S2])*(1-(BetTable[C% 2]))+BetTable[S2])</f>
        <v>0</v>
      </c>
      <c r="AB1572" s="164">
        <f>(((BetTable[O3]-1)*BetTable[S3])*(1-(BetTable[C% 3]))+BetTable[S3])</f>
        <v>0</v>
      </c>
      <c r="AC1572" s="165">
        <f>IFERROR(IF(BetTable[Sport]="","",BetTable[R1]/BetTable[TS]),"")</f>
        <v>0.78999999999999992</v>
      </c>
      <c r="AD1572" s="165" t="str">
        <f>IF(BetTable[O2]="","",#REF!/BetTable[TS])</f>
        <v/>
      </c>
      <c r="AE1572" s="165" t="str">
        <f>IFERROR(IF(BetTable[Sport]="","",#REF!/BetTable[TS]),"")</f>
        <v/>
      </c>
      <c r="AF1572" s="164">
        <f>IF(BetTable[Outcome]="Win",BetTable[WBA1-Commission],IF(BetTable[Outcome]="Win Half Stake",(BetTable[Stake]/2)+BetTable[WBA1-Commission]/2,IF(BetTable[Outcome]="Lose Half Stake",BetTable[Stake]/2,IF(BetTable[Outcome]="Lose",0,IF(BetTable[Outcome]="Void",BetTable[Stake],)))))</f>
        <v>52</v>
      </c>
      <c r="AG1572" s="164">
        <f>IF(BetTable[Outcome2]="Win",BetTable[WBA2-Commission],IF(BetTable[Outcome2]="Win Half Stake",(BetTable[S2]/2)+BetTable[WBA2-Commission]/2,IF(BetTable[Outcome2]="Lose Half Stake",BetTable[S2]/2,IF(BetTable[Outcome2]="Lose",0,IF(BetTable[Outcome2]="Void",BetTable[S2],)))))</f>
        <v>0</v>
      </c>
      <c r="AH1572" s="164">
        <f>IF(BetTable[Outcome3]="Win",BetTable[WBA3-Commission],IF(BetTable[Outcome3]="Win Half Stake",(BetTable[S3]/2)+BetTable[WBA3-Commission]/2,IF(BetTable[Outcome3]="Lose Half Stake",BetTable[S3]/2,IF(BetTable[Outcome3]="Lose",0,IF(BetTable[Outcome3]="Void",BetTable[S3],)))))</f>
        <v>0</v>
      </c>
      <c r="AI1572" s="168">
        <f>IF(BetTable[Outcome]="",AI1571,BetTable[Result]+AI1571)</f>
        <v>1652.2377499999989</v>
      </c>
      <c r="AJ1572" s="160"/>
    </row>
    <row r="1573" spans="1:36" x14ac:dyDescent="0.2">
      <c r="A1573" s="159" t="s">
        <v>3560</v>
      </c>
      <c r="B1573" s="160" t="s">
        <v>7</v>
      </c>
      <c r="C1573" s="161" t="s">
        <v>1714</v>
      </c>
      <c r="D1573" s="161"/>
      <c r="E1573" s="161"/>
      <c r="F1573" s="162"/>
      <c r="G1573" s="162"/>
      <c r="H1573" s="162"/>
      <c r="I1573" s="160" t="s">
        <v>3717</v>
      </c>
      <c r="J1573" s="163">
        <v>1.86</v>
      </c>
      <c r="K1573" s="163"/>
      <c r="L1573" s="163"/>
      <c r="M1573" s="164">
        <v>39</v>
      </c>
      <c r="N1573" s="164"/>
      <c r="O1573" s="164"/>
      <c r="P1573" s="159" t="s">
        <v>2207</v>
      </c>
      <c r="Q1573" s="159" t="s">
        <v>482</v>
      </c>
      <c r="R1573" s="159" t="s">
        <v>3718</v>
      </c>
      <c r="S1573" s="165">
        <v>2.2516935498217799E-2</v>
      </c>
      <c r="T1573" s="166" t="s">
        <v>372</v>
      </c>
      <c r="U1573" s="166"/>
      <c r="V1573" s="166"/>
      <c r="W1573" s="167">
        <f>IF(BetTable[Sport]="","",BetTable[Stake]+BetTable[S2]+BetTable[S3])</f>
        <v>39</v>
      </c>
      <c r="X1573" s="164">
        <f>IF(BetTable[Odds]="","",(BetTable[WBA1-Commission])-BetTable[TS])</f>
        <v>33.540000000000006</v>
      </c>
      <c r="Y1573" s="168">
        <f>IF(BetTable[Outcome]="","",BetTable[WBA1]+BetTable[WBA2]+BetTable[WBA3]-BetTable[TS])</f>
        <v>33.540000000000006</v>
      </c>
      <c r="Z1573" s="164">
        <f>(((BetTable[Odds]-1)*BetTable[Stake])*(1-(BetTable[Comm %]))+BetTable[Stake])</f>
        <v>72.540000000000006</v>
      </c>
      <c r="AA1573" s="164">
        <f>(((BetTable[O2]-1)*BetTable[S2])*(1-(BetTable[C% 2]))+BetTable[S2])</f>
        <v>0</v>
      </c>
      <c r="AB1573" s="164">
        <f>(((BetTable[O3]-1)*BetTable[S3])*(1-(BetTable[C% 3]))+BetTable[S3])</f>
        <v>0</v>
      </c>
      <c r="AC1573" s="165">
        <f>IFERROR(IF(BetTable[Sport]="","",BetTable[R1]/BetTable[TS]),"")</f>
        <v>0.86000000000000021</v>
      </c>
      <c r="AD1573" s="165" t="str">
        <f>IF(BetTable[O2]="","",#REF!/BetTable[TS])</f>
        <v/>
      </c>
      <c r="AE1573" s="165" t="str">
        <f>IFERROR(IF(BetTable[Sport]="","",#REF!/BetTable[TS]),"")</f>
        <v/>
      </c>
      <c r="AF1573" s="164">
        <f>IF(BetTable[Outcome]="Win",BetTable[WBA1-Commission],IF(BetTable[Outcome]="Win Half Stake",(BetTable[Stake]/2)+BetTable[WBA1-Commission]/2,IF(BetTable[Outcome]="Lose Half Stake",BetTable[Stake]/2,IF(BetTable[Outcome]="Lose",0,IF(BetTable[Outcome]="Void",BetTable[Stake],)))))</f>
        <v>72.540000000000006</v>
      </c>
      <c r="AG1573" s="164">
        <f>IF(BetTable[Outcome2]="Win",BetTable[WBA2-Commission],IF(BetTable[Outcome2]="Win Half Stake",(BetTable[S2]/2)+BetTable[WBA2-Commission]/2,IF(BetTable[Outcome2]="Lose Half Stake",BetTable[S2]/2,IF(BetTable[Outcome2]="Lose",0,IF(BetTable[Outcome2]="Void",BetTable[S2],)))))</f>
        <v>0</v>
      </c>
      <c r="AH1573" s="164">
        <f>IF(BetTable[Outcome3]="Win",BetTable[WBA3-Commission],IF(BetTable[Outcome3]="Win Half Stake",(BetTable[S3]/2)+BetTable[WBA3-Commission]/2,IF(BetTable[Outcome3]="Lose Half Stake",BetTable[S3]/2,IF(BetTable[Outcome3]="Lose",0,IF(BetTable[Outcome3]="Void",BetTable[S3],)))))</f>
        <v>0</v>
      </c>
      <c r="AI1573" s="168">
        <f>IF(BetTable[Outcome]="",AI1572,BetTable[Result]+AI1572)</f>
        <v>1685.7777499999988</v>
      </c>
      <c r="AJ1573" s="160"/>
    </row>
    <row r="1574" spans="1:36" x14ac:dyDescent="0.2">
      <c r="A1574" s="159" t="s">
        <v>3560</v>
      </c>
      <c r="B1574" s="160" t="s">
        <v>7</v>
      </c>
      <c r="C1574" s="161" t="s">
        <v>1714</v>
      </c>
      <c r="D1574" s="161"/>
      <c r="E1574" s="161"/>
      <c r="F1574" s="162"/>
      <c r="G1574" s="162"/>
      <c r="H1574" s="162"/>
      <c r="I1574" s="160" t="s">
        <v>3719</v>
      </c>
      <c r="J1574" s="163">
        <v>2.25</v>
      </c>
      <c r="K1574" s="163"/>
      <c r="L1574" s="163"/>
      <c r="M1574" s="164">
        <v>36</v>
      </c>
      <c r="N1574" s="164"/>
      <c r="O1574" s="164"/>
      <c r="P1574" s="159" t="s">
        <v>428</v>
      </c>
      <c r="Q1574" s="159" t="s">
        <v>581</v>
      </c>
      <c r="R1574" s="159" t="s">
        <v>3720</v>
      </c>
      <c r="S1574" s="165">
        <v>2.40814299900695E-2</v>
      </c>
      <c r="T1574" s="166" t="s">
        <v>382</v>
      </c>
      <c r="U1574" s="166"/>
      <c r="V1574" s="166"/>
      <c r="W1574" s="167">
        <f>IF(BetTable[Sport]="","",BetTable[Stake]+BetTable[S2]+BetTable[S3])</f>
        <v>36</v>
      </c>
      <c r="X1574" s="164">
        <f>IF(BetTable[Odds]="","",(BetTable[WBA1-Commission])-BetTable[TS])</f>
        <v>45</v>
      </c>
      <c r="Y1574" s="168">
        <f>IF(BetTable[Outcome]="","",BetTable[WBA1]+BetTable[WBA2]+BetTable[WBA3]-BetTable[TS])</f>
        <v>-36</v>
      </c>
      <c r="Z1574" s="164">
        <f>(((BetTable[Odds]-1)*BetTable[Stake])*(1-(BetTable[Comm %]))+BetTable[Stake])</f>
        <v>81</v>
      </c>
      <c r="AA1574" s="164">
        <f>(((BetTable[O2]-1)*BetTable[S2])*(1-(BetTable[C% 2]))+BetTable[S2])</f>
        <v>0</v>
      </c>
      <c r="AB1574" s="164">
        <f>(((BetTable[O3]-1)*BetTable[S3])*(1-(BetTable[C% 3]))+BetTable[S3])</f>
        <v>0</v>
      </c>
      <c r="AC1574" s="165">
        <f>IFERROR(IF(BetTable[Sport]="","",BetTable[R1]/BetTable[TS]),"")</f>
        <v>1.25</v>
      </c>
      <c r="AD1574" s="165" t="str">
        <f>IF(BetTable[O2]="","",#REF!/BetTable[TS])</f>
        <v/>
      </c>
      <c r="AE1574" s="165" t="str">
        <f>IFERROR(IF(BetTable[Sport]="","",#REF!/BetTable[TS]),"")</f>
        <v/>
      </c>
      <c r="AF1574" s="164">
        <f>IF(BetTable[Outcome]="Win",BetTable[WBA1-Commission],IF(BetTable[Outcome]="Win Half Stake",(BetTable[Stake]/2)+BetTable[WBA1-Commission]/2,IF(BetTable[Outcome]="Lose Half Stake",BetTable[Stake]/2,IF(BetTable[Outcome]="Lose",0,IF(BetTable[Outcome]="Void",BetTable[Stake],)))))</f>
        <v>0</v>
      </c>
      <c r="AG1574" s="164">
        <f>IF(BetTable[Outcome2]="Win",BetTable[WBA2-Commission],IF(BetTable[Outcome2]="Win Half Stake",(BetTable[S2]/2)+BetTable[WBA2-Commission]/2,IF(BetTable[Outcome2]="Lose Half Stake",BetTable[S2]/2,IF(BetTable[Outcome2]="Lose",0,IF(BetTable[Outcome2]="Void",BetTable[S2],)))))</f>
        <v>0</v>
      </c>
      <c r="AH1574" s="164">
        <f>IF(BetTable[Outcome3]="Win",BetTable[WBA3-Commission],IF(BetTable[Outcome3]="Win Half Stake",(BetTable[S3]/2)+BetTable[WBA3-Commission]/2,IF(BetTable[Outcome3]="Lose Half Stake",BetTable[S3]/2,IF(BetTable[Outcome3]="Lose",0,IF(BetTable[Outcome3]="Void",BetTable[S3],)))))</f>
        <v>0</v>
      </c>
      <c r="AI1574" s="168">
        <f>IF(BetTable[Outcome]="",AI1573,BetTable[Result]+AI1573)</f>
        <v>1649.7777499999988</v>
      </c>
      <c r="AJ1574" s="160"/>
    </row>
    <row r="1575" spans="1:36" x14ac:dyDescent="0.2">
      <c r="A1575" s="159" t="s">
        <v>3560</v>
      </c>
      <c r="B1575" s="160" t="s">
        <v>200</v>
      </c>
      <c r="C1575" s="161" t="s">
        <v>1714</v>
      </c>
      <c r="D1575" s="161"/>
      <c r="E1575" s="161"/>
      <c r="F1575" s="162"/>
      <c r="G1575" s="162"/>
      <c r="H1575" s="162"/>
      <c r="I1575" s="160" t="s">
        <v>3721</v>
      </c>
      <c r="J1575" s="163">
        <v>2.91</v>
      </c>
      <c r="K1575" s="163"/>
      <c r="L1575" s="163"/>
      <c r="M1575" s="164">
        <v>25</v>
      </c>
      <c r="N1575" s="164"/>
      <c r="O1575" s="164"/>
      <c r="P1575" s="159" t="s">
        <v>494</v>
      </c>
      <c r="Q1575" s="159" t="s">
        <v>581</v>
      </c>
      <c r="R1575" s="159" t="s">
        <v>3722</v>
      </c>
      <c r="S1575" s="165">
        <v>2.5639097744360899E-2</v>
      </c>
      <c r="T1575" s="166" t="s">
        <v>382</v>
      </c>
      <c r="U1575" s="166"/>
      <c r="V1575" s="166"/>
      <c r="W1575" s="167">
        <f>IF(BetTable[Sport]="","",BetTable[Stake]+BetTable[S2]+BetTable[S3])</f>
        <v>25</v>
      </c>
      <c r="X1575" s="164">
        <f>IF(BetTable[Odds]="","",(BetTable[WBA1-Commission])-BetTable[TS])</f>
        <v>47.75</v>
      </c>
      <c r="Y1575" s="168">
        <f>IF(BetTable[Outcome]="","",BetTable[WBA1]+BetTable[WBA2]+BetTable[WBA3]-BetTable[TS])</f>
        <v>-25</v>
      </c>
      <c r="Z1575" s="164">
        <f>(((BetTable[Odds]-1)*BetTable[Stake])*(1-(BetTable[Comm %]))+BetTable[Stake])</f>
        <v>72.75</v>
      </c>
      <c r="AA1575" s="164">
        <f>(((BetTable[O2]-1)*BetTable[S2])*(1-(BetTable[C% 2]))+BetTable[S2])</f>
        <v>0</v>
      </c>
      <c r="AB1575" s="164">
        <f>(((BetTable[O3]-1)*BetTable[S3])*(1-(BetTable[C% 3]))+BetTable[S3])</f>
        <v>0</v>
      </c>
      <c r="AC1575" s="165">
        <f>IFERROR(IF(BetTable[Sport]="","",BetTable[R1]/BetTable[TS]),"")</f>
        <v>1.91</v>
      </c>
      <c r="AD1575" s="165" t="str">
        <f>IF(BetTable[O2]="","",#REF!/BetTable[TS])</f>
        <v/>
      </c>
      <c r="AE1575" s="165" t="str">
        <f>IFERROR(IF(BetTable[Sport]="","",#REF!/BetTable[TS]),"")</f>
        <v/>
      </c>
      <c r="AF1575" s="164">
        <f>IF(BetTable[Outcome]="Win",BetTable[WBA1-Commission],IF(BetTable[Outcome]="Win Half Stake",(BetTable[Stake]/2)+BetTable[WBA1-Commission]/2,IF(BetTable[Outcome]="Lose Half Stake",BetTable[Stake]/2,IF(BetTable[Outcome]="Lose",0,IF(BetTable[Outcome]="Void",BetTable[Stake],)))))</f>
        <v>0</v>
      </c>
      <c r="AG1575" s="164">
        <f>IF(BetTable[Outcome2]="Win",BetTable[WBA2-Commission],IF(BetTable[Outcome2]="Win Half Stake",(BetTable[S2]/2)+BetTable[WBA2-Commission]/2,IF(BetTable[Outcome2]="Lose Half Stake",BetTable[S2]/2,IF(BetTable[Outcome2]="Lose",0,IF(BetTable[Outcome2]="Void",BetTable[S2],)))))</f>
        <v>0</v>
      </c>
      <c r="AH1575" s="164">
        <f>IF(BetTable[Outcome3]="Win",BetTable[WBA3-Commission],IF(BetTable[Outcome3]="Win Half Stake",(BetTable[S3]/2)+BetTable[WBA3-Commission]/2,IF(BetTable[Outcome3]="Lose Half Stake",BetTable[S3]/2,IF(BetTable[Outcome3]="Lose",0,IF(BetTable[Outcome3]="Void",BetTable[S3],)))))</f>
        <v>0</v>
      </c>
      <c r="AI1575" s="168">
        <f>IF(BetTable[Outcome]="",AI1574,BetTable[Result]+AI1574)</f>
        <v>1624.7777499999988</v>
      </c>
      <c r="AJ1575" s="160"/>
    </row>
    <row r="1576" spans="1:36" x14ac:dyDescent="0.2">
      <c r="A1576" s="159" t="s">
        <v>3560</v>
      </c>
      <c r="B1576" s="160" t="s">
        <v>7</v>
      </c>
      <c r="C1576" s="161" t="s">
        <v>91</v>
      </c>
      <c r="D1576" s="161"/>
      <c r="E1576" s="161"/>
      <c r="F1576" s="162"/>
      <c r="G1576" s="162"/>
      <c r="H1576" s="162"/>
      <c r="I1576" s="160" t="s">
        <v>3707</v>
      </c>
      <c r="J1576" s="163">
        <v>1.91</v>
      </c>
      <c r="K1576" s="163"/>
      <c r="L1576" s="163"/>
      <c r="M1576" s="164">
        <v>58</v>
      </c>
      <c r="N1576" s="164"/>
      <c r="O1576" s="164"/>
      <c r="P1576" s="159" t="s">
        <v>1725</v>
      </c>
      <c r="Q1576" s="159" t="s">
        <v>530</v>
      </c>
      <c r="R1576" s="159" t="s">
        <v>3723</v>
      </c>
      <c r="S1576" s="165">
        <v>2.8299248524173901E-2</v>
      </c>
      <c r="T1576" s="166" t="s">
        <v>372</v>
      </c>
      <c r="U1576" s="166"/>
      <c r="V1576" s="166"/>
      <c r="W1576" s="167">
        <f>IF(BetTable[Sport]="","",BetTable[Stake]+BetTable[S2]+BetTable[S3])</f>
        <v>58</v>
      </c>
      <c r="X1576" s="164">
        <f>IF(BetTable[Odds]="","",(BetTable[WBA1-Commission])-BetTable[TS])</f>
        <v>52.78</v>
      </c>
      <c r="Y1576" s="168">
        <f>IF(BetTable[Outcome]="","",BetTable[WBA1]+BetTable[WBA2]+BetTable[WBA3]-BetTable[TS])</f>
        <v>52.78</v>
      </c>
      <c r="Z1576" s="164">
        <f>(((BetTable[Odds]-1)*BetTable[Stake])*(1-(BetTable[Comm %]))+BetTable[Stake])</f>
        <v>110.78</v>
      </c>
      <c r="AA1576" s="164">
        <f>(((BetTable[O2]-1)*BetTable[S2])*(1-(BetTable[C% 2]))+BetTable[S2])</f>
        <v>0</v>
      </c>
      <c r="AB1576" s="164">
        <f>(((BetTable[O3]-1)*BetTable[S3])*(1-(BetTable[C% 3]))+BetTable[S3])</f>
        <v>0</v>
      </c>
      <c r="AC1576" s="165">
        <f>IFERROR(IF(BetTable[Sport]="","",BetTable[R1]/BetTable[TS]),"")</f>
        <v>0.91</v>
      </c>
      <c r="AD1576" s="165" t="str">
        <f>IF(BetTable[O2]="","",#REF!/BetTable[TS])</f>
        <v/>
      </c>
      <c r="AE1576" s="165" t="str">
        <f>IFERROR(IF(BetTable[Sport]="","",#REF!/BetTable[TS]),"")</f>
        <v/>
      </c>
      <c r="AF1576" s="164">
        <f>IF(BetTable[Outcome]="Win",BetTable[WBA1-Commission],IF(BetTable[Outcome]="Win Half Stake",(BetTable[Stake]/2)+BetTable[WBA1-Commission]/2,IF(BetTable[Outcome]="Lose Half Stake",BetTable[Stake]/2,IF(BetTable[Outcome]="Lose",0,IF(BetTable[Outcome]="Void",BetTable[Stake],)))))</f>
        <v>110.78</v>
      </c>
      <c r="AG1576" s="164">
        <f>IF(BetTable[Outcome2]="Win",BetTable[WBA2-Commission],IF(BetTable[Outcome2]="Win Half Stake",(BetTable[S2]/2)+BetTable[WBA2-Commission]/2,IF(BetTable[Outcome2]="Lose Half Stake",BetTable[S2]/2,IF(BetTable[Outcome2]="Lose",0,IF(BetTable[Outcome2]="Void",BetTable[S2],)))))</f>
        <v>0</v>
      </c>
      <c r="AH1576" s="164">
        <f>IF(BetTable[Outcome3]="Win",BetTable[WBA3-Commission],IF(BetTable[Outcome3]="Win Half Stake",(BetTable[S3]/2)+BetTable[WBA3-Commission]/2,IF(BetTable[Outcome3]="Lose Half Stake",BetTable[S3]/2,IF(BetTable[Outcome3]="Lose",0,IF(BetTable[Outcome3]="Void",BetTable[S3],)))))</f>
        <v>0</v>
      </c>
      <c r="AI1576" s="168">
        <f>IF(BetTable[Outcome]="",AI1575,BetTable[Result]+AI1575)</f>
        <v>1677.5577499999988</v>
      </c>
      <c r="AJ1576" s="160"/>
    </row>
    <row r="1577" spans="1:36" x14ac:dyDescent="0.2">
      <c r="A1577" s="159" t="s">
        <v>3560</v>
      </c>
      <c r="B1577" s="160" t="s">
        <v>7</v>
      </c>
      <c r="C1577" s="161" t="s">
        <v>1714</v>
      </c>
      <c r="D1577" s="161"/>
      <c r="E1577" s="161"/>
      <c r="F1577" s="162"/>
      <c r="G1577" s="162"/>
      <c r="H1577" s="162"/>
      <c r="I1577" s="160" t="s">
        <v>3711</v>
      </c>
      <c r="J1577" s="163">
        <v>1.96</v>
      </c>
      <c r="K1577" s="163"/>
      <c r="L1577" s="163"/>
      <c r="M1577" s="164">
        <v>39</v>
      </c>
      <c r="N1577" s="164"/>
      <c r="O1577" s="164"/>
      <c r="P1577" s="159" t="s">
        <v>3724</v>
      </c>
      <c r="Q1577" s="159" t="s">
        <v>625</v>
      </c>
      <c r="R1577" s="159" t="s">
        <v>3725</v>
      </c>
      <c r="S1577" s="165">
        <v>3.6670949706623601E-2</v>
      </c>
      <c r="T1577" s="166" t="s">
        <v>382</v>
      </c>
      <c r="U1577" s="166"/>
      <c r="V1577" s="166"/>
      <c r="W1577" s="167">
        <f>IF(BetTable[Sport]="","",BetTable[Stake]+BetTable[S2]+BetTable[S3])</f>
        <v>39</v>
      </c>
      <c r="X1577" s="164">
        <f>IF(BetTable[Odds]="","",(BetTable[WBA1-Commission])-BetTable[TS])</f>
        <v>37.44</v>
      </c>
      <c r="Y1577" s="168">
        <f>IF(BetTable[Outcome]="","",BetTable[WBA1]+BetTable[WBA2]+BetTable[WBA3]-BetTable[TS])</f>
        <v>-39</v>
      </c>
      <c r="Z1577" s="164">
        <f>(((BetTable[Odds]-1)*BetTable[Stake])*(1-(BetTable[Comm %]))+BetTable[Stake])</f>
        <v>76.44</v>
      </c>
      <c r="AA1577" s="164">
        <f>(((BetTable[O2]-1)*BetTable[S2])*(1-(BetTable[C% 2]))+BetTable[S2])</f>
        <v>0</v>
      </c>
      <c r="AB1577" s="164">
        <f>(((BetTable[O3]-1)*BetTable[S3])*(1-(BetTable[C% 3]))+BetTable[S3])</f>
        <v>0</v>
      </c>
      <c r="AC1577" s="165">
        <f>IFERROR(IF(BetTable[Sport]="","",BetTable[R1]/BetTable[TS]),"")</f>
        <v>0.96</v>
      </c>
      <c r="AD1577" s="165" t="str">
        <f>IF(BetTable[O2]="","",#REF!/BetTable[TS])</f>
        <v/>
      </c>
      <c r="AE1577" s="165" t="str">
        <f>IFERROR(IF(BetTable[Sport]="","",#REF!/BetTable[TS]),"")</f>
        <v/>
      </c>
      <c r="AF1577" s="164">
        <f>IF(BetTable[Outcome]="Win",BetTable[WBA1-Commission],IF(BetTable[Outcome]="Win Half Stake",(BetTable[Stake]/2)+BetTable[WBA1-Commission]/2,IF(BetTable[Outcome]="Lose Half Stake",BetTable[Stake]/2,IF(BetTable[Outcome]="Lose",0,IF(BetTable[Outcome]="Void",BetTable[Stake],)))))</f>
        <v>0</v>
      </c>
      <c r="AG1577" s="164">
        <f>IF(BetTable[Outcome2]="Win",BetTable[WBA2-Commission],IF(BetTable[Outcome2]="Win Half Stake",(BetTable[S2]/2)+BetTable[WBA2-Commission]/2,IF(BetTable[Outcome2]="Lose Half Stake",BetTable[S2]/2,IF(BetTable[Outcome2]="Lose",0,IF(BetTable[Outcome2]="Void",BetTable[S2],)))))</f>
        <v>0</v>
      </c>
      <c r="AH1577" s="164">
        <f>IF(BetTable[Outcome3]="Win",BetTable[WBA3-Commission],IF(BetTable[Outcome3]="Win Half Stake",(BetTable[S3]/2)+BetTable[WBA3-Commission]/2,IF(BetTable[Outcome3]="Lose Half Stake",BetTable[S3]/2,IF(BetTable[Outcome3]="Lose",0,IF(BetTable[Outcome3]="Void",BetTable[S3],)))))</f>
        <v>0</v>
      </c>
      <c r="AI1577" s="168">
        <f>IF(BetTable[Outcome]="",AI1576,BetTable[Result]+AI1576)</f>
        <v>1638.5577499999988</v>
      </c>
      <c r="AJ1577" s="160"/>
    </row>
    <row r="1578" spans="1:36" x14ac:dyDescent="0.2">
      <c r="A1578" s="159" t="s">
        <v>3560</v>
      </c>
      <c r="B1578" s="160" t="s">
        <v>200</v>
      </c>
      <c r="C1578" s="161" t="s">
        <v>1714</v>
      </c>
      <c r="D1578" s="161"/>
      <c r="E1578" s="161"/>
      <c r="F1578" s="162"/>
      <c r="G1578" s="162"/>
      <c r="H1578" s="162"/>
      <c r="I1578" s="160" t="s">
        <v>3726</v>
      </c>
      <c r="J1578" s="163">
        <v>1.95</v>
      </c>
      <c r="K1578" s="163"/>
      <c r="L1578" s="163"/>
      <c r="M1578" s="164">
        <v>71</v>
      </c>
      <c r="N1578" s="164"/>
      <c r="O1578" s="164"/>
      <c r="P1578" s="159" t="s">
        <v>351</v>
      </c>
      <c r="Q1578" s="159" t="s">
        <v>547</v>
      </c>
      <c r="R1578" s="159" t="s">
        <v>3727</v>
      </c>
      <c r="S1578" s="165">
        <v>3.61620667343849E-2</v>
      </c>
      <c r="T1578" s="166" t="s">
        <v>382</v>
      </c>
      <c r="U1578" s="166"/>
      <c r="V1578" s="166"/>
      <c r="W1578" s="167">
        <f>IF(BetTable[Sport]="","",BetTable[Stake]+BetTable[S2]+BetTable[S3])</f>
        <v>71</v>
      </c>
      <c r="X1578" s="164">
        <f>IF(BetTable[Odds]="","",(BetTable[WBA1-Commission])-BetTable[TS])</f>
        <v>67.449999999999989</v>
      </c>
      <c r="Y1578" s="168">
        <f>IF(BetTable[Outcome]="","",BetTable[WBA1]+BetTable[WBA2]+BetTable[WBA3]-BetTable[TS])</f>
        <v>-71</v>
      </c>
      <c r="Z1578" s="164">
        <f>(((BetTable[Odds]-1)*BetTable[Stake])*(1-(BetTable[Comm %]))+BetTable[Stake])</f>
        <v>138.44999999999999</v>
      </c>
      <c r="AA1578" s="164">
        <f>(((BetTable[O2]-1)*BetTable[S2])*(1-(BetTable[C% 2]))+BetTable[S2])</f>
        <v>0</v>
      </c>
      <c r="AB1578" s="164">
        <f>(((BetTable[O3]-1)*BetTable[S3])*(1-(BetTable[C% 3]))+BetTable[S3])</f>
        <v>0</v>
      </c>
      <c r="AC1578" s="165">
        <f>IFERROR(IF(BetTable[Sport]="","",BetTable[R1]/BetTable[TS]),"")</f>
        <v>0.94999999999999984</v>
      </c>
      <c r="AD1578" s="165" t="str">
        <f>IF(BetTable[O2]="","",#REF!/BetTable[TS])</f>
        <v/>
      </c>
      <c r="AE1578" s="165" t="str">
        <f>IFERROR(IF(BetTable[Sport]="","",#REF!/BetTable[TS]),"")</f>
        <v/>
      </c>
      <c r="AF1578" s="164">
        <f>IF(BetTable[Outcome]="Win",BetTable[WBA1-Commission],IF(BetTable[Outcome]="Win Half Stake",(BetTable[Stake]/2)+BetTable[WBA1-Commission]/2,IF(BetTable[Outcome]="Lose Half Stake",BetTable[Stake]/2,IF(BetTable[Outcome]="Lose",0,IF(BetTable[Outcome]="Void",BetTable[Stake],)))))</f>
        <v>0</v>
      </c>
      <c r="AG1578" s="164">
        <f>IF(BetTable[Outcome2]="Win",BetTable[WBA2-Commission],IF(BetTable[Outcome2]="Win Half Stake",(BetTable[S2]/2)+BetTable[WBA2-Commission]/2,IF(BetTable[Outcome2]="Lose Half Stake",BetTable[S2]/2,IF(BetTable[Outcome2]="Lose",0,IF(BetTable[Outcome2]="Void",BetTable[S2],)))))</f>
        <v>0</v>
      </c>
      <c r="AH1578" s="164">
        <f>IF(BetTable[Outcome3]="Win",BetTable[WBA3-Commission],IF(BetTable[Outcome3]="Win Half Stake",(BetTable[S3]/2)+BetTable[WBA3-Commission]/2,IF(BetTable[Outcome3]="Lose Half Stake",BetTable[S3]/2,IF(BetTable[Outcome3]="Lose",0,IF(BetTable[Outcome3]="Void",BetTable[S3],)))))</f>
        <v>0</v>
      </c>
      <c r="AI1578" s="168">
        <f>IF(BetTable[Outcome]="",AI1577,BetTable[Result]+AI1577)</f>
        <v>1567.5577499999988</v>
      </c>
      <c r="AJ1578" s="160"/>
    </row>
    <row r="1579" spans="1:36" x14ac:dyDescent="0.2">
      <c r="A1579" s="159" t="s">
        <v>3728</v>
      </c>
      <c r="B1579" s="160" t="s">
        <v>7</v>
      </c>
      <c r="C1579" s="161" t="s">
        <v>1714</v>
      </c>
      <c r="D1579" s="161"/>
      <c r="E1579" s="161"/>
      <c r="F1579" s="162"/>
      <c r="G1579" s="162"/>
      <c r="H1579" s="162"/>
      <c r="I1579" s="160" t="s">
        <v>3729</v>
      </c>
      <c r="J1579" s="163">
        <v>1.86</v>
      </c>
      <c r="K1579" s="163"/>
      <c r="L1579" s="163"/>
      <c r="M1579" s="164">
        <v>44</v>
      </c>
      <c r="N1579" s="164"/>
      <c r="O1579" s="164"/>
      <c r="P1579" s="159" t="s">
        <v>3730</v>
      </c>
      <c r="Q1579" s="159" t="s">
        <v>818</v>
      </c>
      <c r="R1579" s="159" t="s">
        <v>3731</v>
      </c>
      <c r="S1579" s="165">
        <v>2.2516935498217799E-2</v>
      </c>
      <c r="T1579" s="166" t="s">
        <v>372</v>
      </c>
      <c r="U1579" s="166"/>
      <c r="V1579" s="166"/>
      <c r="W1579" s="167">
        <f>IF(BetTable[Sport]="","",BetTable[Stake]+BetTable[S2]+BetTable[S3])</f>
        <v>44</v>
      </c>
      <c r="X1579" s="164">
        <f>IF(BetTable[Odds]="","",(BetTable[WBA1-Commission])-BetTable[TS])</f>
        <v>37.840000000000003</v>
      </c>
      <c r="Y1579" s="168">
        <f>IF(BetTable[Outcome]="","",BetTable[WBA1]+BetTable[WBA2]+BetTable[WBA3]-BetTable[TS])</f>
        <v>37.840000000000003</v>
      </c>
      <c r="Z1579" s="164">
        <f>(((BetTable[Odds]-1)*BetTable[Stake])*(1-(BetTable[Comm %]))+BetTable[Stake])</f>
        <v>81.84</v>
      </c>
      <c r="AA1579" s="164">
        <f>(((BetTable[O2]-1)*BetTable[S2])*(1-(BetTable[C% 2]))+BetTable[S2])</f>
        <v>0</v>
      </c>
      <c r="AB1579" s="164">
        <f>(((BetTable[O3]-1)*BetTable[S3])*(1-(BetTable[C% 3]))+BetTable[S3])</f>
        <v>0</v>
      </c>
      <c r="AC1579" s="165">
        <f>IFERROR(IF(BetTable[Sport]="","",BetTable[R1]/BetTable[TS]),"")</f>
        <v>0.8600000000000001</v>
      </c>
      <c r="AD1579" s="165" t="str">
        <f>IF(BetTable[O2]="","",#REF!/BetTable[TS])</f>
        <v/>
      </c>
      <c r="AE1579" s="165" t="str">
        <f>IFERROR(IF(BetTable[Sport]="","",#REF!/BetTable[TS]),"")</f>
        <v/>
      </c>
      <c r="AF1579" s="164">
        <f>IF(BetTable[Outcome]="Win",BetTable[WBA1-Commission],IF(BetTable[Outcome]="Win Half Stake",(BetTable[Stake]/2)+BetTable[WBA1-Commission]/2,IF(BetTable[Outcome]="Lose Half Stake",BetTable[Stake]/2,IF(BetTable[Outcome]="Lose",0,IF(BetTable[Outcome]="Void",BetTable[Stake],)))))</f>
        <v>81.84</v>
      </c>
      <c r="AG1579" s="164">
        <f>IF(BetTable[Outcome2]="Win",BetTable[WBA2-Commission],IF(BetTable[Outcome2]="Win Half Stake",(BetTable[S2]/2)+BetTable[WBA2-Commission]/2,IF(BetTable[Outcome2]="Lose Half Stake",BetTable[S2]/2,IF(BetTable[Outcome2]="Lose",0,IF(BetTable[Outcome2]="Void",BetTable[S2],)))))</f>
        <v>0</v>
      </c>
      <c r="AH1579" s="164">
        <f>IF(BetTable[Outcome3]="Win",BetTable[WBA3-Commission],IF(BetTable[Outcome3]="Win Half Stake",(BetTable[S3]/2)+BetTable[WBA3-Commission]/2,IF(BetTable[Outcome3]="Lose Half Stake",BetTable[S3]/2,IF(BetTable[Outcome3]="Lose",0,IF(BetTable[Outcome3]="Void",BetTable[S3],)))))</f>
        <v>0</v>
      </c>
      <c r="AI1579" s="168">
        <f>IF(BetTable[Outcome]="",AI1578,BetTable[Result]+AI1578)</f>
        <v>1605.3977499999987</v>
      </c>
      <c r="AJ1579" s="160"/>
    </row>
    <row r="1580" spans="1:36" x14ac:dyDescent="0.2">
      <c r="A1580" s="159" t="s">
        <v>3728</v>
      </c>
      <c r="B1580" s="160" t="s">
        <v>200</v>
      </c>
      <c r="C1580" s="161" t="s">
        <v>1714</v>
      </c>
      <c r="D1580" s="161"/>
      <c r="E1580" s="161"/>
      <c r="F1580" s="162"/>
      <c r="G1580" s="162"/>
      <c r="H1580" s="162"/>
      <c r="I1580" s="160" t="s">
        <v>3732</v>
      </c>
      <c r="J1580" s="163">
        <v>1.9</v>
      </c>
      <c r="K1580" s="163"/>
      <c r="L1580" s="163"/>
      <c r="M1580" s="164">
        <v>51</v>
      </c>
      <c r="N1580" s="164"/>
      <c r="O1580" s="164"/>
      <c r="P1580" s="159" t="s">
        <v>1501</v>
      </c>
      <c r="Q1580" s="159" t="s">
        <v>1848</v>
      </c>
      <c r="R1580" s="159" t="s">
        <v>3733</v>
      </c>
      <c r="S1580" s="165">
        <v>2.7579167044732698E-2</v>
      </c>
      <c r="T1580" s="166" t="s">
        <v>372</v>
      </c>
      <c r="U1580" s="166"/>
      <c r="V1580" s="166"/>
      <c r="W1580" s="167">
        <f>IF(BetTable[Sport]="","",BetTable[Stake]+BetTable[S2]+BetTable[S3])</f>
        <v>51</v>
      </c>
      <c r="X1580" s="164">
        <f>IF(BetTable[Odds]="","",(BetTable[WBA1-Commission])-BetTable[TS])</f>
        <v>45.900000000000006</v>
      </c>
      <c r="Y1580" s="168">
        <f>IF(BetTable[Outcome]="","",BetTable[WBA1]+BetTable[WBA2]+BetTable[WBA3]-BetTable[TS])</f>
        <v>45.900000000000006</v>
      </c>
      <c r="Z1580" s="164">
        <f>(((BetTable[Odds]-1)*BetTable[Stake])*(1-(BetTable[Comm %]))+BetTable[Stake])</f>
        <v>96.9</v>
      </c>
      <c r="AA1580" s="164">
        <f>(((BetTable[O2]-1)*BetTable[S2])*(1-(BetTable[C% 2]))+BetTable[S2])</f>
        <v>0</v>
      </c>
      <c r="AB1580" s="164">
        <f>(((BetTable[O3]-1)*BetTable[S3])*(1-(BetTable[C% 3]))+BetTable[S3])</f>
        <v>0</v>
      </c>
      <c r="AC1580" s="165">
        <f>IFERROR(IF(BetTable[Sport]="","",BetTable[R1]/BetTable[TS]),"")</f>
        <v>0.90000000000000013</v>
      </c>
      <c r="AD1580" s="165" t="str">
        <f>IF(BetTable[O2]="","",#REF!/BetTable[TS])</f>
        <v/>
      </c>
      <c r="AE1580" s="165" t="str">
        <f>IFERROR(IF(BetTable[Sport]="","",#REF!/BetTable[TS]),"")</f>
        <v/>
      </c>
      <c r="AF1580" s="164">
        <f>IF(BetTable[Outcome]="Win",BetTable[WBA1-Commission],IF(BetTable[Outcome]="Win Half Stake",(BetTable[Stake]/2)+BetTable[WBA1-Commission]/2,IF(BetTable[Outcome]="Lose Half Stake",BetTable[Stake]/2,IF(BetTable[Outcome]="Lose",0,IF(BetTable[Outcome]="Void",BetTable[Stake],)))))</f>
        <v>96.9</v>
      </c>
      <c r="AG1580" s="164">
        <f>IF(BetTable[Outcome2]="Win",BetTable[WBA2-Commission],IF(BetTable[Outcome2]="Win Half Stake",(BetTable[S2]/2)+BetTable[WBA2-Commission]/2,IF(BetTable[Outcome2]="Lose Half Stake",BetTable[S2]/2,IF(BetTable[Outcome2]="Lose",0,IF(BetTable[Outcome2]="Void",BetTable[S2],)))))</f>
        <v>0</v>
      </c>
      <c r="AH1580" s="164">
        <f>IF(BetTable[Outcome3]="Win",BetTable[WBA3-Commission],IF(BetTable[Outcome3]="Win Half Stake",(BetTable[S3]/2)+BetTable[WBA3-Commission]/2,IF(BetTable[Outcome3]="Lose Half Stake",BetTable[S3]/2,IF(BetTable[Outcome3]="Lose",0,IF(BetTable[Outcome3]="Void",BetTable[S3],)))))</f>
        <v>0</v>
      </c>
      <c r="AI1580" s="168">
        <f>IF(BetTable[Outcome]="",AI1579,BetTable[Result]+AI1579)</f>
        <v>1651.2977499999988</v>
      </c>
      <c r="AJ1580" s="160"/>
    </row>
    <row r="1581" spans="1:36" x14ac:dyDescent="0.2">
      <c r="A1581" s="159" t="s">
        <v>3728</v>
      </c>
      <c r="B1581" s="160" t="s">
        <v>200</v>
      </c>
      <c r="C1581" s="161" t="s">
        <v>1714</v>
      </c>
      <c r="D1581" s="161"/>
      <c r="E1581" s="161"/>
      <c r="F1581" s="162"/>
      <c r="G1581" s="162"/>
      <c r="H1581" s="162"/>
      <c r="I1581" s="160" t="s">
        <v>3734</v>
      </c>
      <c r="J1581" s="163">
        <v>2.3199999999999998</v>
      </c>
      <c r="K1581" s="163"/>
      <c r="L1581" s="163"/>
      <c r="M1581" s="164">
        <v>33</v>
      </c>
      <c r="N1581" s="164"/>
      <c r="O1581" s="164"/>
      <c r="P1581" s="159" t="s">
        <v>435</v>
      </c>
      <c r="Q1581" s="159" t="s">
        <v>506</v>
      </c>
      <c r="R1581" s="159" t="s">
        <v>3735</v>
      </c>
      <c r="S1581" s="165">
        <v>2.59242255415791E-2</v>
      </c>
      <c r="T1581" s="166" t="s">
        <v>382</v>
      </c>
      <c r="U1581" s="166"/>
      <c r="V1581" s="166"/>
      <c r="W1581" s="167">
        <f>IF(BetTable[Sport]="","",BetTable[Stake]+BetTable[S2]+BetTable[S3])</f>
        <v>33</v>
      </c>
      <c r="X1581" s="164">
        <f>IF(BetTable[Odds]="","",(BetTable[WBA1-Commission])-BetTable[TS])</f>
        <v>43.56</v>
      </c>
      <c r="Y1581" s="168">
        <f>IF(BetTable[Outcome]="","",BetTable[WBA1]+BetTable[WBA2]+BetTable[WBA3]-BetTable[TS])</f>
        <v>-33</v>
      </c>
      <c r="Z1581" s="164">
        <f>(((BetTable[Odds]-1)*BetTable[Stake])*(1-(BetTable[Comm %]))+BetTable[Stake])</f>
        <v>76.56</v>
      </c>
      <c r="AA1581" s="164">
        <f>(((BetTable[O2]-1)*BetTable[S2])*(1-(BetTable[C% 2]))+BetTable[S2])</f>
        <v>0</v>
      </c>
      <c r="AB1581" s="164">
        <f>(((BetTable[O3]-1)*BetTable[S3])*(1-(BetTable[C% 3]))+BetTable[S3])</f>
        <v>0</v>
      </c>
      <c r="AC1581" s="165">
        <f>IFERROR(IF(BetTable[Sport]="","",BetTable[R1]/BetTable[TS]),"")</f>
        <v>1.32</v>
      </c>
      <c r="AD1581" s="165" t="str">
        <f>IF(BetTable[O2]="","",#REF!/BetTable[TS])</f>
        <v/>
      </c>
      <c r="AE1581" s="165" t="str">
        <f>IFERROR(IF(BetTable[Sport]="","",#REF!/BetTable[TS]),"")</f>
        <v/>
      </c>
      <c r="AF1581" s="164">
        <f>IF(BetTable[Outcome]="Win",BetTable[WBA1-Commission],IF(BetTable[Outcome]="Win Half Stake",(BetTable[Stake]/2)+BetTable[WBA1-Commission]/2,IF(BetTable[Outcome]="Lose Half Stake",BetTable[Stake]/2,IF(BetTable[Outcome]="Lose",0,IF(BetTable[Outcome]="Void",BetTable[Stake],)))))</f>
        <v>0</v>
      </c>
      <c r="AG1581" s="164">
        <f>IF(BetTable[Outcome2]="Win",BetTable[WBA2-Commission],IF(BetTable[Outcome2]="Win Half Stake",(BetTable[S2]/2)+BetTable[WBA2-Commission]/2,IF(BetTable[Outcome2]="Lose Half Stake",BetTable[S2]/2,IF(BetTable[Outcome2]="Lose",0,IF(BetTable[Outcome2]="Void",BetTable[S2],)))))</f>
        <v>0</v>
      </c>
      <c r="AH1581" s="164">
        <f>IF(BetTable[Outcome3]="Win",BetTable[WBA3-Commission],IF(BetTable[Outcome3]="Win Half Stake",(BetTable[S3]/2)+BetTable[WBA3-Commission]/2,IF(BetTable[Outcome3]="Lose Half Stake",BetTable[S3]/2,IF(BetTable[Outcome3]="Lose",0,IF(BetTable[Outcome3]="Void",BetTable[S3],)))))</f>
        <v>0</v>
      </c>
      <c r="AI1581" s="168">
        <f>IF(BetTable[Outcome]="",AI1580,BetTable[Result]+AI1580)</f>
        <v>1618.2977499999988</v>
      </c>
      <c r="AJ1581" s="160"/>
    </row>
    <row r="1582" spans="1:36" x14ac:dyDescent="0.2">
      <c r="A1582" s="159" t="s">
        <v>3728</v>
      </c>
      <c r="B1582" s="160" t="s">
        <v>200</v>
      </c>
      <c r="C1582" s="161" t="s">
        <v>1714</v>
      </c>
      <c r="D1582" s="161"/>
      <c r="E1582" s="161"/>
      <c r="F1582" s="162"/>
      <c r="G1582" s="162"/>
      <c r="H1582" s="162"/>
      <c r="I1582" s="160" t="s">
        <v>3736</v>
      </c>
      <c r="J1582" s="163">
        <v>3.1</v>
      </c>
      <c r="K1582" s="163"/>
      <c r="L1582" s="163"/>
      <c r="M1582" s="164">
        <v>22</v>
      </c>
      <c r="N1582" s="164"/>
      <c r="O1582" s="164"/>
      <c r="P1582" s="159" t="s">
        <v>494</v>
      </c>
      <c r="Q1582" s="159" t="s">
        <v>491</v>
      </c>
      <c r="R1582" s="159" t="s">
        <v>3737</v>
      </c>
      <c r="S1582" s="165">
        <v>2.7986616198407401E-2</v>
      </c>
      <c r="T1582" s="166" t="s">
        <v>372</v>
      </c>
      <c r="U1582" s="166"/>
      <c r="V1582" s="166"/>
      <c r="W1582" s="167">
        <f>IF(BetTable[Sport]="","",BetTable[Stake]+BetTable[S2]+BetTable[S3])</f>
        <v>22</v>
      </c>
      <c r="X1582" s="164">
        <f>IF(BetTable[Odds]="","",(BetTable[WBA1-Commission])-BetTable[TS])</f>
        <v>46.2</v>
      </c>
      <c r="Y1582" s="168">
        <f>IF(BetTable[Outcome]="","",BetTable[WBA1]+BetTable[WBA2]+BetTable[WBA3]-BetTable[TS])</f>
        <v>46.2</v>
      </c>
      <c r="Z1582" s="164">
        <f>(((BetTable[Odds]-1)*BetTable[Stake])*(1-(BetTable[Comm %]))+BetTable[Stake])</f>
        <v>68.2</v>
      </c>
      <c r="AA1582" s="164">
        <f>(((BetTable[O2]-1)*BetTable[S2])*(1-(BetTable[C% 2]))+BetTable[S2])</f>
        <v>0</v>
      </c>
      <c r="AB1582" s="164">
        <f>(((BetTable[O3]-1)*BetTable[S3])*(1-(BetTable[C% 3]))+BetTable[S3])</f>
        <v>0</v>
      </c>
      <c r="AC1582" s="165">
        <f>IFERROR(IF(BetTable[Sport]="","",BetTable[R1]/BetTable[TS]),"")</f>
        <v>2.1</v>
      </c>
      <c r="AD1582" s="165" t="str">
        <f>IF(BetTable[O2]="","",#REF!/BetTable[TS])</f>
        <v/>
      </c>
      <c r="AE1582" s="165" t="str">
        <f>IFERROR(IF(BetTable[Sport]="","",#REF!/BetTable[TS]),"")</f>
        <v/>
      </c>
      <c r="AF1582" s="164">
        <f>IF(BetTable[Outcome]="Win",BetTable[WBA1-Commission],IF(BetTable[Outcome]="Win Half Stake",(BetTable[Stake]/2)+BetTable[WBA1-Commission]/2,IF(BetTable[Outcome]="Lose Half Stake",BetTable[Stake]/2,IF(BetTable[Outcome]="Lose",0,IF(BetTable[Outcome]="Void",BetTable[Stake],)))))</f>
        <v>68.2</v>
      </c>
      <c r="AG1582" s="164">
        <f>IF(BetTable[Outcome2]="Win",BetTable[WBA2-Commission],IF(BetTable[Outcome2]="Win Half Stake",(BetTable[S2]/2)+BetTable[WBA2-Commission]/2,IF(BetTable[Outcome2]="Lose Half Stake",BetTable[S2]/2,IF(BetTable[Outcome2]="Lose",0,IF(BetTable[Outcome2]="Void",BetTable[S2],)))))</f>
        <v>0</v>
      </c>
      <c r="AH1582" s="164">
        <f>IF(BetTable[Outcome3]="Win",BetTable[WBA3-Commission],IF(BetTable[Outcome3]="Win Half Stake",(BetTable[S3]/2)+BetTable[WBA3-Commission]/2,IF(BetTable[Outcome3]="Lose Half Stake",BetTable[S3]/2,IF(BetTable[Outcome3]="Lose",0,IF(BetTable[Outcome3]="Void",BetTable[S3],)))))</f>
        <v>0</v>
      </c>
      <c r="AI1582" s="168">
        <f>IF(BetTable[Outcome]="",AI1581,BetTable[Result]+AI1581)</f>
        <v>1664.4977499999989</v>
      </c>
      <c r="AJ1582" s="160"/>
    </row>
    <row r="1583" spans="1:36" x14ac:dyDescent="0.2">
      <c r="A1583" s="159" t="s">
        <v>3728</v>
      </c>
      <c r="B1583" s="160" t="s">
        <v>200</v>
      </c>
      <c r="C1583" s="161" t="s">
        <v>1714</v>
      </c>
      <c r="D1583" s="161"/>
      <c r="E1583" s="161"/>
      <c r="F1583" s="162"/>
      <c r="G1583" s="162"/>
      <c r="H1583" s="162"/>
      <c r="I1583" s="160" t="s">
        <v>3738</v>
      </c>
      <c r="J1583" s="163">
        <v>1.8</v>
      </c>
      <c r="K1583" s="163"/>
      <c r="L1583" s="163"/>
      <c r="M1583" s="164">
        <v>57</v>
      </c>
      <c r="N1583" s="164"/>
      <c r="O1583" s="164"/>
      <c r="P1583" s="159" t="s">
        <v>354</v>
      </c>
      <c r="Q1583" s="159" t="s">
        <v>818</v>
      </c>
      <c r="R1583" s="159" t="s">
        <v>3739</v>
      </c>
      <c r="S1583" s="165">
        <v>2.7154883304912201E-2</v>
      </c>
      <c r="T1583" s="166" t="s">
        <v>510</v>
      </c>
      <c r="U1583" s="166"/>
      <c r="V1583" s="166"/>
      <c r="W1583" s="167">
        <f>IF(BetTable[Sport]="","",BetTable[Stake]+BetTable[S2]+BetTable[S3])</f>
        <v>57</v>
      </c>
      <c r="X1583" s="164">
        <f>IF(BetTable[Odds]="","",(BetTable[WBA1-Commission])-BetTable[TS])</f>
        <v>45.599999999999994</v>
      </c>
      <c r="Y1583" s="168">
        <f>IF(BetTable[Outcome]="","",BetTable[WBA1]+BetTable[WBA2]+BetTable[WBA3]-BetTable[TS])</f>
        <v>22.799999999999997</v>
      </c>
      <c r="Z1583" s="164">
        <f>(((BetTable[Odds]-1)*BetTable[Stake])*(1-(BetTable[Comm %]))+BetTable[Stake])</f>
        <v>102.6</v>
      </c>
      <c r="AA1583" s="164">
        <f>(((BetTable[O2]-1)*BetTable[S2])*(1-(BetTable[C% 2]))+BetTable[S2])</f>
        <v>0</v>
      </c>
      <c r="AB1583" s="164">
        <f>(((BetTable[O3]-1)*BetTable[S3])*(1-(BetTable[C% 3]))+BetTable[S3])</f>
        <v>0</v>
      </c>
      <c r="AC1583" s="165">
        <f>IFERROR(IF(BetTable[Sport]="","",BetTable[R1]/BetTable[TS]),"")</f>
        <v>0.79999999999999993</v>
      </c>
      <c r="AD1583" s="165" t="str">
        <f>IF(BetTable[O2]="","",#REF!/BetTable[TS])</f>
        <v/>
      </c>
      <c r="AE1583" s="165" t="str">
        <f>IFERROR(IF(BetTable[Sport]="","",#REF!/BetTable[TS]),"")</f>
        <v/>
      </c>
      <c r="AF1583" s="164">
        <f>IF(BetTable[Outcome]="Win",BetTable[WBA1-Commission],IF(BetTable[Outcome]="Win Half Stake",(BetTable[Stake]/2)+BetTable[WBA1-Commission]/2,IF(BetTable[Outcome]="Lose Half Stake",BetTable[Stake]/2,IF(BetTable[Outcome]="Lose",0,IF(BetTable[Outcome]="Void",BetTable[Stake],)))))</f>
        <v>79.8</v>
      </c>
      <c r="AG1583" s="164">
        <f>IF(BetTable[Outcome2]="Win",BetTable[WBA2-Commission],IF(BetTable[Outcome2]="Win Half Stake",(BetTable[S2]/2)+BetTable[WBA2-Commission]/2,IF(BetTable[Outcome2]="Lose Half Stake",BetTable[S2]/2,IF(BetTable[Outcome2]="Lose",0,IF(BetTable[Outcome2]="Void",BetTable[S2],)))))</f>
        <v>0</v>
      </c>
      <c r="AH1583" s="164">
        <f>IF(BetTable[Outcome3]="Win",BetTable[WBA3-Commission],IF(BetTable[Outcome3]="Win Half Stake",(BetTable[S3]/2)+BetTable[WBA3-Commission]/2,IF(BetTable[Outcome3]="Lose Half Stake",BetTable[S3]/2,IF(BetTable[Outcome3]="Lose",0,IF(BetTable[Outcome3]="Void",BetTable[S3],)))))</f>
        <v>0</v>
      </c>
      <c r="AI1583" s="168">
        <f>IF(BetTable[Outcome]="",AI1582,BetTable[Result]+AI1582)</f>
        <v>1687.2977499999988</v>
      </c>
      <c r="AJ1583" s="160"/>
    </row>
    <row r="1584" spans="1:36" x14ac:dyDescent="0.2">
      <c r="A1584" s="159" t="s">
        <v>3728</v>
      </c>
      <c r="B1584" s="160" t="s">
        <v>200</v>
      </c>
      <c r="C1584" s="161" t="s">
        <v>1714</v>
      </c>
      <c r="D1584" s="161"/>
      <c r="E1584" s="161"/>
      <c r="F1584" s="162"/>
      <c r="G1584" s="162"/>
      <c r="H1584" s="162"/>
      <c r="I1584" s="160" t="s">
        <v>3740</v>
      </c>
      <c r="J1584" s="163">
        <v>1.6</v>
      </c>
      <c r="K1584" s="163"/>
      <c r="L1584" s="163"/>
      <c r="M1584" s="164">
        <v>55</v>
      </c>
      <c r="N1584" s="164"/>
      <c r="O1584" s="164"/>
      <c r="P1584" s="159" t="s">
        <v>354</v>
      </c>
      <c r="Q1584" s="159" t="s">
        <v>818</v>
      </c>
      <c r="R1584" s="159" t="s">
        <v>3741</v>
      </c>
      <c r="S1584" s="165">
        <v>2.3639603403819098E-2</v>
      </c>
      <c r="T1584" s="166" t="s">
        <v>372</v>
      </c>
      <c r="U1584" s="166"/>
      <c r="V1584" s="166"/>
      <c r="W1584" s="167">
        <f>IF(BetTable[Sport]="","",BetTable[Stake]+BetTable[S2]+BetTable[S3])</f>
        <v>55</v>
      </c>
      <c r="X1584" s="164">
        <f>IF(BetTable[Odds]="","",(BetTable[WBA1-Commission])-BetTable[TS])</f>
        <v>33</v>
      </c>
      <c r="Y1584" s="168">
        <f>IF(BetTable[Outcome]="","",BetTable[WBA1]+BetTable[WBA2]+BetTable[WBA3]-BetTable[TS])</f>
        <v>33</v>
      </c>
      <c r="Z1584" s="164">
        <f>(((BetTable[Odds]-1)*BetTable[Stake])*(1-(BetTable[Comm %]))+BetTable[Stake])</f>
        <v>88</v>
      </c>
      <c r="AA1584" s="164">
        <f>(((BetTable[O2]-1)*BetTable[S2])*(1-(BetTable[C% 2]))+BetTable[S2])</f>
        <v>0</v>
      </c>
      <c r="AB1584" s="164">
        <f>(((BetTable[O3]-1)*BetTable[S3])*(1-(BetTable[C% 3]))+BetTable[S3])</f>
        <v>0</v>
      </c>
      <c r="AC1584" s="165">
        <f>IFERROR(IF(BetTable[Sport]="","",BetTable[R1]/BetTable[TS]),"")</f>
        <v>0.6</v>
      </c>
      <c r="AD1584" s="165" t="str">
        <f>IF(BetTable[O2]="","",#REF!/BetTable[TS])</f>
        <v/>
      </c>
      <c r="AE1584" s="165" t="str">
        <f>IFERROR(IF(BetTable[Sport]="","",#REF!/BetTable[TS]),"")</f>
        <v/>
      </c>
      <c r="AF1584" s="164">
        <f>IF(BetTable[Outcome]="Win",BetTable[WBA1-Commission],IF(BetTable[Outcome]="Win Half Stake",(BetTable[Stake]/2)+BetTable[WBA1-Commission]/2,IF(BetTable[Outcome]="Lose Half Stake",BetTable[Stake]/2,IF(BetTable[Outcome]="Lose",0,IF(BetTable[Outcome]="Void",BetTable[Stake],)))))</f>
        <v>88</v>
      </c>
      <c r="AG1584" s="164">
        <f>IF(BetTable[Outcome2]="Win",BetTable[WBA2-Commission],IF(BetTable[Outcome2]="Win Half Stake",(BetTable[S2]/2)+BetTable[WBA2-Commission]/2,IF(BetTable[Outcome2]="Lose Half Stake",BetTable[S2]/2,IF(BetTable[Outcome2]="Lose",0,IF(BetTable[Outcome2]="Void",BetTable[S2],)))))</f>
        <v>0</v>
      </c>
      <c r="AH1584" s="164">
        <f>IF(BetTable[Outcome3]="Win",BetTable[WBA3-Commission],IF(BetTable[Outcome3]="Win Half Stake",(BetTable[S3]/2)+BetTable[WBA3-Commission]/2,IF(BetTable[Outcome3]="Lose Half Stake",BetTable[S3]/2,IF(BetTable[Outcome3]="Lose",0,IF(BetTable[Outcome3]="Void",BetTable[S3],)))))</f>
        <v>0</v>
      </c>
      <c r="AI1584" s="168">
        <f>IF(BetTable[Outcome]="",AI1583,BetTable[Result]+AI1583)</f>
        <v>1720.2977499999988</v>
      </c>
      <c r="AJ1584" s="160"/>
    </row>
    <row r="1585" spans="1:36" x14ac:dyDescent="0.2">
      <c r="A1585" s="159" t="s">
        <v>3728</v>
      </c>
      <c r="B1585" s="160" t="s">
        <v>200</v>
      </c>
      <c r="C1585" s="161" t="s">
        <v>1714</v>
      </c>
      <c r="D1585" s="161"/>
      <c r="E1585" s="161"/>
      <c r="F1585" s="162"/>
      <c r="G1585" s="162"/>
      <c r="H1585" s="162"/>
      <c r="I1585" s="160" t="s">
        <v>3742</v>
      </c>
      <c r="J1585" s="163">
        <v>1.99</v>
      </c>
      <c r="K1585" s="163"/>
      <c r="L1585" s="163"/>
      <c r="M1585" s="164">
        <v>38</v>
      </c>
      <c r="N1585" s="164"/>
      <c r="O1585" s="164"/>
      <c r="P1585" s="159" t="s">
        <v>852</v>
      </c>
      <c r="Q1585" s="159" t="s">
        <v>503</v>
      </c>
      <c r="R1585" s="159" t="s">
        <v>3743</v>
      </c>
      <c r="S1585" s="165">
        <v>2.2354754199649399E-2</v>
      </c>
      <c r="T1585" s="166" t="s">
        <v>372</v>
      </c>
      <c r="U1585" s="166"/>
      <c r="V1585" s="166"/>
      <c r="W1585" s="167">
        <f>IF(BetTable[Sport]="","",BetTable[Stake]+BetTable[S2]+BetTable[S3])</f>
        <v>38</v>
      </c>
      <c r="X1585" s="164">
        <f>IF(BetTable[Odds]="","",(BetTable[WBA1-Commission])-BetTable[TS])</f>
        <v>37.620000000000005</v>
      </c>
      <c r="Y1585" s="168">
        <f>IF(BetTable[Outcome]="","",BetTable[WBA1]+BetTable[WBA2]+BetTable[WBA3]-BetTable[TS])</f>
        <v>37.620000000000005</v>
      </c>
      <c r="Z1585" s="164">
        <f>(((BetTable[Odds]-1)*BetTable[Stake])*(1-(BetTable[Comm %]))+BetTable[Stake])</f>
        <v>75.62</v>
      </c>
      <c r="AA1585" s="164">
        <f>(((BetTable[O2]-1)*BetTable[S2])*(1-(BetTable[C% 2]))+BetTable[S2])</f>
        <v>0</v>
      </c>
      <c r="AB1585" s="164">
        <f>(((BetTable[O3]-1)*BetTable[S3])*(1-(BetTable[C% 3]))+BetTable[S3])</f>
        <v>0</v>
      </c>
      <c r="AC1585" s="165">
        <f>IFERROR(IF(BetTable[Sport]="","",BetTable[R1]/BetTable[TS]),"")</f>
        <v>0.9900000000000001</v>
      </c>
      <c r="AD1585" s="165" t="str">
        <f>IF(BetTable[O2]="","",#REF!/BetTable[TS])</f>
        <v/>
      </c>
      <c r="AE1585" s="165" t="str">
        <f>IFERROR(IF(BetTable[Sport]="","",#REF!/BetTable[TS]),"")</f>
        <v/>
      </c>
      <c r="AF1585" s="164">
        <f>IF(BetTable[Outcome]="Win",BetTable[WBA1-Commission],IF(BetTable[Outcome]="Win Half Stake",(BetTable[Stake]/2)+BetTable[WBA1-Commission]/2,IF(BetTable[Outcome]="Lose Half Stake",BetTable[Stake]/2,IF(BetTable[Outcome]="Lose",0,IF(BetTable[Outcome]="Void",BetTable[Stake],)))))</f>
        <v>75.62</v>
      </c>
      <c r="AG1585" s="164">
        <f>IF(BetTable[Outcome2]="Win",BetTable[WBA2-Commission],IF(BetTable[Outcome2]="Win Half Stake",(BetTable[S2]/2)+BetTable[WBA2-Commission]/2,IF(BetTable[Outcome2]="Lose Half Stake",BetTable[S2]/2,IF(BetTable[Outcome2]="Lose",0,IF(BetTable[Outcome2]="Void",BetTable[S2],)))))</f>
        <v>0</v>
      </c>
      <c r="AH1585" s="164">
        <f>IF(BetTable[Outcome3]="Win",BetTable[WBA3-Commission],IF(BetTable[Outcome3]="Win Half Stake",(BetTable[S3]/2)+BetTable[WBA3-Commission]/2,IF(BetTable[Outcome3]="Lose Half Stake",BetTable[S3]/2,IF(BetTable[Outcome3]="Lose",0,IF(BetTable[Outcome3]="Void",BetTable[S3],)))))</f>
        <v>0</v>
      </c>
      <c r="AI1585" s="168">
        <f>IF(BetTable[Outcome]="",AI1584,BetTable[Result]+AI1584)</f>
        <v>1757.9177499999987</v>
      </c>
      <c r="AJ1585" s="160"/>
    </row>
    <row r="1586" spans="1:36" x14ac:dyDescent="0.2">
      <c r="A1586" s="159" t="s">
        <v>3728</v>
      </c>
      <c r="B1586" s="160" t="s">
        <v>7</v>
      </c>
      <c r="C1586" s="161" t="s">
        <v>1714</v>
      </c>
      <c r="D1586" s="161"/>
      <c r="E1586" s="161"/>
      <c r="F1586" s="162"/>
      <c r="G1586" s="162"/>
      <c r="H1586" s="162"/>
      <c r="I1586" s="160" t="s">
        <v>3744</v>
      </c>
      <c r="J1586" s="163">
        <v>1.89</v>
      </c>
      <c r="K1586" s="163"/>
      <c r="L1586" s="163"/>
      <c r="M1586" s="164">
        <v>41</v>
      </c>
      <c r="N1586" s="164"/>
      <c r="O1586" s="164"/>
      <c r="P1586" s="159" t="s">
        <v>2964</v>
      </c>
      <c r="Q1586" s="159" t="s">
        <v>474</v>
      </c>
      <c r="R1586" s="159" t="s">
        <v>3745</v>
      </c>
      <c r="S1586" s="165">
        <v>2.1547796296563899E-2</v>
      </c>
      <c r="T1586" s="166" t="s">
        <v>372</v>
      </c>
      <c r="U1586" s="166"/>
      <c r="V1586" s="166"/>
      <c r="W1586" s="167">
        <f>IF(BetTable[Sport]="","",BetTable[Stake]+BetTable[S2]+BetTable[S3])</f>
        <v>41</v>
      </c>
      <c r="X1586" s="164">
        <f>IF(BetTable[Odds]="","",(BetTable[WBA1-Commission])-BetTable[TS])</f>
        <v>36.489999999999995</v>
      </c>
      <c r="Y1586" s="168">
        <f>IF(BetTable[Outcome]="","",BetTable[WBA1]+BetTable[WBA2]+BetTable[WBA3]-BetTable[TS])</f>
        <v>36.489999999999995</v>
      </c>
      <c r="Z1586" s="164">
        <f>(((BetTable[Odds]-1)*BetTable[Stake])*(1-(BetTable[Comm %]))+BetTable[Stake])</f>
        <v>77.489999999999995</v>
      </c>
      <c r="AA1586" s="164">
        <f>(((BetTable[O2]-1)*BetTable[S2])*(1-(BetTable[C% 2]))+BetTable[S2])</f>
        <v>0</v>
      </c>
      <c r="AB1586" s="164">
        <f>(((BetTable[O3]-1)*BetTable[S3])*(1-(BetTable[C% 3]))+BetTable[S3])</f>
        <v>0</v>
      </c>
      <c r="AC1586" s="165">
        <f>IFERROR(IF(BetTable[Sport]="","",BetTable[R1]/BetTable[TS]),"")</f>
        <v>0.8899999999999999</v>
      </c>
      <c r="AD1586" s="165" t="str">
        <f>IF(BetTable[O2]="","",#REF!/BetTable[TS])</f>
        <v/>
      </c>
      <c r="AE1586" s="165" t="str">
        <f>IFERROR(IF(BetTable[Sport]="","",#REF!/BetTable[TS]),"")</f>
        <v/>
      </c>
      <c r="AF1586" s="164">
        <f>IF(BetTable[Outcome]="Win",BetTable[WBA1-Commission],IF(BetTable[Outcome]="Win Half Stake",(BetTable[Stake]/2)+BetTable[WBA1-Commission]/2,IF(BetTable[Outcome]="Lose Half Stake",BetTable[Stake]/2,IF(BetTable[Outcome]="Lose",0,IF(BetTable[Outcome]="Void",BetTable[Stake],)))))</f>
        <v>77.489999999999995</v>
      </c>
      <c r="AG1586" s="164">
        <f>IF(BetTable[Outcome2]="Win",BetTable[WBA2-Commission],IF(BetTable[Outcome2]="Win Half Stake",(BetTable[S2]/2)+BetTable[WBA2-Commission]/2,IF(BetTable[Outcome2]="Lose Half Stake",BetTable[S2]/2,IF(BetTable[Outcome2]="Lose",0,IF(BetTable[Outcome2]="Void",BetTable[S2],)))))</f>
        <v>0</v>
      </c>
      <c r="AH1586" s="164">
        <f>IF(BetTable[Outcome3]="Win",BetTable[WBA3-Commission],IF(BetTable[Outcome3]="Win Half Stake",(BetTable[S3]/2)+BetTable[WBA3-Commission]/2,IF(BetTable[Outcome3]="Lose Half Stake",BetTable[S3]/2,IF(BetTable[Outcome3]="Lose",0,IF(BetTable[Outcome3]="Void",BetTable[S3],)))))</f>
        <v>0</v>
      </c>
      <c r="AI1586" s="168">
        <f>IF(BetTable[Outcome]="",AI1585,BetTable[Result]+AI1585)</f>
        <v>1794.4077499999987</v>
      </c>
      <c r="AJ1586" s="160"/>
    </row>
    <row r="1587" spans="1:36" x14ac:dyDescent="0.2">
      <c r="A1587" s="159" t="s">
        <v>3728</v>
      </c>
      <c r="B1587" s="160" t="s">
        <v>200</v>
      </c>
      <c r="C1587" s="161" t="s">
        <v>1714</v>
      </c>
      <c r="D1587" s="161"/>
      <c r="E1587" s="161"/>
      <c r="F1587" s="162"/>
      <c r="G1587" s="162"/>
      <c r="H1587" s="162"/>
      <c r="I1587" s="160" t="s">
        <v>3746</v>
      </c>
      <c r="J1587" s="163">
        <v>3.15</v>
      </c>
      <c r="K1587" s="163"/>
      <c r="L1587" s="163"/>
      <c r="M1587" s="164">
        <v>20</v>
      </c>
      <c r="N1587" s="164"/>
      <c r="O1587" s="164"/>
      <c r="P1587" s="159" t="s">
        <v>494</v>
      </c>
      <c r="Q1587" s="159" t="s">
        <v>818</v>
      </c>
      <c r="R1587" s="159" t="s">
        <v>3747</v>
      </c>
      <c r="S1587" s="165">
        <v>3.3047772308469003E-2</v>
      </c>
      <c r="T1587" s="166" t="s">
        <v>372</v>
      </c>
      <c r="U1587" s="166"/>
      <c r="V1587" s="166"/>
      <c r="W1587" s="167">
        <f>IF(BetTable[Sport]="","",BetTable[Stake]+BetTable[S2]+BetTable[S3])</f>
        <v>20</v>
      </c>
      <c r="X1587" s="164">
        <f>IF(BetTable[Odds]="","",(BetTable[WBA1-Commission])-BetTable[TS])</f>
        <v>43</v>
      </c>
      <c r="Y1587" s="168">
        <f>IF(BetTable[Outcome]="","",BetTable[WBA1]+BetTable[WBA2]+BetTable[WBA3]-BetTable[TS])</f>
        <v>43</v>
      </c>
      <c r="Z1587" s="164">
        <f>(((BetTable[Odds]-1)*BetTable[Stake])*(1-(BetTable[Comm %]))+BetTable[Stake])</f>
        <v>63</v>
      </c>
      <c r="AA1587" s="164">
        <f>(((BetTable[O2]-1)*BetTable[S2])*(1-(BetTable[C% 2]))+BetTable[S2])</f>
        <v>0</v>
      </c>
      <c r="AB1587" s="164">
        <f>(((BetTable[O3]-1)*BetTable[S3])*(1-(BetTable[C% 3]))+BetTable[S3])</f>
        <v>0</v>
      </c>
      <c r="AC1587" s="165">
        <f>IFERROR(IF(BetTable[Sport]="","",BetTable[R1]/BetTable[TS]),"")</f>
        <v>2.15</v>
      </c>
      <c r="AD1587" s="165" t="str">
        <f>IF(BetTable[O2]="","",#REF!/BetTable[TS])</f>
        <v/>
      </c>
      <c r="AE1587" s="165" t="str">
        <f>IFERROR(IF(BetTable[Sport]="","",#REF!/BetTable[TS]),"")</f>
        <v/>
      </c>
      <c r="AF1587" s="164">
        <f>IF(BetTable[Outcome]="Win",BetTable[WBA1-Commission],IF(BetTable[Outcome]="Win Half Stake",(BetTable[Stake]/2)+BetTable[WBA1-Commission]/2,IF(BetTable[Outcome]="Lose Half Stake",BetTable[Stake]/2,IF(BetTable[Outcome]="Lose",0,IF(BetTable[Outcome]="Void",BetTable[Stake],)))))</f>
        <v>63</v>
      </c>
      <c r="AG1587" s="164">
        <f>IF(BetTable[Outcome2]="Win",BetTable[WBA2-Commission],IF(BetTable[Outcome2]="Win Half Stake",(BetTable[S2]/2)+BetTable[WBA2-Commission]/2,IF(BetTable[Outcome2]="Lose Half Stake",BetTable[S2]/2,IF(BetTable[Outcome2]="Lose",0,IF(BetTable[Outcome2]="Void",BetTable[S2],)))))</f>
        <v>0</v>
      </c>
      <c r="AH1587" s="164">
        <f>IF(BetTable[Outcome3]="Win",BetTable[WBA3-Commission],IF(BetTable[Outcome3]="Win Half Stake",(BetTable[S3]/2)+BetTable[WBA3-Commission]/2,IF(BetTable[Outcome3]="Lose Half Stake",BetTable[S3]/2,IF(BetTable[Outcome3]="Lose",0,IF(BetTable[Outcome3]="Void",BetTable[S3],)))))</f>
        <v>0</v>
      </c>
      <c r="AI1587" s="168">
        <f>IF(BetTable[Outcome]="",AI1586,BetTable[Result]+AI1586)</f>
        <v>1837.4077499999987</v>
      </c>
      <c r="AJ1587" s="160"/>
    </row>
    <row r="1588" spans="1:36" x14ac:dyDescent="0.2">
      <c r="A1588" s="159" t="s">
        <v>3728</v>
      </c>
      <c r="B1588" s="160" t="s">
        <v>7</v>
      </c>
      <c r="C1588" s="161" t="s">
        <v>91</v>
      </c>
      <c r="D1588" s="161"/>
      <c r="E1588" s="161"/>
      <c r="F1588" s="162"/>
      <c r="G1588" s="162"/>
      <c r="H1588" s="162"/>
      <c r="I1588" s="160" t="s">
        <v>3748</v>
      </c>
      <c r="J1588" s="163">
        <v>2.08</v>
      </c>
      <c r="K1588" s="163"/>
      <c r="L1588" s="163"/>
      <c r="M1588" s="164">
        <v>38</v>
      </c>
      <c r="N1588" s="164"/>
      <c r="O1588" s="164"/>
      <c r="P1588" s="159" t="s">
        <v>3749</v>
      </c>
      <c r="Q1588" s="159" t="s">
        <v>1580</v>
      </c>
      <c r="R1588" s="159" t="s">
        <v>3750</v>
      </c>
      <c r="S1588" s="165">
        <v>2.4320164675254299E-2</v>
      </c>
      <c r="T1588" s="166" t="s">
        <v>372</v>
      </c>
      <c r="U1588" s="166"/>
      <c r="V1588" s="166"/>
      <c r="W1588" s="167">
        <f>IF(BetTable[Sport]="","",BetTable[Stake]+BetTable[S2]+BetTable[S3])</f>
        <v>38</v>
      </c>
      <c r="X1588" s="164">
        <f>IF(BetTable[Odds]="","",(BetTable[WBA1-Commission])-BetTable[TS])</f>
        <v>41.040000000000006</v>
      </c>
      <c r="Y1588" s="168">
        <f>IF(BetTable[Outcome]="","",BetTable[WBA1]+BetTable[WBA2]+BetTable[WBA3]-BetTable[TS])</f>
        <v>41.040000000000006</v>
      </c>
      <c r="Z1588" s="164">
        <f>(((BetTable[Odds]-1)*BetTable[Stake])*(1-(BetTable[Comm %]))+BetTable[Stake])</f>
        <v>79.040000000000006</v>
      </c>
      <c r="AA1588" s="164">
        <f>(((BetTable[O2]-1)*BetTable[S2])*(1-(BetTable[C% 2]))+BetTable[S2])</f>
        <v>0</v>
      </c>
      <c r="AB1588" s="164">
        <f>(((BetTable[O3]-1)*BetTable[S3])*(1-(BetTable[C% 3]))+BetTable[S3])</f>
        <v>0</v>
      </c>
      <c r="AC1588" s="165">
        <f>IFERROR(IF(BetTable[Sport]="","",BetTable[R1]/BetTable[TS]),"")</f>
        <v>1.08</v>
      </c>
      <c r="AD1588" s="165" t="str">
        <f>IF(BetTable[O2]="","",#REF!/BetTable[TS])</f>
        <v/>
      </c>
      <c r="AE1588" s="165" t="str">
        <f>IFERROR(IF(BetTable[Sport]="","",#REF!/BetTable[TS]),"")</f>
        <v/>
      </c>
      <c r="AF1588" s="164">
        <f>IF(BetTable[Outcome]="Win",BetTable[WBA1-Commission],IF(BetTable[Outcome]="Win Half Stake",(BetTable[Stake]/2)+BetTable[WBA1-Commission]/2,IF(BetTable[Outcome]="Lose Half Stake",BetTable[Stake]/2,IF(BetTable[Outcome]="Lose",0,IF(BetTable[Outcome]="Void",BetTable[Stake],)))))</f>
        <v>79.040000000000006</v>
      </c>
      <c r="AG1588" s="164">
        <f>IF(BetTable[Outcome2]="Win",BetTable[WBA2-Commission],IF(BetTable[Outcome2]="Win Half Stake",(BetTable[S2]/2)+BetTable[WBA2-Commission]/2,IF(BetTable[Outcome2]="Lose Half Stake",BetTable[S2]/2,IF(BetTable[Outcome2]="Lose",0,IF(BetTable[Outcome2]="Void",BetTable[S2],)))))</f>
        <v>0</v>
      </c>
      <c r="AH1588" s="164">
        <f>IF(BetTable[Outcome3]="Win",BetTable[WBA3-Commission],IF(BetTable[Outcome3]="Win Half Stake",(BetTable[S3]/2)+BetTable[WBA3-Commission]/2,IF(BetTable[Outcome3]="Lose Half Stake",BetTable[S3]/2,IF(BetTable[Outcome3]="Lose",0,IF(BetTable[Outcome3]="Void",BetTable[S3],)))))</f>
        <v>0</v>
      </c>
      <c r="AI1588" s="168">
        <f>IF(BetTable[Outcome]="",AI1587,BetTable[Result]+AI1587)</f>
        <v>1878.4477499999987</v>
      </c>
      <c r="AJ1588" s="160"/>
    </row>
    <row r="1589" spans="1:36" x14ac:dyDescent="0.2">
      <c r="A1589" s="159" t="s">
        <v>3728</v>
      </c>
      <c r="B1589" s="160" t="s">
        <v>7</v>
      </c>
      <c r="C1589" s="161" t="s">
        <v>91</v>
      </c>
      <c r="D1589" s="161"/>
      <c r="E1589" s="161"/>
      <c r="F1589" s="162"/>
      <c r="G1589" s="162"/>
      <c r="H1589" s="162"/>
      <c r="I1589" s="160" t="s">
        <v>3751</v>
      </c>
      <c r="J1589" s="163">
        <v>1.86</v>
      </c>
      <c r="K1589" s="163"/>
      <c r="L1589" s="163"/>
      <c r="M1589" s="164">
        <v>44</v>
      </c>
      <c r="N1589" s="164"/>
      <c r="O1589" s="164"/>
      <c r="P1589" s="159" t="s">
        <v>3159</v>
      </c>
      <c r="Q1589" s="159" t="s">
        <v>818</v>
      </c>
      <c r="R1589" s="159" t="s">
        <v>3752</v>
      </c>
      <c r="S1589" s="165">
        <v>2.2516935498217799E-2</v>
      </c>
      <c r="T1589" s="166" t="s">
        <v>372</v>
      </c>
      <c r="U1589" s="166"/>
      <c r="V1589" s="166"/>
      <c r="W1589" s="167">
        <f>IF(BetTable[Sport]="","",BetTable[Stake]+BetTable[S2]+BetTable[S3])</f>
        <v>44</v>
      </c>
      <c r="X1589" s="164">
        <f>IF(BetTable[Odds]="","",(BetTable[WBA1-Commission])-BetTable[TS])</f>
        <v>37.840000000000003</v>
      </c>
      <c r="Y1589" s="168">
        <f>IF(BetTable[Outcome]="","",BetTable[WBA1]+BetTable[WBA2]+BetTable[WBA3]-BetTable[TS])</f>
        <v>37.840000000000003</v>
      </c>
      <c r="Z1589" s="164">
        <f>(((BetTable[Odds]-1)*BetTable[Stake])*(1-(BetTable[Comm %]))+BetTable[Stake])</f>
        <v>81.84</v>
      </c>
      <c r="AA1589" s="164">
        <f>(((BetTable[O2]-1)*BetTable[S2])*(1-(BetTable[C% 2]))+BetTable[S2])</f>
        <v>0</v>
      </c>
      <c r="AB1589" s="164">
        <f>(((BetTable[O3]-1)*BetTable[S3])*(1-(BetTable[C% 3]))+BetTable[S3])</f>
        <v>0</v>
      </c>
      <c r="AC1589" s="165">
        <f>IFERROR(IF(BetTable[Sport]="","",BetTable[R1]/BetTable[TS]),"")</f>
        <v>0.8600000000000001</v>
      </c>
      <c r="AD1589" s="165" t="str">
        <f>IF(BetTable[O2]="","",#REF!/BetTable[TS])</f>
        <v/>
      </c>
      <c r="AE1589" s="165" t="str">
        <f>IFERROR(IF(BetTable[Sport]="","",#REF!/BetTable[TS]),"")</f>
        <v/>
      </c>
      <c r="AF1589" s="164">
        <f>IF(BetTable[Outcome]="Win",BetTable[WBA1-Commission],IF(BetTable[Outcome]="Win Half Stake",(BetTable[Stake]/2)+BetTable[WBA1-Commission]/2,IF(BetTable[Outcome]="Lose Half Stake",BetTable[Stake]/2,IF(BetTable[Outcome]="Lose",0,IF(BetTable[Outcome]="Void",BetTable[Stake],)))))</f>
        <v>81.84</v>
      </c>
      <c r="AG1589" s="164">
        <f>IF(BetTable[Outcome2]="Win",BetTable[WBA2-Commission],IF(BetTable[Outcome2]="Win Half Stake",(BetTable[S2]/2)+BetTable[WBA2-Commission]/2,IF(BetTable[Outcome2]="Lose Half Stake",BetTable[S2]/2,IF(BetTable[Outcome2]="Lose",0,IF(BetTable[Outcome2]="Void",BetTable[S2],)))))</f>
        <v>0</v>
      </c>
      <c r="AH1589" s="164">
        <f>IF(BetTable[Outcome3]="Win",BetTable[WBA3-Commission],IF(BetTable[Outcome3]="Win Half Stake",(BetTable[S3]/2)+BetTable[WBA3-Commission]/2,IF(BetTable[Outcome3]="Lose Half Stake",BetTable[S3]/2,IF(BetTable[Outcome3]="Lose",0,IF(BetTable[Outcome3]="Void",BetTable[S3],)))))</f>
        <v>0</v>
      </c>
      <c r="AI1589" s="168">
        <f>IF(BetTable[Outcome]="",AI1588,BetTable[Result]+AI1588)</f>
        <v>1916.2877499999986</v>
      </c>
      <c r="AJ1589" s="160"/>
    </row>
    <row r="1590" spans="1:36" x14ac:dyDescent="0.2">
      <c r="A1590" s="159" t="s">
        <v>3728</v>
      </c>
      <c r="B1590" s="160" t="s">
        <v>7</v>
      </c>
      <c r="C1590" s="161" t="s">
        <v>91</v>
      </c>
      <c r="D1590" s="161"/>
      <c r="E1590" s="161"/>
      <c r="F1590" s="162"/>
      <c r="G1590" s="162"/>
      <c r="H1590" s="162"/>
      <c r="I1590" s="160" t="s">
        <v>3753</v>
      </c>
      <c r="J1590" s="163">
        <v>1.9</v>
      </c>
      <c r="K1590" s="163"/>
      <c r="L1590" s="163"/>
      <c r="M1590" s="164">
        <v>50</v>
      </c>
      <c r="N1590" s="164"/>
      <c r="O1590" s="164"/>
      <c r="P1590" s="159" t="s">
        <v>3072</v>
      </c>
      <c r="Q1590" s="159" t="s">
        <v>1379</v>
      </c>
      <c r="R1590" s="159" t="s">
        <v>3754</v>
      </c>
      <c r="S1590" s="165">
        <v>2.69528110917839E-2</v>
      </c>
      <c r="T1590" s="166" t="s">
        <v>382</v>
      </c>
      <c r="U1590" s="166"/>
      <c r="V1590" s="166"/>
      <c r="W1590" s="167">
        <f>IF(BetTable[Sport]="","",BetTable[Stake]+BetTable[S2]+BetTable[S3])</f>
        <v>50</v>
      </c>
      <c r="X1590" s="164">
        <f>IF(BetTable[Odds]="","",(BetTable[WBA1-Commission])-BetTable[TS])</f>
        <v>45</v>
      </c>
      <c r="Y1590" s="168">
        <f>IF(BetTable[Outcome]="","",BetTable[WBA1]+BetTable[WBA2]+BetTable[WBA3]-BetTable[TS])</f>
        <v>-50</v>
      </c>
      <c r="Z1590" s="164">
        <f>(((BetTable[Odds]-1)*BetTable[Stake])*(1-(BetTable[Comm %]))+BetTable[Stake])</f>
        <v>95</v>
      </c>
      <c r="AA1590" s="164">
        <f>(((BetTable[O2]-1)*BetTable[S2])*(1-(BetTable[C% 2]))+BetTable[S2])</f>
        <v>0</v>
      </c>
      <c r="AB1590" s="164">
        <f>(((BetTable[O3]-1)*BetTable[S3])*(1-(BetTable[C% 3]))+BetTable[S3])</f>
        <v>0</v>
      </c>
      <c r="AC1590" s="165">
        <f>IFERROR(IF(BetTable[Sport]="","",BetTable[R1]/BetTable[TS]),"")</f>
        <v>0.9</v>
      </c>
      <c r="AD1590" s="165" t="str">
        <f>IF(BetTable[O2]="","",#REF!/BetTable[TS])</f>
        <v/>
      </c>
      <c r="AE1590" s="165" t="str">
        <f>IFERROR(IF(BetTable[Sport]="","",#REF!/BetTable[TS]),"")</f>
        <v/>
      </c>
      <c r="AF1590" s="164">
        <f>IF(BetTable[Outcome]="Win",BetTable[WBA1-Commission],IF(BetTable[Outcome]="Win Half Stake",(BetTable[Stake]/2)+BetTable[WBA1-Commission]/2,IF(BetTable[Outcome]="Lose Half Stake",BetTable[Stake]/2,IF(BetTable[Outcome]="Lose",0,IF(BetTable[Outcome]="Void",BetTable[Stake],)))))</f>
        <v>0</v>
      </c>
      <c r="AG1590" s="164">
        <f>IF(BetTable[Outcome2]="Win",BetTable[WBA2-Commission],IF(BetTable[Outcome2]="Win Half Stake",(BetTable[S2]/2)+BetTable[WBA2-Commission]/2,IF(BetTable[Outcome2]="Lose Half Stake",BetTable[S2]/2,IF(BetTable[Outcome2]="Lose",0,IF(BetTable[Outcome2]="Void",BetTable[S2],)))))</f>
        <v>0</v>
      </c>
      <c r="AH1590" s="164">
        <f>IF(BetTable[Outcome3]="Win",BetTable[WBA3-Commission],IF(BetTable[Outcome3]="Win Half Stake",(BetTable[S3]/2)+BetTable[WBA3-Commission]/2,IF(BetTable[Outcome3]="Lose Half Stake",BetTable[S3]/2,IF(BetTable[Outcome3]="Lose",0,IF(BetTable[Outcome3]="Void",BetTable[S3],)))))</f>
        <v>0</v>
      </c>
      <c r="AI1590" s="168">
        <f>IF(BetTable[Outcome]="",AI1589,BetTable[Result]+AI1589)</f>
        <v>1866.2877499999986</v>
      </c>
      <c r="AJ1590" s="160"/>
    </row>
    <row r="1591" spans="1:36" x14ac:dyDescent="0.2">
      <c r="A1591" s="159" t="s">
        <v>3728</v>
      </c>
      <c r="B1591" s="160" t="s">
        <v>7</v>
      </c>
      <c r="C1591" s="161" t="s">
        <v>91</v>
      </c>
      <c r="D1591" s="161"/>
      <c r="E1591" s="161"/>
      <c r="F1591" s="162"/>
      <c r="G1591" s="162"/>
      <c r="H1591" s="162"/>
      <c r="I1591" s="160" t="s">
        <v>3729</v>
      </c>
      <c r="J1591" s="163">
        <v>1.97</v>
      </c>
      <c r="K1591" s="163"/>
      <c r="L1591" s="163"/>
      <c r="M1591" s="164">
        <v>66</v>
      </c>
      <c r="N1591" s="164"/>
      <c r="O1591" s="164"/>
      <c r="P1591" s="159" t="s">
        <v>3755</v>
      </c>
      <c r="Q1591" s="159" t="s">
        <v>818</v>
      </c>
      <c r="R1591" s="159" t="s">
        <v>3756</v>
      </c>
      <c r="S1591" s="165">
        <v>3.8203170850098299E-2</v>
      </c>
      <c r="T1591" s="166" t="s">
        <v>372</v>
      </c>
      <c r="U1591" s="166"/>
      <c r="V1591" s="166"/>
      <c r="W1591" s="167">
        <f>IF(BetTable[Sport]="","",BetTable[Stake]+BetTable[S2]+BetTable[S3])</f>
        <v>66</v>
      </c>
      <c r="X1591" s="164">
        <f>IF(BetTable[Odds]="","",(BetTable[WBA1-Commission])-BetTable[TS])</f>
        <v>64.019999999999982</v>
      </c>
      <c r="Y1591" s="168">
        <f>IF(BetTable[Outcome]="","",BetTable[WBA1]+BetTable[WBA2]+BetTable[WBA3]-BetTable[TS])</f>
        <v>64.019999999999982</v>
      </c>
      <c r="Z1591" s="164">
        <f>(((BetTable[Odds]-1)*BetTable[Stake])*(1-(BetTable[Comm %]))+BetTable[Stake])</f>
        <v>130.01999999999998</v>
      </c>
      <c r="AA1591" s="164">
        <f>(((BetTable[O2]-1)*BetTable[S2])*(1-(BetTable[C% 2]))+BetTable[S2])</f>
        <v>0</v>
      </c>
      <c r="AB1591" s="164">
        <f>(((BetTable[O3]-1)*BetTable[S3])*(1-(BetTable[C% 3]))+BetTable[S3])</f>
        <v>0</v>
      </c>
      <c r="AC1591" s="165">
        <f>IFERROR(IF(BetTable[Sport]="","",BetTable[R1]/BetTable[TS]),"")</f>
        <v>0.96999999999999975</v>
      </c>
      <c r="AD1591" s="165" t="str">
        <f>IF(BetTable[O2]="","",#REF!/BetTable[TS])</f>
        <v/>
      </c>
      <c r="AE1591" s="165" t="str">
        <f>IFERROR(IF(BetTable[Sport]="","",#REF!/BetTable[TS]),"")</f>
        <v/>
      </c>
      <c r="AF1591" s="164">
        <f>IF(BetTable[Outcome]="Win",BetTable[WBA1-Commission],IF(BetTable[Outcome]="Win Half Stake",(BetTable[Stake]/2)+BetTable[WBA1-Commission]/2,IF(BetTable[Outcome]="Lose Half Stake",BetTable[Stake]/2,IF(BetTable[Outcome]="Lose",0,IF(BetTable[Outcome]="Void",BetTable[Stake],)))))</f>
        <v>130.01999999999998</v>
      </c>
      <c r="AG1591" s="164">
        <f>IF(BetTable[Outcome2]="Win",BetTable[WBA2-Commission],IF(BetTable[Outcome2]="Win Half Stake",(BetTable[S2]/2)+BetTable[WBA2-Commission]/2,IF(BetTable[Outcome2]="Lose Half Stake",BetTable[S2]/2,IF(BetTable[Outcome2]="Lose",0,IF(BetTable[Outcome2]="Void",BetTable[S2],)))))</f>
        <v>0</v>
      </c>
      <c r="AH1591" s="164">
        <f>IF(BetTable[Outcome3]="Win",BetTable[WBA3-Commission],IF(BetTable[Outcome3]="Win Half Stake",(BetTable[S3]/2)+BetTable[WBA3-Commission]/2,IF(BetTable[Outcome3]="Lose Half Stake",BetTable[S3]/2,IF(BetTable[Outcome3]="Lose",0,IF(BetTable[Outcome3]="Void",BetTable[S3],)))))</f>
        <v>0</v>
      </c>
      <c r="AI1591" s="168">
        <f>IF(BetTable[Outcome]="",AI1590,BetTable[Result]+AI1590)</f>
        <v>1930.3077499999986</v>
      </c>
      <c r="AJ1591" s="160"/>
    </row>
    <row r="1592" spans="1:36" x14ac:dyDescent="0.2">
      <c r="A1592" s="159" t="s">
        <v>3728</v>
      </c>
      <c r="B1592" s="160" t="s">
        <v>7</v>
      </c>
      <c r="C1592" s="161" t="s">
        <v>1714</v>
      </c>
      <c r="D1592" s="161"/>
      <c r="E1592" s="161"/>
      <c r="F1592" s="162"/>
      <c r="G1592" s="162"/>
      <c r="H1592" s="162"/>
      <c r="I1592" s="160" t="s">
        <v>3757</v>
      </c>
      <c r="J1592" s="163">
        <v>1.92</v>
      </c>
      <c r="K1592" s="163"/>
      <c r="L1592" s="163"/>
      <c r="M1592" s="164">
        <v>39</v>
      </c>
      <c r="N1592" s="164"/>
      <c r="O1592" s="164"/>
      <c r="P1592" s="159" t="s">
        <v>3758</v>
      </c>
      <c r="Q1592" s="159" t="s">
        <v>482</v>
      </c>
      <c r="R1592" s="159" t="s">
        <v>3759</v>
      </c>
      <c r="S1592" s="165">
        <v>2.7313915857605099E-2</v>
      </c>
      <c r="T1592" s="166" t="s">
        <v>382</v>
      </c>
      <c r="U1592" s="166"/>
      <c r="V1592" s="166"/>
      <c r="W1592" s="167">
        <f>IF(BetTable[Sport]="","",BetTable[Stake]+BetTable[S2]+BetTable[S3])</f>
        <v>39</v>
      </c>
      <c r="X1592" s="164">
        <f>IF(BetTable[Odds]="","",(BetTable[WBA1-Commission])-BetTable[TS])</f>
        <v>35.879999999999995</v>
      </c>
      <c r="Y1592" s="168">
        <f>IF(BetTable[Outcome]="","",BetTable[WBA1]+BetTable[WBA2]+BetTable[WBA3]-BetTable[TS])</f>
        <v>-39</v>
      </c>
      <c r="Z1592" s="164">
        <f>(((BetTable[Odds]-1)*BetTable[Stake])*(1-(BetTable[Comm %]))+BetTable[Stake])</f>
        <v>74.88</v>
      </c>
      <c r="AA1592" s="164">
        <f>(((BetTable[O2]-1)*BetTable[S2])*(1-(BetTable[C% 2]))+BetTable[S2])</f>
        <v>0</v>
      </c>
      <c r="AB1592" s="164">
        <f>(((BetTable[O3]-1)*BetTable[S3])*(1-(BetTable[C% 3]))+BetTable[S3])</f>
        <v>0</v>
      </c>
      <c r="AC1592" s="165">
        <f>IFERROR(IF(BetTable[Sport]="","",BetTable[R1]/BetTable[TS]),"")</f>
        <v>0.91999999999999993</v>
      </c>
      <c r="AD1592" s="165" t="str">
        <f>IF(BetTable[O2]="","",#REF!/BetTable[TS])</f>
        <v/>
      </c>
      <c r="AE1592" s="165" t="str">
        <f>IFERROR(IF(BetTable[Sport]="","",#REF!/BetTable[TS]),"")</f>
        <v/>
      </c>
      <c r="AF1592" s="164">
        <f>IF(BetTable[Outcome]="Win",BetTable[WBA1-Commission],IF(BetTable[Outcome]="Win Half Stake",(BetTable[Stake]/2)+BetTable[WBA1-Commission]/2,IF(BetTable[Outcome]="Lose Half Stake",BetTable[Stake]/2,IF(BetTable[Outcome]="Lose",0,IF(BetTable[Outcome]="Void",BetTable[Stake],)))))</f>
        <v>0</v>
      </c>
      <c r="AG1592" s="164">
        <f>IF(BetTable[Outcome2]="Win",BetTable[WBA2-Commission],IF(BetTable[Outcome2]="Win Half Stake",(BetTable[S2]/2)+BetTable[WBA2-Commission]/2,IF(BetTable[Outcome2]="Lose Half Stake",BetTable[S2]/2,IF(BetTable[Outcome2]="Lose",0,IF(BetTable[Outcome2]="Void",BetTable[S2],)))))</f>
        <v>0</v>
      </c>
      <c r="AH1592" s="164">
        <f>IF(BetTable[Outcome3]="Win",BetTable[WBA3-Commission],IF(BetTable[Outcome3]="Win Half Stake",(BetTable[S3]/2)+BetTable[WBA3-Commission]/2,IF(BetTable[Outcome3]="Lose Half Stake",BetTable[S3]/2,IF(BetTable[Outcome3]="Lose",0,IF(BetTable[Outcome3]="Void",BetTable[S3],)))))</f>
        <v>0</v>
      </c>
      <c r="AI1592" s="168">
        <f>IF(BetTable[Outcome]="",AI1591,BetTable[Result]+AI1591)</f>
        <v>1891.3077499999986</v>
      </c>
      <c r="AJ1592" s="160"/>
    </row>
    <row r="1593" spans="1:36" x14ac:dyDescent="0.2">
      <c r="A1593" s="159" t="s">
        <v>3728</v>
      </c>
      <c r="B1593" s="160" t="s">
        <v>200</v>
      </c>
      <c r="C1593" s="161" t="s">
        <v>1714</v>
      </c>
      <c r="D1593" s="161"/>
      <c r="E1593" s="161"/>
      <c r="F1593" s="162"/>
      <c r="G1593" s="162"/>
      <c r="H1593" s="162"/>
      <c r="I1593" s="160" t="s">
        <v>3760</v>
      </c>
      <c r="J1593" s="163">
        <v>2.09</v>
      </c>
      <c r="K1593" s="163"/>
      <c r="L1593" s="163"/>
      <c r="M1593" s="164">
        <v>32</v>
      </c>
      <c r="N1593" s="164"/>
      <c r="O1593" s="164"/>
      <c r="P1593" s="159" t="s">
        <v>409</v>
      </c>
      <c r="Q1593" s="159" t="s">
        <v>818</v>
      </c>
      <c r="R1593" s="159" t="s">
        <v>3761</v>
      </c>
      <c r="S1593" s="165">
        <v>2.1061552759767899E-2</v>
      </c>
      <c r="T1593" s="166" t="s">
        <v>382</v>
      </c>
      <c r="U1593" s="166"/>
      <c r="V1593" s="166"/>
      <c r="W1593" s="167">
        <f>IF(BetTable[Sport]="","",BetTable[Stake]+BetTable[S2]+BetTable[S3])</f>
        <v>32</v>
      </c>
      <c r="X1593" s="164">
        <f>IF(BetTable[Odds]="","",(BetTable[WBA1-Commission])-BetTable[TS])</f>
        <v>34.879999999999995</v>
      </c>
      <c r="Y1593" s="168">
        <f>IF(BetTable[Outcome]="","",BetTable[WBA1]+BetTable[WBA2]+BetTable[WBA3]-BetTable[TS])</f>
        <v>-32</v>
      </c>
      <c r="Z1593" s="164">
        <f>(((BetTable[Odds]-1)*BetTable[Stake])*(1-(BetTable[Comm %]))+BetTable[Stake])</f>
        <v>66.88</v>
      </c>
      <c r="AA1593" s="164">
        <f>(((BetTable[O2]-1)*BetTable[S2])*(1-(BetTable[C% 2]))+BetTable[S2])</f>
        <v>0</v>
      </c>
      <c r="AB1593" s="164">
        <f>(((BetTable[O3]-1)*BetTable[S3])*(1-(BetTable[C% 3]))+BetTable[S3])</f>
        <v>0</v>
      </c>
      <c r="AC1593" s="165">
        <f>IFERROR(IF(BetTable[Sport]="","",BetTable[R1]/BetTable[TS]),"")</f>
        <v>1.0899999999999999</v>
      </c>
      <c r="AD1593" s="165" t="str">
        <f>IF(BetTable[O2]="","",#REF!/BetTable[TS])</f>
        <v/>
      </c>
      <c r="AE1593" s="165" t="str">
        <f>IFERROR(IF(BetTable[Sport]="","",#REF!/BetTable[TS]),"")</f>
        <v/>
      </c>
      <c r="AF1593" s="164">
        <f>IF(BetTable[Outcome]="Win",BetTable[WBA1-Commission],IF(BetTable[Outcome]="Win Half Stake",(BetTable[Stake]/2)+BetTable[WBA1-Commission]/2,IF(BetTable[Outcome]="Lose Half Stake",BetTable[Stake]/2,IF(BetTable[Outcome]="Lose",0,IF(BetTable[Outcome]="Void",BetTable[Stake],)))))</f>
        <v>0</v>
      </c>
      <c r="AG1593" s="164">
        <f>IF(BetTable[Outcome2]="Win",BetTable[WBA2-Commission],IF(BetTable[Outcome2]="Win Half Stake",(BetTable[S2]/2)+BetTable[WBA2-Commission]/2,IF(BetTable[Outcome2]="Lose Half Stake",BetTable[S2]/2,IF(BetTable[Outcome2]="Lose",0,IF(BetTable[Outcome2]="Void",BetTable[S2],)))))</f>
        <v>0</v>
      </c>
      <c r="AH1593" s="164">
        <f>IF(BetTable[Outcome3]="Win",BetTable[WBA3-Commission],IF(BetTable[Outcome3]="Win Half Stake",(BetTable[S3]/2)+BetTable[WBA3-Commission]/2,IF(BetTable[Outcome3]="Lose Half Stake",BetTable[S3]/2,IF(BetTable[Outcome3]="Lose",0,IF(BetTable[Outcome3]="Void",BetTable[S3],)))))</f>
        <v>0</v>
      </c>
      <c r="AI1593" s="168">
        <f>IF(BetTable[Outcome]="",AI1592,BetTable[Result]+AI1592)</f>
        <v>1859.3077499999986</v>
      </c>
      <c r="AJ1593" s="160"/>
    </row>
    <row r="1594" spans="1:36" x14ac:dyDescent="0.2">
      <c r="A1594" s="159" t="s">
        <v>3728</v>
      </c>
      <c r="B1594" s="160" t="s">
        <v>200</v>
      </c>
      <c r="C1594" s="161" t="s">
        <v>1714</v>
      </c>
      <c r="D1594" s="161"/>
      <c r="E1594" s="161"/>
      <c r="F1594" s="162"/>
      <c r="G1594" s="162"/>
      <c r="H1594" s="162"/>
      <c r="I1594" s="160" t="s">
        <v>3762</v>
      </c>
      <c r="J1594" s="163">
        <v>1.95</v>
      </c>
      <c r="K1594" s="163"/>
      <c r="L1594" s="163"/>
      <c r="M1594" s="164">
        <v>31</v>
      </c>
      <c r="N1594" s="164"/>
      <c r="O1594" s="164"/>
      <c r="P1594" s="159" t="s">
        <v>354</v>
      </c>
      <c r="Q1594" s="159" t="s">
        <v>488</v>
      </c>
      <c r="R1594" s="159" t="s">
        <v>3763</v>
      </c>
      <c r="S1594" s="165">
        <v>1.7676988866198E-2</v>
      </c>
      <c r="T1594" s="166" t="s">
        <v>372</v>
      </c>
      <c r="U1594" s="166"/>
      <c r="V1594" s="166"/>
      <c r="W1594" s="167">
        <f>IF(BetTable[Sport]="","",BetTable[Stake]+BetTable[S2]+BetTable[S3])</f>
        <v>31</v>
      </c>
      <c r="X1594" s="164">
        <f>IF(BetTable[Odds]="","",(BetTable[WBA1-Commission])-BetTable[TS])</f>
        <v>29.450000000000003</v>
      </c>
      <c r="Y1594" s="168">
        <f>IF(BetTable[Outcome]="","",BetTable[WBA1]+BetTable[WBA2]+BetTable[WBA3]-BetTable[TS])</f>
        <v>29.450000000000003</v>
      </c>
      <c r="Z1594" s="164">
        <f>(((BetTable[Odds]-1)*BetTable[Stake])*(1-(BetTable[Comm %]))+BetTable[Stake])</f>
        <v>60.45</v>
      </c>
      <c r="AA1594" s="164">
        <f>(((BetTable[O2]-1)*BetTable[S2])*(1-(BetTable[C% 2]))+BetTable[S2])</f>
        <v>0</v>
      </c>
      <c r="AB1594" s="164">
        <f>(((BetTable[O3]-1)*BetTable[S3])*(1-(BetTable[C% 3]))+BetTable[S3])</f>
        <v>0</v>
      </c>
      <c r="AC1594" s="165">
        <f>IFERROR(IF(BetTable[Sport]="","",BetTable[R1]/BetTable[TS]),"")</f>
        <v>0.95000000000000007</v>
      </c>
      <c r="AD1594" s="165" t="str">
        <f>IF(BetTable[O2]="","",#REF!/BetTable[TS])</f>
        <v/>
      </c>
      <c r="AE1594" s="165" t="str">
        <f>IFERROR(IF(BetTable[Sport]="","",#REF!/BetTable[TS]),"")</f>
        <v/>
      </c>
      <c r="AF1594" s="164">
        <f>IF(BetTable[Outcome]="Win",BetTable[WBA1-Commission],IF(BetTable[Outcome]="Win Half Stake",(BetTable[Stake]/2)+BetTable[WBA1-Commission]/2,IF(BetTable[Outcome]="Lose Half Stake",BetTable[Stake]/2,IF(BetTable[Outcome]="Lose",0,IF(BetTable[Outcome]="Void",BetTable[Stake],)))))</f>
        <v>60.45</v>
      </c>
      <c r="AG1594" s="164">
        <f>IF(BetTable[Outcome2]="Win",BetTable[WBA2-Commission],IF(BetTable[Outcome2]="Win Half Stake",(BetTable[S2]/2)+BetTable[WBA2-Commission]/2,IF(BetTable[Outcome2]="Lose Half Stake",BetTable[S2]/2,IF(BetTable[Outcome2]="Lose",0,IF(BetTable[Outcome2]="Void",BetTable[S2],)))))</f>
        <v>0</v>
      </c>
      <c r="AH1594" s="164">
        <f>IF(BetTable[Outcome3]="Win",BetTable[WBA3-Commission],IF(BetTable[Outcome3]="Win Half Stake",(BetTable[S3]/2)+BetTable[WBA3-Commission]/2,IF(BetTable[Outcome3]="Lose Half Stake",BetTable[S3]/2,IF(BetTable[Outcome3]="Lose",0,IF(BetTable[Outcome3]="Void",BetTable[S3],)))))</f>
        <v>0</v>
      </c>
      <c r="AI1594" s="168">
        <f>IF(BetTable[Outcome]="",AI1593,BetTable[Result]+AI1593)</f>
        <v>1888.7577499999986</v>
      </c>
      <c r="AJ1594" s="160"/>
    </row>
    <row r="1595" spans="1:36" x14ac:dyDescent="0.2">
      <c r="A1595" s="159" t="s">
        <v>3764</v>
      </c>
      <c r="B1595" s="160" t="s">
        <v>200</v>
      </c>
      <c r="C1595" s="161" t="s">
        <v>1714</v>
      </c>
      <c r="D1595" s="161"/>
      <c r="E1595" s="161"/>
      <c r="F1595" s="162"/>
      <c r="G1595" s="162"/>
      <c r="H1595" s="162"/>
      <c r="I1595" s="160" t="s">
        <v>3765</v>
      </c>
      <c r="J1595" s="163">
        <v>2.1230000000000002</v>
      </c>
      <c r="K1595" s="163"/>
      <c r="L1595" s="163"/>
      <c r="M1595" s="164">
        <v>56</v>
      </c>
      <c r="N1595" s="164"/>
      <c r="O1595" s="164"/>
      <c r="P1595" s="159" t="s">
        <v>652</v>
      </c>
      <c r="Q1595" s="159" t="s">
        <v>1475</v>
      </c>
      <c r="R1595" s="159" t="s">
        <v>3766</v>
      </c>
      <c r="S1595" s="165">
        <v>3.7183577277027403E-2</v>
      </c>
      <c r="T1595" s="166" t="s">
        <v>372</v>
      </c>
      <c r="U1595" s="166"/>
      <c r="V1595" s="166"/>
      <c r="W1595" s="167">
        <f>IF(BetTable[Sport]="","",BetTable[Stake]+BetTable[S2]+BetTable[S3])</f>
        <v>56</v>
      </c>
      <c r="X1595" s="164">
        <f>IF(BetTable[Odds]="","",(BetTable[WBA1-Commission])-BetTable[TS])</f>
        <v>62.888000000000005</v>
      </c>
      <c r="Y1595" s="168">
        <f>IF(BetTable[Outcome]="","",BetTable[WBA1]+BetTable[WBA2]+BetTable[WBA3]-BetTable[TS])</f>
        <v>62.888000000000005</v>
      </c>
      <c r="Z1595" s="164">
        <f>(((BetTable[Odds]-1)*BetTable[Stake])*(1-(BetTable[Comm %]))+BetTable[Stake])</f>
        <v>118.88800000000001</v>
      </c>
      <c r="AA1595" s="164">
        <f>(((BetTable[O2]-1)*BetTable[S2])*(1-(BetTable[C% 2]))+BetTable[S2])</f>
        <v>0</v>
      </c>
      <c r="AB1595" s="164">
        <f>(((BetTable[O3]-1)*BetTable[S3])*(1-(BetTable[C% 3]))+BetTable[S3])</f>
        <v>0</v>
      </c>
      <c r="AC1595" s="165">
        <f>IFERROR(IF(BetTable[Sport]="","",BetTable[R1]/BetTable[TS]),"")</f>
        <v>1.123</v>
      </c>
      <c r="AD1595" s="165" t="str">
        <f>IF(BetTable[O2]="","",#REF!/BetTable[TS])</f>
        <v/>
      </c>
      <c r="AE1595" s="165" t="str">
        <f>IFERROR(IF(BetTable[Sport]="","",#REF!/BetTable[TS]),"")</f>
        <v/>
      </c>
      <c r="AF1595" s="164">
        <f>IF(BetTable[Outcome]="Win",BetTable[WBA1-Commission],IF(BetTable[Outcome]="Win Half Stake",(BetTable[Stake]/2)+BetTable[WBA1-Commission]/2,IF(BetTable[Outcome]="Lose Half Stake",BetTable[Stake]/2,IF(BetTable[Outcome]="Lose",0,IF(BetTable[Outcome]="Void",BetTable[Stake],)))))</f>
        <v>118.88800000000001</v>
      </c>
      <c r="AG1595" s="164">
        <f>IF(BetTable[Outcome2]="Win",BetTable[WBA2-Commission],IF(BetTable[Outcome2]="Win Half Stake",(BetTable[S2]/2)+BetTable[WBA2-Commission]/2,IF(BetTable[Outcome2]="Lose Half Stake",BetTable[S2]/2,IF(BetTable[Outcome2]="Lose",0,IF(BetTable[Outcome2]="Void",BetTable[S2],)))))</f>
        <v>0</v>
      </c>
      <c r="AH1595" s="164">
        <f>IF(BetTable[Outcome3]="Win",BetTable[WBA3-Commission],IF(BetTable[Outcome3]="Win Half Stake",(BetTable[S3]/2)+BetTable[WBA3-Commission]/2,IF(BetTable[Outcome3]="Lose Half Stake",BetTable[S3]/2,IF(BetTable[Outcome3]="Lose",0,IF(BetTable[Outcome3]="Void",BetTable[S3],)))))</f>
        <v>0</v>
      </c>
      <c r="AI1595" s="168">
        <f>IF(BetTable[Outcome]="",AI1594,BetTable[Result]+AI1594)</f>
        <v>1951.6457499999985</v>
      </c>
      <c r="AJ1595" s="160"/>
    </row>
    <row r="1596" spans="1:36" x14ac:dyDescent="0.2">
      <c r="A1596" s="159" t="s">
        <v>3764</v>
      </c>
      <c r="B1596" s="160" t="s">
        <v>200</v>
      </c>
      <c r="C1596" s="161" t="s">
        <v>1714</v>
      </c>
      <c r="D1596" s="161"/>
      <c r="E1596" s="161"/>
      <c r="F1596" s="162"/>
      <c r="G1596" s="162"/>
      <c r="H1596" s="162"/>
      <c r="I1596" s="160" t="s">
        <v>3767</v>
      </c>
      <c r="J1596" s="163">
        <v>1.98</v>
      </c>
      <c r="K1596" s="163"/>
      <c r="L1596" s="163"/>
      <c r="M1596" s="164">
        <v>30</v>
      </c>
      <c r="N1596" s="164"/>
      <c r="O1596" s="164"/>
      <c r="P1596" s="159" t="s">
        <v>864</v>
      </c>
      <c r="Q1596" s="159" t="s">
        <v>540</v>
      </c>
      <c r="R1596" s="159" t="s">
        <v>3768</v>
      </c>
      <c r="S1596" s="165">
        <v>1.7747644960199999E-2</v>
      </c>
      <c r="T1596" s="166" t="s">
        <v>549</v>
      </c>
      <c r="U1596" s="166"/>
      <c r="V1596" s="166"/>
      <c r="W1596" s="167">
        <f>IF(BetTable[Sport]="","",BetTable[Stake]+BetTable[S2]+BetTable[S3])</f>
        <v>30</v>
      </c>
      <c r="X1596" s="164">
        <f>IF(BetTable[Odds]="","",(BetTable[WBA1-Commission])-BetTable[TS])</f>
        <v>29.4</v>
      </c>
      <c r="Y1596" s="168">
        <f>IF(BetTable[Outcome]="","",BetTable[WBA1]+BetTable[WBA2]+BetTable[WBA3]-BetTable[TS])</f>
        <v>-15</v>
      </c>
      <c r="Z1596" s="164">
        <f>(((BetTable[Odds]-1)*BetTable[Stake])*(1-(BetTable[Comm %]))+BetTable[Stake])</f>
        <v>59.4</v>
      </c>
      <c r="AA1596" s="164">
        <f>(((BetTable[O2]-1)*BetTable[S2])*(1-(BetTable[C% 2]))+BetTable[S2])</f>
        <v>0</v>
      </c>
      <c r="AB1596" s="164">
        <f>(((BetTable[O3]-1)*BetTable[S3])*(1-(BetTable[C% 3]))+BetTable[S3])</f>
        <v>0</v>
      </c>
      <c r="AC1596" s="165">
        <f>IFERROR(IF(BetTable[Sport]="","",BetTable[R1]/BetTable[TS]),"")</f>
        <v>0.98</v>
      </c>
      <c r="AD1596" s="165" t="str">
        <f>IF(BetTable[O2]="","",#REF!/BetTable[TS])</f>
        <v/>
      </c>
      <c r="AE1596" s="165" t="str">
        <f>IFERROR(IF(BetTable[Sport]="","",#REF!/BetTable[TS]),"")</f>
        <v/>
      </c>
      <c r="AF1596" s="164">
        <f>IF(BetTable[Outcome]="Win",BetTable[WBA1-Commission],IF(BetTable[Outcome]="Win Half Stake",(BetTable[Stake]/2)+BetTable[WBA1-Commission]/2,IF(BetTable[Outcome]="Lose Half Stake",BetTable[Stake]/2,IF(BetTable[Outcome]="Lose",0,IF(BetTable[Outcome]="Void",BetTable[Stake],)))))</f>
        <v>15</v>
      </c>
      <c r="AG1596" s="164">
        <f>IF(BetTable[Outcome2]="Win",BetTable[WBA2-Commission],IF(BetTable[Outcome2]="Win Half Stake",(BetTable[S2]/2)+BetTable[WBA2-Commission]/2,IF(BetTable[Outcome2]="Lose Half Stake",BetTable[S2]/2,IF(BetTable[Outcome2]="Lose",0,IF(BetTable[Outcome2]="Void",BetTable[S2],)))))</f>
        <v>0</v>
      </c>
      <c r="AH1596" s="164">
        <f>IF(BetTable[Outcome3]="Win",BetTable[WBA3-Commission],IF(BetTable[Outcome3]="Win Half Stake",(BetTable[S3]/2)+BetTable[WBA3-Commission]/2,IF(BetTable[Outcome3]="Lose Half Stake",BetTable[S3]/2,IF(BetTable[Outcome3]="Lose",0,IF(BetTable[Outcome3]="Void",BetTable[S3],)))))</f>
        <v>0</v>
      </c>
      <c r="AI1596" s="168">
        <f>IF(BetTable[Outcome]="",AI1595,BetTable[Result]+AI1595)</f>
        <v>1936.6457499999985</v>
      </c>
      <c r="AJ1596" s="160"/>
    </row>
    <row r="1597" spans="1:36" x14ac:dyDescent="0.2">
      <c r="A1597" s="159" t="s">
        <v>3764</v>
      </c>
      <c r="B1597" s="160" t="s">
        <v>7</v>
      </c>
      <c r="C1597" s="161" t="s">
        <v>1714</v>
      </c>
      <c r="D1597" s="161"/>
      <c r="E1597" s="161"/>
      <c r="F1597" s="162"/>
      <c r="G1597" s="162"/>
      <c r="H1597" s="162"/>
      <c r="I1597" s="160" t="s">
        <v>3769</v>
      </c>
      <c r="J1597" s="163">
        <v>1.91</v>
      </c>
      <c r="K1597" s="163"/>
      <c r="L1597" s="163"/>
      <c r="M1597" s="164">
        <v>31</v>
      </c>
      <c r="N1597" s="164"/>
      <c r="O1597" s="164"/>
      <c r="P1597" s="159" t="s">
        <v>3578</v>
      </c>
      <c r="Q1597" s="159" t="s">
        <v>569</v>
      </c>
      <c r="R1597" s="159" t="s">
        <v>3770</v>
      </c>
      <c r="S1597" s="165">
        <v>3.8908203584798698E-2</v>
      </c>
      <c r="T1597" s="166" t="s">
        <v>382</v>
      </c>
      <c r="U1597" s="166"/>
      <c r="V1597" s="166"/>
      <c r="W1597" s="167">
        <f>IF(BetTable[Sport]="","",BetTable[Stake]+BetTable[S2]+BetTable[S3])</f>
        <v>31</v>
      </c>
      <c r="X1597" s="164">
        <f>IF(BetTable[Odds]="","",(BetTable[WBA1-Commission])-BetTable[TS])</f>
        <v>28.209999999999994</v>
      </c>
      <c r="Y1597" s="168">
        <f>IF(BetTable[Outcome]="","",BetTable[WBA1]+BetTable[WBA2]+BetTable[WBA3]-BetTable[TS])</f>
        <v>-31</v>
      </c>
      <c r="Z1597" s="164">
        <f>(((BetTable[Odds]-1)*BetTable[Stake])*(1-(BetTable[Comm %]))+BetTable[Stake])</f>
        <v>59.209999999999994</v>
      </c>
      <c r="AA1597" s="164">
        <f>(((BetTable[O2]-1)*BetTable[S2])*(1-(BetTable[C% 2]))+BetTable[S2])</f>
        <v>0</v>
      </c>
      <c r="AB1597" s="164">
        <f>(((BetTable[O3]-1)*BetTable[S3])*(1-(BetTable[C% 3]))+BetTable[S3])</f>
        <v>0</v>
      </c>
      <c r="AC1597" s="165">
        <f>IFERROR(IF(BetTable[Sport]="","",BetTable[R1]/BetTable[TS]),"")</f>
        <v>0.90999999999999981</v>
      </c>
      <c r="AD1597" s="165" t="str">
        <f>IF(BetTable[O2]="","",#REF!/BetTable[TS])</f>
        <v/>
      </c>
      <c r="AE1597" s="165" t="str">
        <f>IFERROR(IF(BetTable[Sport]="","",#REF!/BetTable[TS]),"")</f>
        <v/>
      </c>
      <c r="AF1597" s="164">
        <f>IF(BetTable[Outcome]="Win",BetTable[WBA1-Commission],IF(BetTable[Outcome]="Win Half Stake",(BetTable[Stake]/2)+BetTable[WBA1-Commission]/2,IF(BetTable[Outcome]="Lose Half Stake",BetTable[Stake]/2,IF(BetTable[Outcome]="Lose",0,IF(BetTable[Outcome]="Void",BetTable[Stake],)))))</f>
        <v>0</v>
      </c>
      <c r="AG1597" s="164">
        <f>IF(BetTable[Outcome2]="Win",BetTable[WBA2-Commission],IF(BetTable[Outcome2]="Win Half Stake",(BetTable[S2]/2)+BetTable[WBA2-Commission]/2,IF(BetTable[Outcome2]="Lose Half Stake",BetTable[S2]/2,IF(BetTable[Outcome2]="Lose",0,IF(BetTable[Outcome2]="Void",BetTable[S2],)))))</f>
        <v>0</v>
      </c>
      <c r="AH1597" s="164">
        <f>IF(BetTable[Outcome3]="Win",BetTable[WBA3-Commission],IF(BetTable[Outcome3]="Win Half Stake",(BetTable[S3]/2)+BetTable[WBA3-Commission]/2,IF(BetTable[Outcome3]="Lose Half Stake",BetTable[S3]/2,IF(BetTable[Outcome3]="Lose",0,IF(BetTable[Outcome3]="Void",BetTable[S3],)))))</f>
        <v>0</v>
      </c>
      <c r="AI1597" s="168">
        <f>IF(BetTable[Outcome]="",AI1596,BetTable[Result]+AI1596)</f>
        <v>1905.6457499999985</v>
      </c>
      <c r="AJ1597" s="160"/>
    </row>
    <row r="1598" spans="1:36" x14ac:dyDescent="0.2">
      <c r="A1598" s="159" t="s">
        <v>3764</v>
      </c>
      <c r="B1598" s="160" t="s">
        <v>8</v>
      </c>
      <c r="C1598" s="161" t="s">
        <v>91</v>
      </c>
      <c r="D1598" s="161"/>
      <c r="E1598" s="161"/>
      <c r="F1598" s="162"/>
      <c r="G1598" s="162"/>
      <c r="H1598" s="162"/>
      <c r="I1598" s="160" t="s">
        <v>3771</v>
      </c>
      <c r="J1598" s="163">
        <v>2.29</v>
      </c>
      <c r="K1598" s="163"/>
      <c r="L1598" s="163"/>
      <c r="M1598" s="164">
        <v>27</v>
      </c>
      <c r="N1598" s="164"/>
      <c r="O1598" s="164"/>
      <c r="P1598" s="159" t="s">
        <v>435</v>
      </c>
      <c r="Q1598" s="159" t="s">
        <v>466</v>
      </c>
      <c r="R1598" s="159" t="s">
        <v>3772</v>
      </c>
      <c r="S1598" s="165">
        <v>2.0682193333611699E-2</v>
      </c>
      <c r="T1598" s="166" t="s">
        <v>372</v>
      </c>
      <c r="U1598" s="166"/>
      <c r="V1598" s="166"/>
      <c r="W1598" s="167">
        <f>IF(BetTable[Sport]="","",BetTable[Stake]+BetTable[S2]+BetTable[S3])</f>
        <v>27</v>
      </c>
      <c r="X1598" s="164">
        <f>IF(BetTable[Odds]="","",(BetTable[WBA1-Commission])-BetTable[TS])</f>
        <v>34.83</v>
      </c>
      <c r="Y1598" s="168">
        <f>IF(BetTable[Outcome]="","",BetTable[WBA1]+BetTable[WBA2]+BetTable[WBA3]-BetTable[TS])</f>
        <v>34.83</v>
      </c>
      <c r="Z1598" s="164">
        <f>(((BetTable[Odds]-1)*BetTable[Stake])*(1-(BetTable[Comm %]))+BetTable[Stake])</f>
        <v>61.83</v>
      </c>
      <c r="AA1598" s="164">
        <f>(((BetTable[O2]-1)*BetTable[S2])*(1-(BetTable[C% 2]))+BetTable[S2])</f>
        <v>0</v>
      </c>
      <c r="AB1598" s="164">
        <f>(((BetTable[O3]-1)*BetTable[S3])*(1-(BetTable[C% 3]))+BetTable[S3])</f>
        <v>0</v>
      </c>
      <c r="AC1598" s="165">
        <f>IFERROR(IF(BetTable[Sport]="","",BetTable[R1]/BetTable[TS]),"")</f>
        <v>1.29</v>
      </c>
      <c r="AD1598" s="165" t="str">
        <f>IF(BetTable[O2]="","",#REF!/BetTable[TS])</f>
        <v/>
      </c>
      <c r="AE1598" s="165" t="str">
        <f>IFERROR(IF(BetTable[Sport]="","",#REF!/BetTable[TS]),"")</f>
        <v/>
      </c>
      <c r="AF1598" s="164">
        <f>IF(BetTable[Outcome]="Win",BetTable[WBA1-Commission],IF(BetTable[Outcome]="Win Half Stake",(BetTable[Stake]/2)+BetTable[WBA1-Commission]/2,IF(BetTable[Outcome]="Lose Half Stake",BetTable[Stake]/2,IF(BetTable[Outcome]="Lose",0,IF(BetTable[Outcome]="Void",BetTable[Stake],)))))</f>
        <v>61.83</v>
      </c>
      <c r="AG1598" s="164">
        <f>IF(BetTable[Outcome2]="Win",BetTable[WBA2-Commission],IF(BetTable[Outcome2]="Win Half Stake",(BetTable[S2]/2)+BetTable[WBA2-Commission]/2,IF(BetTable[Outcome2]="Lose Half Stake",BetTable[S2]/2,IF(BetTable[Outcome2]="Lose",0,IF(BetTable[Outcome2]="Void",BetTable[S2],)))))</f>
        <v>0</v>
      </c>
      <c r="AH1598" s="164">
        <f>IF(BetTable[Outcome3]="Win",BetTable[WBA3-Commission],IF(BetTable[Outcome3]="Win Half Stake",(BetTable[S3]/2)+BetTable[WBA3-Commission]/2,IF(BetTable[Outcome3]="Lose Half Stake",BetTable[S3]/2,IF(BetTable[Outcome3]="Lose",0,IF(BetTable[Outcome3]="Void",BetTable[S3],)))))</f>
        <v>0</v>
      </c>
      <c r="AI1598" s="168">
        <f>IF(BetTable[Outcome]="",AI1597,BetTable[Result]+AI1597)</f>
        <v>1940.4757499999985</v>
      </c>
      <c r="AJ1598" s="160"/>
    </row>
    <row r="1599" spans="1:36" x14ac:dyDescent="0.2">
      <c r="A1599" s="159" t="s">
        <v>3764</v>
      </c>
      <c r="B1599" s="160" t="s">
        <v>200</v>
      </c>
      <c r="C1599" s="161" t="s">
        <v>1714</v>
      </c>
      <c r="D1599" s="161"/>
      <c r="E1599" s="161"/>
      <c r="F1599" s="162"/>
      <c r="G1599" s="162"/>
      <c r="H1599" s="162"/>
      <c r="I1599" s="160" t="s">
        <v>3773</v>
      </c>
      <c r="J1599" s="163">
        <v>2.0499999999999998</v>
      </c>
      <c r="K1599" s="163"/>
      <c r="L1599" s="163"/>
      <c r="M1599" s="164">
        <v>29</v>
      </c>
      <c r="N1599" s="164"/>
      <c r="O1599" s="164"/>
      <c r="P1599" s="159" t="s">
        <v>354</v>
      </c>
      <c r="Q1599" s="159" t="s">
        <v>491</v>
      </c>
      <c r="R1599" s="159" t="s">
        <v>3774</v>
      </c>
      <c r="S1599" s="165">
        <v>1.7856449839646599E-2</v>
      </c>
      <c r="T1599" s="166" t="s">
        <v>372</v>
      </c>
      <c r="U1599" s="166"/>
      <c r="V1599" s="166"/>
      <c r="W1599" s="167">
        <f>IF(BetTable[Sport]="","",BetTable[Stake]+BetTable[S2]+BetTable[S3])</f>
        <v>29</v>
      </c>
      <c r="X1599" s="164">
        <f>IF(BetTable[Odds]="","",(BetTable[WBA1-Commission])-BetTable[TS])</f>
        <v>30.449999999999996</v>
      </c>
      <c r="Y1599" s="168">
        <f>IF(BetTable[Outcome]="","",BetTable[WBA1]+BetTable[WBA2]+BetTable[WBA3]-BetTable[TS])</f>
        <v>30.449999999999996</v>
      </c>
      <c r="Z1599" s="164">
        <f>(((BetTable[Odds]-1)*BetTable[Stake])*(1-(BetTable[Comm %]))+BetTable[Stake])</f>
        <v>59.449999999999996</v>
      </c>
      <c r="AA1599" s="164">
        <f>(((BetTable[O2]-1)*BetTable[S2])*(1-(BetTable[C% 2]))+BetTable[S2])</f>
        <v>0</v>
      </c>
      <c r="AB1599" s="164">
        <f>(((BetTable[O3]-1)*BetTable[S3])*(1-(BetTable[C% 3]))+BetTable[S3])</f>
        <v>0</v>
      </c>
      <c r="AC1599" s="165">
        <f>IFERROR(IF(BetTable[Sport]="","",BetTable[R1]/BetTable[TS]),"")</f>
        <v>1.0499999999999998</v>
      </c>
      <c r="AD1599" s="165" t="str">
        <f>IF(BetTable[O2]="","",#REF!/BetTable[TS])</f>
        <v/>
      </c>
      <c r="AE1599" s="165" t="str">
        <f>IFERROR(IF(BetTable[Sport]="","",#REF!/BetTable[TS]),"")</f>
        <v/>
      </c>
      <c r="AF1599" s="164">
        <f>IF(BetTable[Outcome]="Win",BetTable[WBA1-Commission],IF(BetTable[Outcome]="Win Half Stake",(BetTable[Stake]/2)+BetTable[WBA1-Commission]/2,IF(BetTable[Outcome]="Lose Half Stake",BetTable[Stake]/2,IF(BetTable[Outcome]="Lose",0,IF(BetTable[Outcome]="Void",BetTable[Stake],)))))</f>
        <v>59.449999999999996</v>
      </c>
      <c r="AG1599" s="164">
        <f>IF(BetTable[Outcome2]="Win",BetTable[WBA2-Commission],IF(BetTable[Outcome2]="Win Half Stake",(BetTable[S2]/2)+BetTable[WBA2-Commission]/2,IF(BetTable[Outcome2]="Lose Half Stake",BetTable[S2]/2,IF(BetTable[Outcome2]="Lose",0,IF(BetTable[Outcome2]="Void",BetTable[S2],)))))</f>
        <v>0</v>
      </c>
      <c r="AH1599" s="164">
        <f>IF(BetTable[Outcome3]="Win",BetTable[WBA3-Commission],IF(BetTable[Outcome3]="Win Half Stake",(BetTable[S3]/2)+BetTable[WBA3-Commission]/2,IF(BetTable[Outcome3]="Lose Half Stake",BetTable[S3]/2,IF(BetTable[Outcome3]="Lose",0,IF(BetTable[Outcome3]="Void",BetTable[S3],)))))</f>
        <v>0</v>
      </c>
      <c r="AI1599" s="168">
        <f>IF(BetTable[Outcome]="",AI1598,BetTable[Result]+AI1598)</f>
        <v>1970.9257499999985</v>
      </c>
      <c r="AJ1599" s="160"/>
    </row>
    <row r="1600" spans="1:36" x14ac:dyDescent="0.2">
      <c r="A1600" s="262" t="s">
        <v>3764</v>
      </c>
      <c r="B1600" s="263" t="s">
        <v>8</v>
      </c>
      <c r="C1600" s="264" t="s">
        <v>91</v>
      </c>
      <c r="D1600" s="264"/>
      <c r="E1600" s="264"/>
      <c r="F1600" s="265"/>
      <c r="G1600" s="265"/>
      <c r="H1600" s="265"/>
      <c r="I1600" s="263" t="s">
        <v>3775</v>
      </c>
      <c r="J1600" s="266">
        <v>1.81</v>
      </c>
      <c r="K1600" s="266"/>
      <c r="L1600" s="266"/>
      <c r="M1600" s="267">
        <v>39</v>
      </c>
      <c r="N1600" s="267"/>
      <c r="O1600" s="267"/>
      <c r="P1600" s="262" t="s">
        <v>435</v>
      </c>
      <c r="Q1600" s="262" t="s">
        <v>1743</v>
      </c>
      <c r="R1600" s="262" t="s">
        <v>3776</v>
      </c>
      <c r="S1600" s="268">
        <v>1.89809183389739E-2</v>
      </c>
      <c r="T1600" s="269" t="s">
        <v>372</v>
      </c>
      <c r="U1600" s="269"/>
      <c r="V1600" s="269"/>
      <c r="W1600" s="270">
        <f>IF(BetTable[Sport]="","",BetTable[Stake]+BetTable[S2]+BetTable[S3])</f>
        <v>39</v>
      </c>
      <c r="X1600" s="267">
        <f>IF(BetTable[Odds]="","",(BetTable[WBA1-Commission])-BetTable[TS])</f>
        <v>31.590000000000003</v>
      </c>
      <c r="Y1600" s="271">
        <f>IF(BetTable[Outcome]="","",BetTable[WBA1]+BetTable[WBA2]+BetTable[WBA3]-BetTable[TS])</f>
        <v>31.590000000000003</v>
      </c>
      <c r="Z1600" s="267">
        <f>(((BetTable[Odds]-1)*BetTable[Stake])*(1-(BetTable[Comm %]))+BetTable[Stake])</f>
        <v>70.59</v>
      </c>
      <c r="AA1600" s="267">
        <f>(((BetTable[O2]-1)*BetTable[S2])*(1-(BetTable[C% 2]))+BetTable[S2])</f>
        <v>0</v>
      </c>
      <c r="AB1600" s="267">
        <f>(((BetTable[O3]-1)*BetTable[S3])*(1-(BetTable[C% 3]))+BetTable[S3])</f>
        <v>0</v>
      </c>
      <c r="AC1600" s="268">
        <f>IFERROR(IF(BetTable[Sport]="","",BetTable[R1]/BetTable[TS]),"")</f>
        <v>0.81</v>
      </c>
      <c r="AD1600" s="268" t="str">
        <f>IF(BetTable[O2]="","",#REF!/BetTable[TS])</f>
        <v/>
      </c>
      <c r="AE1600" s="268" t="str">
        <f>IFERROR(IF(BetTable[Sport]="","",#REF!/BetTable[TS]),"")</f>
        <v/>
      </c>
      <c r="AF1600" s="267">
        <f>IF(BetTable[Outcome]="Win",BetTable[WBA1-Commission],IF(BetTable[Outcome]="Win Half Stake",(BetTable[Stake]/2)+BetTable[WBA1-Commission]/2,IF(BetTable[Outcome]="Lose Half Stake",BetTable[Stake]/2,IF(BetTable[Outcome]="Lose",0,IF(BetTable[Outcome]="Void",BetTable[Stake],)))))</f>
        <v>70.59</v>
      </c>
      <c r="AG1600" s="267">
        <f>IF(BetTable[Outcome2]="Win",BetTable[WBA2-Commission],IF(BetTable[Outcome2]="Win Half Stake",(BetTable[S2]/2)+BetTable[WBA2-Commission]/2,IF(BetTable[Outcome2]="Lose Half Stake",BetTable[S2]/2,IF(BetTable[Outcome2]="Lose",0,IF(BetTable[Outcome2]="Void",BetTable[S2],)))))</f>
        <v>0</v>
      </c>
      <c r="AH1600" s="267">
        <f>IF(BetTable[Outcome3]="Win",BetTable[WBA3-Commission],IF(BetTable[Outcome3]="Win Half Stake",(BetTable[S3]/2)+BetTable[WBA3-Commission]/2,IF(BetTable[Outcome3]="Lose Half Stake",BetTable[S3]/2,IF(BetTable[Outcome3]="Lose",0,IF(BetTable[Outcome3]="Void",BetTable[S3],)))))</f>
        <v>0</v>
      </c>
      <c r="AI1600" s="271">
        <f>IF(BetTable[Outcome]="",AI1599,BetTable[Result]+AI1599)</f>
        <v>2002.5157499999984</v>
      </c>
      <c r="AJ1600" s="263"/>
    </row>
    <row r="1601" spans="1:36" x14ac:dyDescent="0.2">
      <c r="A1601" s="262" t="s">
        <v>3764</v>
      </c>
      <c r="B1601" s="263" t="s">
        <v>7</v>
      </c>
      <c r="C1601" s="161" t="s">
        <v>1714</v>
      </c>
      <c r="D1601" s="264"/>
      <c r="E1601" s="264"/>
      <c r="F1601" s="265"/>
      <c r="G1601" s="265"/>
      <c r="H1601" s="265"/>
      <c r="I1601" s="263" t="s">
        <v>3748</v>
      </c>
      <c r="J1601" s="266">
        <v>1.91</v>
      </c>
      <c r="K1601" s="266"/>
      <c r="L1601" s="266"/>
      <c r="M1601" s="267">
        <v>39</v>
      </c>
      <c r="N1601" s="267"/>
      <c r="O1601" s="267"/>
      <c r="P1601" s="262" t="s">
        <v>3777</v>
      </c>
      <c r="Q1601" s="262" t="s">
        <v>1580</v>
      </c>
      <c r="R1601" s="262" t="s">
        <v>3778</v>
      </c>
      <c r="S1601" s="268">
        <v>2.0860757405068299E-2</v>
      </c>
      <c r="T1601" s="269" t="s">
        <v>382</v>
      </c>
      <c r="U1601" s="269"/>
      <c r="V1601" s="269"/>
      <c r="W1601" s="270">
        <f>IF(BetTable[Sport]="","",BetTable[Stake]+BetTable[S2]+BetTable[S3])</f>
        <v>39</v>
      </c>
      <c r="X1601" s="267">
        <f>IF(BetTable[Odds]="","",(BetTable[WBA1-Commission])-BetTable[TS])</f>
        <v>35.489999999999995</v>
      </c>
      <c r="Y1601" s="271">
        <f>IF(BetTable[Outcome]="","",BetTable[WBA1]+BetTable[WBA2]+BetTable[WBA3]-BetTable[TS])</f>
        <v>-39</v>
      </c>
      <c r="Z1601" s="267">
        <f>(((BetTable[Odds]-1)*BetTable[Stake])*(1-(BetTable[Comm %]))+BetTable[Stake])</f>
        <v>74.489999999999995</v>
      </c>
      <c r="AA1601" s="267">
        <f>(((BetTable[O2]-1)*BetTable[S2])*(1-(BetTable[C% 2]))+BetTable[S2])</f>
        <v>0</v>
      </c>
      <c r="AB1601" s="267">
        <f>(((BetTable[O3]-1)*BetTable[S3])*(1-(BetTable[C% 3]))+BetTable[S3])</f>
        <v>0</v>
      </c>
      <c r="AC1601" s="268">
        <f>IFERROR(IF(BetTable[Sport]="","",BetTable[R1]/BetTable[TS]),"")</f>
        <v>0.90999999999999992</v>
      </c>
      <c r="AD1601" s="268" t="str">
        <f>IF(BetTable[O2]="","",#REF!/BetTable[TS])</f>
        <v/>
      </c>
      <c r="AE1601" s="268" t="str">
        <f>IFERROR(IF(BetTable[Sport]="","",#REF!/BetTable[TS]),"")</f>
        <v/>
      </c>
      <c r="AF1601" s="267">
        <f>IF(BetTable[Outcome]="Win",BetTable[WBA1-Commission],IF(BetTable[Outcome]="Win Half Stake",(BetTable[Stake]/2)+BetTable[WBA1-Commission]/2,IF(BetTable[Outcome]="Lose Half Stake",BetTable[Stake]/2,IF(BetTable[Outcome]="Lose",0,IF(BetTable[Outcome]="Void",BetTable[Stake],)))))</f>
        <v>0</v>
      </c>
      <c r="AG1601" s="267">
        <f>IF(BetTable[Outcome2]="Win",BetTable[WBA2-Commission],IF(BetTable[Outcome2]="Win Half Stake",(BetTable[S2]/2)+BetTable[WBA2-Commission]/2,IF(BetTable[Outcome2]="Lose Half Stake",BetTable[S2]/2,IF(BetTable[Outcome2]="Lose",0,IF(BetTable[Outcome2]="Void",BetTable[S2],)))))</f>
        <v>0</v>
      </c>
      <c r="AH1601" s="267">
        <f>IF(BetTable[Outcome3]="Win",BetTable[WBA3-Commission],IF(BetTable[Outcome3]="Win Half Stake",(BetTable[S3]/2)+BetTable[WBA3-Commission]/2,IF(BetTable[Outcome3]="Lose Half Stake",BetTable[S3]/2,IF(BetTable[Outcome3]="Lose",0,IF(BetTable[Outcome3]="Void",BetTable[S3],)))))</f>
        <v>0</v>
      </c>
      <c r="AI1601" s="271">
        <f>IF(BetTable[Outcome]="",AI1600,BetTable[Result]+AI1600)</f>
        <v>1963.5157499999984</v>
      </c>
      <c r="AJ1601" s="263"/>
    </row>
    <row r="1602" spans="1:36" x14ac:dyDescent="0.2">
      <c r="A1602" s="262" t="s">
        <v>3764</v>
      </c>
      <c r="B1602" s="263" t="s">
        <v>7</v>
      </c>
      <c r="C1602" s="161" t="s">
        <v>1714</v>
      </c>
      <c r="D1602" s="264"/>
      <c r="E1602" s="264"/>
      <c r="F1602" s="265"/>
      <c r="G1602" s="265"/>
      <c r="H1602" s="265"/>
      <c r="I1602" s="263" t="s">
        <v>3779</v>
      </c>
      <c r="J1602" s="266">
        <v>1.98</v>
      </c>
      <c r="K1602" s="266"/>
      <c r="L1602" s="266"/>
      <c r="M1602" s="267">
        <v>37</v>
      </c>
      <c r="N1602" s="267"/>
      <c r="O1602" s="267"/>
      <c r="P1602" s="262" t="s">
        <v>2877</v>
      </c>
      <c r="Q1602" s="262" t="s">
        <v>674</v>
      </c>
      <c r="R1602" s="262" t="s">
        <v>3780</v>
      </c>
      <c r="S1602" s="268">
        <v>1.9073561318945199E-2</v>
      </c>
      <c r="T1602" s="269" t="s">
        <v>372</v>
      </c>
      <c r="U1602" s="269"/>
      <c r="V1602" s="269"/>
      <c r="W1602" s="270">
        <f>IF(BetTable[Sport]="","",BetTable[Stake]+BetTable[S2]+BetTable[S3])</f>
        <v>37</v>
      </c>
      <c r="X1602" s="267">
        <f>IF(BetTable[Odds]="","",(BetTable[WBA1-Commission])-BetTable[TS])</f>
        <v>36.259999999999991</v>
      </c>
      <c r="Y1602" s="271">
        <f>IF(BetTable[Outcome]="","",BetTable[WBA1]+BetTable[WBA2]+BetTable[WBA3]-BetTable[TS])</f>
        <v>36.259999999999991</v>
      </c>
      <c r="Z1602" s="267">
        <f>(((BetTable[Odds]-1)*BetTable[Stake])*(1-(BetTable[Comm %]))+BetTable[Stake])</f>
        <v>73.259999999999991</v>
      </c>
      <c r="AA1602" s="267">
        <f>(((BetTable[O2]-1)*BetTable[S2])*(1-(BetTable[C% 2]))+BetTable[S2])</f>
        <v>0</v>
      </c>
      <c r="AB1602" s="267">
        <f>(((BetTable[O3]-1)*BetTable[S3])*(1-(BetTable[C% 3]))+BetTable[S3])</f>
        <v>0</v>
      </c>
      <c r="AC1602" s="268">
        <f>IFERROR(IF(BetTable[Sport]="","",BetTable[R1]/BetTable[TS]),"")</f>
        <v>0.97999999999999976</v>
      </c>
      <c r="AD1602" s="268" t="str">
        <f>IF(BetTable[O2]="","",#REF!/BetTable[TS])</f>
        <v/>
      </c>
      <c r="AE1602" s="268" t="str">
        <f>IFERROR(IF(BetTable[Sport]="","",#REF!/BetTable[TS]),"")</f>
        <v/>
      </c>
      <c r="AF1602" s="267">
        <f>IF(BetTable[Outcome]="Win",BetTable[WBA1-Commission],IF(BetTable[Outcome]="Win Half Stake",(BetTable[Stake]/2)+BetTable[WBA1-Commission]/2,IF(BetTable[Outcome]="Lose Half Stake",BetTable[Stake]/2,IF(BetTable[Outcome]="Lose",0,IF(BetTable[Outcome]="Void",BetTable[Stake],)))))</f>
        <v>73.259999999999991</v>
      </c>
      <c r="AG1602" s="267">
        <f>IF(BetTable[Outcome2]="Win",BetTable[WBA2-Commission],IF(BetTable[Outcome2]="Win Half Stake",(BetTable[S2]/2)+BetTable[WBA2-Commission]/2,IF(BetTable[Outcome2]="Lose Half Stake",BetTable[S2]/2,IF(BetTable[Outcome2]="Lose",0,IF(BetTable[Outcome2]="Void",BetTable[S2],)))))</f>
        <v>0</v>
      </c>
      <c r="AH1602" s="267">
        <f>IF(BetTable[Outcome3]="Win",BetTable[WBA3-Commission],IF(BetTable[Outcome3]="Win Half Stake",(BetTable[S3]/2)+BetTable[WBA3-Commission]/2,IF(BetTable[Outcome3]="Lose Half Stake",BetTable[S3]/2,IF(BetTable[Outcome3]="Lose",0,IF(BetTable[Outcome3]="Void",BetTable[S3],)))))</f>
        <v>0</v>
      </c>
      <c r="AI1602" s="271">
        <f>IF(BetTable[Outcome]="",AI1601,BetTable[Result]+AI1601)</f>
        <v>1999.7757499999984</v>
      </c>
      <c r="AJ1602" s="263"/>
    </row>
    <row r="1603" spans="1:36" x14ac:dyDescent="0.2">
      <c r="A1603" s="262" t="s">
        <v>3764</v>
      </c>
      <c r="B1603" s="263" t="s">
        <v>200</v>
      </c>
      <c r="C1603" s="161" t="s">
        <v>1714</v>
      </c>
      <c r="D1603" s="264"/>
      <c r="E1603" s="264"/>
      <c r="F1603" s="265"/>
      <c r="G1603" s="265"/>
      <c r="H1603" s="265"/>
      <c r="I1603" s="263" t="s">
        <v>3781</v>
      </c>
      <c r="J1603" s="266">
        <v>3.05</v>
      </c>
      <c r="K1603" s="266"/>
      <c r="L1603" s="266"/>
      <c r="M1603" s="267">
        <v>27</v>
      </c>
      <c r="N1603" s="267"/>
      <c r="O1603" s="267"/>
      <c r="P1603" s="262" t="s">
        <v>494</v>
      </c>
      <c r="Q1603" s="262" t="s">
        <v>3782</v>
      </c>
      <c r="R1603" s="262" t="s">
        <v>3783</v>
      </c>
      <c r="S1603" s="268">
        <v>2.8716426971958999E-2</v>
      </c>
      <c r="T1603" s="269" t="s">
        <v>382</v>
      </c>
      <c r="U1603" s="269"/>
      <c r="V1603" s="269"/>
      <c r="W1603" s="270">
        <f>IF(BetTable[Sport]="","",BetTable[Stake]+BetTable[S2]+BetTable[S3])</f>
        <v>27</v>
      </c>
      <c r="X1603" s="267">
        <f>IF(BetTable[Odds]="","",(BetTable[WBA1-Commission])-BetTable[TS])</f>
        <v>55.349999999999994</v>
      </c>
      <c r="Y1603" s="271">
        <f>IF(BetTable[Outcome]="","",BetTable[WBA1]+BetTable[WBA2]+BetTable[WBA3]-BetTable[TS])</f>
        <v>-27</v>
      </c>
      <c r="Z1603" s="267">
        <f>(((BetTable[Odds]-1)*BetTable[Stake])*(1-(BetTable[Comm %]))+BetTable[Stake])</f>
        <v>82.35</v>
      </c>
      <c r="AA1603" s="267">
        <f>(((BetTable[O2]-1)*BetTable[S2])*(1-(BetTable[C% 2]))+BetTable[S2])</f>
        <v>0</v>
      </c>
      <c r="AB1603" s="267">
        <f>(((BetTable[O3]-1)*BetTable[S3])*(1-(BetTable[C% 3]))+BetTable[S3])</f>
        <v>0</v>
      </c>
      <c r="AC1603" s="268">
        <f>IFERROR(IF(BetTable[Sport]="","",BetTable[R1]/BetTable[TS]),"")</f>
        <v>2.0499999999999998</v>
      </c>
      <c r="AD1603" s="268" t="str">
        <f>IF(BetTable[O2]="","",#REF!/BetTable[TS])</f>
        <v/>
      </c>
      <c r="AE1603" s="268" t="str">
        <f>IFERROR(IF(BetTable[Sport]="","",#REF!/BetTable[TS]),"")</f>
        <v/>
      </c>
      <c r="AF1603" s="267">
        <f>IF(BetTable[Outcome]="Win",BetTable[WBA1-Commission],IF(BetTable[Outcome]="Win Half Stake",(BetTable[Stake]/2)+BetTable[WBA1-Commission]/2,IF(BetTable[Outcome]="Lose Half Stake",BetTable[Stake]/2,IF(BetTable[Outcome]="Lose",0,IF(BetTable[Outcome]="Void",BetTable[Stake],)))))</f>
        <v>0</v>
      </c>
      <c r="AG1603" s="267">
        <f>IF(BetTable[Outcome2]="Win",BetTable[WBA2-Commission],IF(BetTable[Outcome2]="Win Half Stake",(BetTable[S2]/2)+BetTable[WBA2-Commission]/2,IF(BetTable[Outcome2]="Lose Half Stake",BetTable[S2]/2,IF(BetTable[Outcome2]="Lose",0,IF(BetTable[Outcome2]="Void",BetTable[S2],)))))</f>
        <v>0</v>
      </c>
      <c r="AH1603" s="267">
        <f>IF(BetTable[Outcome3]="Win",BetTable[WBA3-Commission],IF(BetTable[Outcome3]="Win Half Stake",(BetTable[S3]/2)+BetTable[WBA3-Commission]/2,IF(BetTable[Outcome3]="Lose Half Stake",BetTable[S3]/2,IF(BetTable[Outcome3]="Lose",0,IF(BetTable[Outcome3]="Void",BetTable[S3],)))))</f>
        <v>0</v>
      </c>
      <c r="AI1603" s="271">
        <f>IF(BetTable[Outcome]="",AI1602,BetTable[Result]+AI1602)</f>
        <v>1972.7757499999984</v>
      </c>
      <c r="AJ1603" s="263"/>
    </row>
    <row r="1604" spans="1:36" x14ac:dyDescent="0.2">
      <c r="A1604" s="262" t="s">
        <v>3764</v>
      </c>
      <c r="B1604" s="263" t="s">
        <v>7</v>
      </c>
      <c r="C1604" s="264" t="s">
        <v>91</v>
      </c>
      <c r="D1604" s="264"/>
      <c r="E1604" s="264"/>
      <c r="F1604" s="265"/>
      <c r="G1604" s="265"/>
      <c r="H1604" s="265"/>
      <c r="I1604" s="263" t="s">
        <v>3784</v>
      </c>
      <c r="J1604" s="266">
        <v>2.0499999999999998</v>
      </c>
      <c r="K1604" s="266"/>
      <c r="L1604" s="266"/>
      <c r="M1604" s="267">
        <v>54</v>
      </c>
      <c r="N1604" s="267"/>
      <c r="O1604" s="267"/>
      <c r="P1604" s="262" t="s">
        <v>3167</v>
      </c>
      <c r="Q1604" s="262" t="s">
        <v>1205</v>
      </c>
      <c r="R1604" s="262" t="s">
        <v>3785</v>
      </c>
      <c r="S1604" s="268">
        <v>2.9433752244638799E-2</v>
      </c>
      <c r="T1604" s="269" t="s">
        <v>372</v>
      </c>
      <c r="U1604" s="269"/>
      <c r="V1604" s="269"/>
      <c r="W1604" s="270">
        <f>IF(BetTable[Sport]="","",BetTable[Stake]+BetTable[S2]+BetTable[S3])</f>
        <v>54</v>
      </c>
      <c r="X1604" s="267">
        <f>IF(BetTable[Odds]="","",(BetTable[WBA1-Commission])-BetTable[TS])</f>
        <v>56.699999999999989</v>
      </c>
      <c r="Y1604" s="271">
        <f>IF(BetTable[Outcome]="","",BetTable[WBA1]+BetTable[WBA2]+BetTable[WBA3]-BetTable[TS])</f>
        <v>56.699999999999989</v>
      </c>
      <c r="Z1604" s="267">
        <f>(((BetTable[Odds]-1)*BetTable[Stake])*(1-(BetTable[Comm %]))+BetTable[Stake])</f>
        <v>110.69999999999999</v>
      </c>
      <c r="AA1604" s="267">
        <f>(((BetTable[O2]-1)*BetTable[S2])*(1-(BetTable[C% 2]))+BetTable[S2])</f>
        <v>0</v>
      </c>
      <c r="AB1604" s="267">
        <f>(((BetTable[O3]-1)*BetTable[S3])*(1-(BetTable[C% 3]))+BetTable[S3])</f>
        <v>0</v>
      </c>
      <c r="AC1604" s="268">
        <f>IFERROR(IF(BetTable[Sport]="","",BetTable[R1]/BetTable[TS]),"")</f>
        <v>1.0499999999999998</v>
      </c>
      <c r="AD1604" s="268" t="str">
        <f>IF(BetTable[O2]="","",#REF!/BetTable[TS])</f>
        <v/>
      </c>
      <c r="AE1604" s="268" t="str">
        <f>IFERROR(IF(BetTable[Sport]="","",#REF!/BetTable[TS]),"")</f>
        <v/>
      </c>
      <c r="AF1604" s="267">
        <f>IF(BetTable[Outcome]="Win",BetTable[WBA1-Commission],IF(BetTable[Outcome]="Win Half Stake",(BetTable[Stake]/2)+BetTable[WBA1-Commission]/2,IF(BetTable[Outcome]="Lose Half Stake",BetTable[Stake]/2,IF(BetTable[Outcome]="Lose",0,IF(BetTable[Outcome]="Void",BetTable[Stake],)))))</f>
        <v>110.69999999999999</v>
      </c>
      <c r="AG1604" s="267">
        <f>IF(BetTable[Outcome2]="Win",BetTable[WBA2-Commission],IF(BetTable[Outcome2]="Win Half Stake",(BetTable[S2]/2)+BetTable[WBA2-Commission]/2,IF(BetTable[Outcome2]="Lose Half Stake",BetTable[S2]/2,IF(BetTable[Outcome2]="Lose",0,IF(BetTable[Outcome2]="Void",BetTable[S2],)))))</f>
        <v>0</v>
      </c>
      <c r="AH1604" s="267">
        <f>IF(BetTable[Outcome3]="Win",BetTable[WBA3-Commission],IF(BetTable[Outcome3]="Win Half Stake",(BetTable[S3]/2)+BetTable[WBA3-Commission]/2,IF(BetTable[Outcome3]="Lose Half Stake",BetTable[S3]/2,IF(BetTable[Outcome3]="Lose",0,IF(BetTable[Outcome3]="Void",BetTable[S3],)))))</f>
        <v>0</v>
      </c>
      <c r="AI1604" s="271">
        <f>IF(BetTable[Outcome]="",AI1603,BetTable[Result]+AI1603)</f>
        <v>2029.4757499999985</v>
      </c>
      <c r="AJ1604" s="263"/>
    </row>
    <row r="1605" spans="1:36" x14ac:dyDescent="0.2">
      <c r="A1605" s="262" t="s">
        <v>3764</v>
      </c>
      <c r="B1605" s="263" t="s">
        <v>200</v>
      </c>
      <c r="C1605" s="161" t="s">
        <v>1714</v>
      </c>
      <c r="D1605" s="264"/>
      <c r="E1605" s="264"/>
      <c r="F1605" s="265"/>
      <c r="G1605" s="265"/>
      <c r="H1605" s="265"/>
      <c r="I1605" s="263" t="s">
        <v>3786</v>
      </c>
      <c r="J1605" s="266">
        <v>1.86</v>
      </c>
      <c r="K1605" s="266"/>
      <c r="L1605" s="266"/>
      <c r="M1605" s="267">
        <v>37</v>
      </c>
      <c r="N1605" s="267"/>
      <c r="O1605" s="267"/>
      <c r="P1605" s="262" t="s">
        <v>3521</v>
      </c>
      <c r="Q1605" s="262" t="s">
        <v>1171</v>
      </c>
      <c r="R1605" s="262" t="s">
        <v>3787</v>
      </c>
      <c r="S1605" s="268">
        <v>1.6658112777541E-2</v>
      </c>
      <c r="T1605" s="269" t="s">
        <v>372</v>
      </c>
      <c r="U1605" s="269"/>
      <c r="V1605" s="269"/>
      <c r="W1605" s="270">
        <f>IF(BetTable[Sport]="","",BetTable[Stake]+BetTable[S2]+BetTable[S3])</f>
        <v>37</v>
      </c>
      <c r="X1605" s="267">
        <f>IF(BetTable[Odds]="","",(BetTable[WBA1-Commission])-BetTable[TS])</f>
        <v>31.820000000000007</v>
      </c>
      <c r="Y1605" s="271">
        <f>IF(BetTable[Outcome]="","",BetTable[WBA1]+BetTable[WBA2]+BetTable[WBA3]-BetTable[TS])</f>
        <v>31.820000000000007</v>
      </c>
      <c r="Z1605" s="267">
        <f>(((BetTable[Odds]-1)*BetTable[Stake])*(1-(BetTable[Comm %]))+BetTable[Stake])</f>
        <v>68.820000000000007</v>
      </c>
      <c r="AA1605" s="267">
        <f>(((BetTable[O2]-1)*BetTable[S2])*(1-(BetTable[C% 2]))+BetTable[S2])</f>
        <v>0</v>
      </c>
      <c r="AB1605" s="267">
        <f>(((BetTable[O3]-1)*BetTable[S3])*(1-(BetTable[C% 3]))+BetTable[S3])</f>
        <v>0</v>
      </c>
      <c r="AC1605" s="268">
        <f>IFERROR(IF(BetTable[Sport]="","",BetTable[R1]/BetTable[TS]),"")</f>
        <v>0.86000000000000021</v>
      </c>
      <c r="AD1605" s="268" t="str">
        <f>IF(BetTable[O2]="","",#REF!/BetTable[TS])</f>
        <v/>
      </c>
      <c r="AE1605" s="268" t="str">
        <f>IFERROR(IF(BetTable[Sport]="","",#REF!/BetTable[TS]),"")</f>
        <v/>
      </c>
      <c r="AF1605" s="267">
        <f>IF(BetTable[Outcome]="Win",BetTable[WBA1-Commission],IF(BetTable[Outcome]="Win Half Stake",(BetTable[Stake]/2)+BetTable[WBA1-Commission]/2,IF(BetTable[Outcome]="Lose Half Stake",BetTable[Stake]/2,IF(BetTable[Outcome]="Lose",0,IF(BetTable[Outcome]="Void",BetTable[Stake],)))))</f>
        <v>68.820000000000007</v>
      </c>
      <c r="AG1605" s="267">
        <f>IF(BetTable[Outcome2]="Win",BetTable[WBA2-Commission],IF(BetTable[Outcome2]="Win Half Stake",(BetTable[S2]/2)+BetTable[WBA2-Commission]/2,IF(BetTable[Outcome2]="Lose Half Stake",BetTable[S2]/2,IF(BetTable[Outcome2]="Lose",0,IF(BetTable[Outcome2]="Void",BetTable[S2],)))))</f>
        <v>0</v>
      </c>
      <c r="AH1605" s="267">
        <f>IF(BetTable[Outcome3]="Win",BetTable[WBA3-Commission],IF(BetTable[Outcome3]="Win Half Stake",(BetTable[S3]/2)+BetTable[WBA3-Commission]/2,IF(BetTable[Outcome3]="Lose Half Stake",BetTable[S3]/2,IF(BetTable[Outcome3]="Lose",0,IF(BetTable[Outcome3]="Void",BetTable[S3],)))))</f>
        <v>0</v>
      </c>
      <c r="AI1605" s="271">
        <f>IF(BetTable[Outcome]="",AI1604,BetTable[Result]+AI1604)</f>
        <v>2061.2957499999984</v>
      </c>
      <c r="AJ1605" s="263"/>
    </row>
    <row r="1606" spans="1:36" x14ac:dyDescent="0.2">
      <c r="A1606" s="262" t="s">
        <v>3764</v>
      </c>
      <c r="B1606" s="263" t="s">
        <v>200</v>
      </c>
      <c r="C1606" s="264" t="s">
        <v>91</v>
      </c>
      <c r="D1606" s="264"/>
      <c r="E1606" s="264"/>
      <c r="F1606" s="265"/>
      <c r="G1606" s="265"/>
      <c r="H1606" s="265"/>
      <c r="I1606" s="263" t="s">
        <v>3788</v>
      </c>
      <c r="J1606" s="266">
        <v>1.95</v>
      </c>
      <c r="K1606" s="266"/>
      <c r="L1606" s="266"/>
      <c r="M1606" s="267">
        <v>50</v>
      </c>
      <c r="N1606" s="267"/>
      <c r="O1606" s="267"/>
      <c r="P1606" s="262" t="s">
        <v>1528</v>
      </c>
      <c r="Q1606" s="262" t="s">
        <v>439</v>
      </c>
      <c r="R1606" s="262" t="s">
        <v>3789</v>
      </c>
      <c r="S1606" s="268">
        <v>2.48074953707892E-2</v>
      </c>
      <c r="T1606" s="269" t="s">
        <v>510</v>
      </c>
      <c r="U1606" s="269"/>
      <c r="V1606" s="269"/>
      <c r="W1606" s="270">
        <f>IF(BetTable[Sport]="","",BetTable[Stake]+BetTable[S2]+BetTable[S3])</f>
        <v>50</v>
      </c>
      <c r="X1606" s="267">
        <f>IF(BetTable[Odds]="","",(BetTable[WBA1-Commission])-BetTable[TS])</f>
        <v>47.5</v>
      </c>
      <c r="Y1606" s="271">
        <f>IF(BetTable[Outcome]="","",BetTable[WBA1]+BetTable[WBA2]+BetTable[WBA3]-BetTable[TS])</f>
        <v>23.75</v>
      </c>
      <c r="Z1606" s="267">
        <f>(((BetTable[Odds]-1)*BetTable[Stake])*(1-(BetTable[Comm %]))+BetTable[Stake])</f>
        <v>97.5</v>
      </c>
      <c r="AA1606" s="267">
        <f>(((BetTable[O2]-1)*BetTable[S2])*(1-(BetTable[C% 2]))+BetTable[S2])</f>
        <v>0</v>
      </c>
      <c r="AB1606" s="267">
        <f>(((BetTable[O3]-1)*BetTable[S3])*(1-(BetTable[C% 3]))+BetTable[S3])</f>
        <v>0</v>
      </c>
      <c r="AC1606" s="268">
        <f>IFERROR(IF(BetTable[Sport]="","",BetTable[R1]/BetTable[TS]),"")</f>
        <v>0.95</v>
      </c>
      <c r="AD1606" s="268" t="str">
        <f>IF(BetTable[O2]="","",#REF!/BetTable[TS])</f>
        <v/>
      </c>
      <c r="AE1606" s="268" t="str">
        <f>IFERROR(IF(BetTable[Sport]="","",#REF!/BetTable[TS]),"")</f>
        <v/>
      </c>
      <c r="AF1606" s="267">
        <f>IF(BetTable[Outcome]="Win",BetTable[WBA1-Commission],IF(BetTable[Outcome]="Win Half Stake",(BetTable[Stake]/2)+BetTable[WBA1-Commission]/2,IF(BetTable[Outcome]="Lose Half Stake",BetTable[Stake]/2,IF(BetTable[Outcome]="Lose",0,IF(BetTable[Outcome]="Void",BetTable[Stake],)))))</f>
        <v>73.75</v>
      </c>
      <c r="AG1606" s="267">
        <f>IF(BetTable[Outcome2]="Win",BetTable[WBA2-Commission],IF(BetTable[Outcome2]="Win Half Stake",(BetTable[S2]/2)+BetTable[WBA2-Commission]/2,IF(BetTable[Outcome2]="Lose Half Stake",BetTable[S2]/2,IF(BetTable[Outcome2]="Lose",0,IF(BetTable[Outcome2]="Void",BetTable[S2],)))))</f>
        <v>0</v>
      </c>
      <c r="AH1606" s="267">
        <f>IF(BetTable[Outcome3]="Win",BetTable[WBA3-Commission],IF(BetTable[Outcome3]="Win Half Stake",(BetTable[S3]/2)+BetTable[WBA3-Commission]/2,IF(BetTable[Outcome3]="Lose Half Stake",BetTable[S3]/2,IF(BetTable[Outcome3]="Lose",0,IF(BetTable[Outcome3]="Void",BetTable[S3],)))))</f>
        <v>0</v>
      </c>
      <c r="AI1606" s="271">
        <f>IF(BetTable[Outcome]="",AI1605,BetTable[Result]+AI1605)</f>
        <v>2085.0457499999984</v>
      </c>
      <c r="AJ1606" s="263"/>
    </row>
    <row r="1607" spans="1:36" x14ac:dyDescent="0.2">
      <c r="A1607" s="262" t="s">
        <v>3764</v>
      </c>
      <c r="B1607" s="263" t="s">
        <v>200</v>
      </c>
      <c r="C1607" s="161" t="s">
        <v>1714</v>
      </c>
      <c r="D1607" s="264"/>
      <c r="E1607" s="264"/>
      <c r="F1607" s="265"/>
      <c r="G1607" s="265"/>
      <c r="H1607" s="265"/>
      <c r="I1607" s="263" t="s">
        <v>3790</v>
      </c>
      <c r="J1607" s="266">
        <v>2</v>
      </c>
      <c r="K1607" s="266"/>
      <c r="L1607" s="266"/>
      <c r="M1607" s="267">
        <v>35</v>
      </c>
      <c r="N1607" s="267"/>
      <c r="O1607" s="267"/>
      <c r="P1607" s="262" t="s">
        <v>635</v>
      </c>
      <c r="Q1607" s="262" t="s">
        <v>552</v>
      </c>
      <c r="R1607" s="262" t="s">
        <v>3791</v>
      </c>
      <c r="S1607" s="268">
        <v>1.8319864594968899E-2</v>
      </c>
      <c r="T1607" s="269" t="s">
        <v>382</v>
      </c>
      <c r="U1607" s="269"/>
      <c r="V1607" s="269"/>
      <c r="W1607" s="270">
        <f>IF(BetTable[Sport]="","",BetTable[Stake]+BetTable[S2]+BetTable[S3])</f>
        <v>35</v>
      </c>
      <c r="X1607" s="267">
        <f>IF(BetTable[Odds]="","",(BetTable[WBA1-Commission])-BetTable[TS])</f>
        <v>35</v>
      </c>
      <c r="Y1607" s="271">
        <f>IF(BetTable[Outcome]="","",BetTable[WBA1]+BetTable[WBA2]+BetTable[WBA3]-BetTable[TS])</f>
        <v>-35</v>
      </c>
      <c r="Z1607" s="267">
        <f>(((BetTable[Odds]-1)*BetTable[Stake])*(1-(BetTable[Comm %]))+BetTable[Stake])</f>
        <v>70</v>
      </c>
      <c r="AA1607" s="267">
        <f>(((BetTable[O2]-1)*BetTable[S2])*(1-(BetTable[C% 2]))+BetTable[S2])</f>
        <v>0</v>
      </c>
      <c r="AB1607" s="267">
        <f>(((BetTable[O3]-1)*BetTable[S3])*(1-(BetTable[C% 3]))+BetTable[S3])</f>
        <v>0</v>
      </c>
      <c r="AC1607" s="268">
        <f>IFERROR(IF(BetTable[Sport]="","",BetTable[R1]/BetTable[TS]),"")</f>
        <v>1</v>
      </c>
      <c r="AD1607" s="268" t="str">
        <f>IF(BetTable[O2]="","",#REF!/BetTable[TS])</f>
        <v/>
      </c>
      <c r="AE1607" s="268" t="str">
        <f>IFERROR(IF(BetTable[Sport]="","",#REF!/BetTable[TS]),"")</f>
        <v/>
      </c>
      <c r="AF1607" s="267">
        <f>IF(BetTable[Outcome]="Win",BetTable[WBA1-Commission],IF(BetTable[Outcome]="Win Half Stake",(BetTable[Stake]/2)+BetTable[WBA1-Commission]/2,IF(BetTable[Outcome]="Lose Half Stake",BetTable[Stake]/2,IF(BetTable[Outcome]="Lose",0,IF(BetTable[Outcome]="Void",BetTable[Stake],)))))</f>
        <v>0</v>
      </c>
      <c r="AG1607" s="267">
        <f>IF(BetTable[Outcome2]="Win",BetTable[WBA2-Commission],IF(BetTable[Outcome2]="Win Half Stake",(BetTable[S2]/2)+BetTable[WBA2-Commission]/2,IF(BetTable[Outcome2]="Lose Half Stake",BetTable[S2]/2,IF(BetTable[Outcome2]="Lose",0,IF(BetTable[Outcome2]="Void",BetTable[S2],)))))</f>
        <v>0</v>
      </c>
      <c r="AH1607" s="267">
        <f>IF(BetTable[Outcome3]="Win",BetTable[WBA3-Commission],IF(BetTable[Outcome3]="Win Half Stake",(BetTable[S3]/2)+BetTable[WBA3-Commission]/2,IF(BetTable[Outcome3]="Lose Half Stake",BetTable[S3]/2,IF(BetTable[Outcome3]="Lose",0,IF(BetTable[Outcome3]="Void",BetTable[S3],)))))</f>
        <v>0</v>
      </c>
      <c r="AI1607" s="271">
        <f>IF(BetTable[Outcome]="",AI1606,BetTable[Result]+AI1606)</f>
        <v>2050.0457499999984</v>
      </c>
      <c r="AJ1607" s="263"/>
    </row>
    <row r="1608" spans="1:36" x14ac:dyDescent="0.2">
      <c r="A1608" s="262" t="s">
        <v>3764</v>
      </c>
      <c r="B1608" s="263" t="s">
        <v>200</v>
      </c>
      <c r="C1608" s="161" t="s">
        <v>1714</v>
      </c>
      <c r="D1608" s="264"/>
      <c r="E1608" s="264"/>
      <c r="F1608" s="265"/>
      <c r="G1608" s="265"/>
      <c r="H1608" s="265"/>
      <c r="I1608" s="263" t="s">
        <v>3792</v>
      </c>
      <c r="J1608" s="266">
        <v>2.44</v>
      </c>
      <c r="K1608" s="266"/>
      <c r="L1608" s="266"/>
      <c r="M1608" s="267">
        <v>22</v>
      </c>
      <c r="N1608" s="267"/>
      <c r="O1608" s="267"/>
      <c r="P1608" s="262" t="s">
        <v>435</v>
      </c>
      <c r="Q1608" s="262" t="s">
        <v>773</v>
      </c>
      <c r="R1608" s="262" t="s">
        <v>3793</v>
      </c>
      <c r="S1608" s="268">
        <v>1.6483465843289202E-2</v>
      </c>
      <c r="T1608" s="269" t="s">
        <v>372</v>
      </c>
      <c r="U1608" s="269"/>
      <c r="V1608" s="269"/>
      <c r="W1608" s="270">
        <f>IF(BetTable[Sport]="","",BetTable[Stake]+BetTable[S2]+BetTable[S3])</f>
        <v>22</v>
      </c>
      <c r="X1608" s="267">
        <f>IF(BetTable[Odds]="","",(BetTable[WBA1-Commission])-BetTable[TS])</f>
        <v>31.68</v>
      </c>
      <c r="Y1608" s="271">
        <f>IF(BetTable[Outcome]="","",BetTable[WBA1]+BetTable[WBA2]+BetTable[WBA3]-BetTable[TS])</f>
        <v>31.68</v>
      </c>
      <c r="Z1608" s="267">
        <f>(((BetTable[Odds]-1)*BetTable[Stake])*(1-(BetTable[Comm %]))+BetTable[Stake])</f>
        <v>53.68</v>
      </c>
      <c r="AA1608" s="267">
        <f>(((BetTable[O2]-1)*BetTable[S2])*(1-(BetTable[C% 2]))+BetTable[S2])</f>
        <v>0</v>
      </c>
      <c r="AB1608" s="267">
        <f>(((BetTable[O3]-1)*BetTable[S3])*(1-(BetTable[C% 3]))+BetTable[S3])</f>
        <v>0</v>
      </c>
      <c r="AC1608" s="268">
        <f>IFERROR(IF(BetTable[Sport]="","",BetTable[R1]/BetTable[TS]),"")</f>
        <v>1.44</v>
      </c>
      <c r="AD1608" s="268" t="str">
        <f>IF(BetTable[O2]="","",#REF!/BetTable[TS])</f>
        <v/>
      </c>
      <c r="AE1608" s="268" t="str">
        <f>IFERROR(IF(BetTable[Sport]="","",#REF!/BetTable[TS]),"")</f>
        <v/>
      </c>
      <c r="AF1608" s="267">
        <f>IF(BetTable[Outcome]="Win",BetTable[WBA1-Commission],IF(BetTable[Outcome]="Win Half Stake",(BetTable[Stake]/2)+BetTable[WBA1-Commission]/2,IF(BetTable[Outcome]="Lose Half Stake",BetTable[Stake]/2,IF(BetTable[Outcome]="Lose",0,IF(BetTable[Outcome]="Void",BetTable[Stake],)))))</f>
        <v>53.68</v>
      </c>
      <c r="AG1608" s="267">
        <f>IF(BetTable[Outcome2]="Win",BetTable[WBA2-Commission],IF(BetTable[Outcome2]="Win Half Stake",(BetTable[S2]/2)+BetTable[WBA2-Commission]/2,IF(BetTable[Outcome2]="Lose Half Stake",BetTable[S2]/2,IF(BetTable[Outcome2]="Lose",0,IF(BetTable[Outcome2]="Void",BetTable[S2],)))))</f>
        <v>0</v>
      </c>
      <c r="AH1608" s="267">
        <f>IF(BetTable[Outcome3]="Win",BetTable[WBA3-Commission],IF(BetTable[Outcome3]="Win Half Stake",(BetTable[S3]/2)+BetTable[WBA3-Commission]/2,IF(BetTable[Outcome3]="Lose Half Stake",BetTable[S3]/2,IF(BetTable[Outcome3]="Lose",0,IF(BetTable[Outcome3]="Void",BetTable[S3],)))))</f>
        <v>0</v>
      </c>
      <c r="AI1608" s="271">
        <f>IF(BetTable[Outcome]="",AI1607,BetTable[Result]+AI1607)</f>
        <v>2081.7257499999982</v>
      </c>
      <c r="AJ1608" s="263"/>
    </row>
    <row r="1609" spans="1:36" x14ac:dyDescent="0.2">
      <c r="A1609" s="262" t="s">
        <v>3764</v>
      </c>
      <c r="B1609" s="263" t="s">
        <v>200</v>
      </c>
      <c r="C1609" s="161" t="s">
        <v>1714</v>
      </c>
      <c r="D1609" s="264"/>
      <c r="E1609" s="264"/>
      <c r="F1609" s="265"/>
      <c r="G1609" s="265"/>
      <c r="H1609" s="265"/>
      <c r="I1609" s="263" t="s">
        <v>3732</v>
      </c>
      <c r="J1609" s="266">
        <v>1.86</v>
      </c>
      <c r="K1609" s="266"/>
      <c r="L1609" s="266"/>
      <c r="M1609" s="267">
        <v>65</v>
      </c>
      <c r="N1609" s="267"/>
      <c r="O1609" s="267"/>
      <c r="P1609" s="262" t="s">
        <v>1654</v>
      </c>
      <c r="Q1609" s="262" t="s">
        <v>1848</v>
      </c>
      <c r="R1609" s="262" t="s">
        <v>3794</v>
      </c>
      <c r="S1609" s="268">
        <v>2.8914761410893601E-2</v>
      </c>
      <c r="T1609" s="269" t="s">
        <v>382</v>
      </c>
      <c r="U1609" s="269"/>
      <c r="V1609" s="269"/>
      <c r="W1609" s="270">
        <f>IF(BetTable[Sport]="","",BetTable[Stake]+BetTable[S2]+BetTable[S3])</f>
        <v>65</v>
      </c>
      <c r="X1609" s="267">
        <f>IF(BetTable[Odds]="","",(BetTable[WBA1-Commission])-BetTable[TS])</f>
        <v>55.900000000000006</v>
      </c>
      <c r="Y1609" s="271">
        <f>IF(BetTable[Outcome]="","",BetTable[WBA1]+BetTable[WBA2]+BetTable[WBA3]-BetTable[TS])</f>
        <v>-65</v>
      </c>
      <c r="Z1609" s="267">
        <f>(((BetTable[Odds]-1)*BetTable[Stake])*(1-(BetTable[Comm %]))+BetTable[Stake])</f>
        <v>120.9</v>
      </c>
      <c r="AA1609" s="267">
        <f>(((BetTable[O2]-1)*BetTable[S2])*(1-(BetTable[C% 2]))+BetTable[S2])</f>
        <v>0</v>
      </c>
      <c r="AB1609" s="267">
        <f>(((BetTable[O3]-1)*BetTable[S3])*(1-(BetTable[C% 3]))+BetTable[S3])</f>
        <v>0</v>
      </c>
      <c r="AC1609" s="268">
        <f>IFERROR(IF(BetTable[Sport]="","",BetTable[R1]/BetTable[TS]),"")</f>
        <v>0.8600000000000001</v>
      </c>
      <c r="AD1609" s="268" t="str">
        <f>IF(BetTable[O2]="","",#REF!/BetTable[TS])</f>
        <v/>
      </c>
      <c r="AE1609" s="268" t="str">
        <f>IFERROR(IF(BetTable[Sport]="","",#REF!/BetTable[TS]),"")</f>
        <v/>
      </c>
      <c r="AF1609" s="267">
        <f>IF(BetTable[Outcome]="Win",BetTable[WBA1-Commission],IF(BetTable[Outcome]="Win Half Stake",(BetTable[Stake]/2)+BetTable[WBA1-Commission]/2,IF(BetTable[Outcome]="Lose Half Stake",BetTable[Stake]/2,IF(BetTable[Outcome]="Lose",0,IF(BetTable[Outcome]="Void",BetTable[Stake],)))))</f>
        <v>0</v>
      </c>
      <c r="AG1609" s="267">
        <f>IF(BetTable[Outcome2]="Win",BetTable[WBA2-Commission],IF(BetTable[Outcome2]="Win Half Stake",(BetTable[S2]/2)+BetTable[WBA2-Commission]/2,IF(BetTable[Outcome2]="Lose Half Stake",BetTable[S2]/2,IF(BetTable[Outcome2]="Lose",0,IF(BetTable[Outcome2]="Void",BetTable[S2],)))))</f>
        <v>0</v>
      </c>
      <c r="AH1609" s="267">
        <f>IF(BetTable[Outcome3]="Win",BetTable[WBA3-Commission],IF(BetTable[Outcome3]="Win Half Stake",(BetTable[S3]/2)+BetTable[WBA3-Commission]/2,IF(BetTable[Outcome3]="Lose Half Stake",BetTable[S3]/2,IF(BetTable[Outcome3]="Lose",0,IF(BetTable[Outcome3]="Void",BetTable[S3],)))))</f>
        <v>0</v>
      </c>
      <c r="AI1609" s="271">
        <f>IF(BetTable[Outcome]="",AI1608,BetTable[Result]+AI1608)</f>
        <v>2016.7257499999982</v>
      </c>
      <c r="AJ1609" s="263"/>
    </row>
    <row r="1610" spans="1:36" x14ac:dyDescent="0.2">
      <c r="A1610" s="262" t="s">
        <v>3764</v>
      </c>
      <c r="B1610" s="263" t="s">
        <v>7</v>
      </c>
      <c r="C1610" s="264" t="s">
        <v>91</v>
      </c>
      <c r="D1610" s="264"/>
      <c r="E1610" s="264"/>
      <c r="F1610" s="265"/>
      <c r="G1610" s="265"/>
      <c r="H1610" s="265"/>
      <c r="I1610" s="263" t="s">
        <v>3779</v>
      </c>
      <c r="J1610" s="266">
        <v>1.84</v>
      </c>
      <c r="K1610" s="266"/>
      <c r="L1610" s="266"/>
      <c r="M1610" s="267">
        <v>74</v>
      </c>
      <c r="N1610" s="267"/>
      <c r="O1610" s="267"/>
      <c r="P1610" s="262" t="s">
        <v>1617</v>
      </c>
      <c r="Q1610" s="262" t="s">
        <v>674</v>
      </c>
      <c r="R1610" s="262" t="s">
        <v>3795</v>
      </c>
      <c r="S1610" s="268">
        <v>3.2331290816213699E-2</v>
      </c>
      <c r="T1610" s="269" t="s">
        <v>382</v>
      </c>
      <c r="U1610" s="269"/>
      <c r="V1610" s="269"/>
      <c r="W1610" s="270">
        <f>IF(BetTable[Sport]="","",BetTable[Stake]+BetTable[S2]+BetTable[S3])</f>
        <v>74</v>
      </c>
      <c r="X1610" s="267">
        <f>IF(BetTable[Odds]="","",(BetTable[WBA1-Commission])-BetTable[TS])</f>
        <v>62.16</v>
      </c>
      <c r="Y1610" s="271">
        <f>IF(BetTable[Outcome]="","",BetTable[WBA1]+BetTable[WBA2]+BetTable[WBA3]-BetTable[TS])</f>
        <v>-74</v>
      </c>
      <c r="Z1610" s="267">
        <f>(((BetTable[Odds]-1)*BetTable[Stake])*(1-(BetTable[Comm %]))+BetTable[Stake])</f>
        <v>136.16</v>
      </c>
      <c r="AA1610" s="267">
        <f>(((BetTable[O2]-1)*BetTable[S2])*(1-(BetTable[C% 2]))+BetTable[S2])</f>
        <v>0</v>
      </c>
      <c r="AB1610" s="267">
        <f>(((BetTable[O3]-1)*BetTable[S3])*(1-(BetTable[C% 3]))+BetTable[S3])</f>
        <v>0</v>
      </c>
      <c r="AC1610" s="268">
        <f>IFERROR(IF(BetTable[Sport]="","",BetTable[R1]/BetTable[TS]),"")</f>
        <v>0.84</v>
      </c>
      <c r="AD1610" s="268" t="str">
        <f>IF(BetTable[O2]="","",#REF!/BetTable[TS])</f>
        <v/>
      </c>
      <c r="AE1610" s="268" t="str">
        <f>IFERROR(IF(BetTable[Sport]="","",#REF!/BetTable[TS]),"")</f>
        <v/>
      </c>
      <c r="AF1610" s="267">
        <f>IF(BetTable[Outcome]="Win",BetTable[WBA1-Commission],IF(BetTable[Outcome]="Win Half Stake",(BetTable[Stake]/2)+BetTable[WBA1-Commission]/2,IF(BetTable[Outcome]="Lose Half Stake",BetTable[Stake]/2,IF(BetTable[Outcome]="Lose",0,IF(BetTable[Outcome]="Void",BetTable[Stake],)))))</f>
        <v>0</v>
      </c>
      <c r="AG1610" s="267">
        <f>IF(BetTable[Outcome2]="Win",BetTable[WBA2-Commission],IF(BetTable[Outcome2]="Win Half Stake",(BetTable[S2]/2)+BetTable[WBA2-Commission]/2,IF(BetTable[Outcome2]="Lose Half Stake",BetTable[S2]/2,IF(BetTable[Outcome2]="Lose",0,IF(BetTable[Outcome2]="Void",BetTable[S2],)))))</f>
        <v>0</v>
      </c>
      <c r="AH1610" s="267">
        <f>IF(BetTable[Outcome3]="Win",BetTable[WBA3-Commission],IF(BetTable[Outcome3]="Win Half Stake",(BetTable[S3]/2)+BetTable[WBA3-Commission]/2,IF(BetTable[Outcome3]="Lose Half Stake",BetTable[S3]/2,IF(BetTable[Outcome3]="Lose",0,IF(BetTable[Outcome3]="Void",BetTable[S3],)))))</f>
        <v>0</v>
      </c>
      <c r="AI1610" s="271">
        <f>IF(BetTable[Outcome]="",AI1609,BetTable[Result]+AI1609)</f>
        <v>1942.7257499999982</v>
      </c>
      <c r="AJ1610" s="263"/>
    </row>
    <row r="1611" spans="1:36" x14ac:dyDescent="0.2">
      <c r="A1611" s="262" t="s">
        <v>3764</v>
      </c>
      <c r="B1611" s="263" t="s">
        <v>7</v>
      </c>
      <c r="C1611" s="264" t="s">
        <v>91</v>
      </c>
      <c r="D1611" s="264"/>
      <c r="E1611" s="264"/>
      <c r="F1611" s="265"/>
      <c r="G1611" s="265"/>
      <c r="H1611" s="265"/>
      <c r="I1611" s="263" t="s">
        <v>3784</v>
      </c>
      <c r="J1611" s="266">
        <v>1.87</v>
      </c>
      <c r="K1611" s="266"/>
      <c r="L1611" s="266"/>
      <c r="M1611" s="267">
        <v>64</v>
      </c>
      <c r="N1611" s="267"/>
      <c r="O1611" s="267"/>
      <c r="P1611" s="262" t="s">
        <v>3796</v>
      </c>
      <c r="Q1611" s="262" t="s">
        <v>1205</v>
      </c>
      <c r="R1611" s="262" t="s">
        <v>3797</v>
      </c>
      <c r="S1611" s="268">
        <v>3.5707333110013603E-2</v>
      </c>
      <c r="T1611" s="269" t="s">
        <v>372</v>
      </c>
      <c r="U1611" s="269"/>
      <c r="V1611" s="269"/>
      <c r="W1611" s="270">
        <f>IF(BetTable[Sport]="","",BetTable[Stake]+BetTable[S2]+BetTable[S3])</f>
        <v>64</v>
      </c>
      <c r="X1611" s="267">
        <f>IF(BetTable[Odds]="","",(BetTable[WBA1-Commission])-BetTable[TS])</f>
        <v>55.680000000000007</v>
      </c>
      <c r="Y1611" s="271">
        <f>IF(BetTable[Outcome]="","",BetTable[WBA1]+BetTable[WBA2]+BetTable[WBA3]-BetTable[TS])</f>
        <v>55.680000000000007</v>
      </c>
      <c r="Z1611" s="267">
        <f>(((BetTable[Odds]-1)*BetTable[Stake])*(1-(BetTable[Comm %]))+BetTable[Stake])</f>
        <v>119.68</v>
      </c>
      <c r="AA1611" s="267">
        <f>(((BetTable[O2]-1)*BetTable[S2])*(1-(BetTable[C% 2]))+BetTable[S2])</f>
        <v>0</v>
      </c>
      <c r="AB1611" s="267">
        <f>(((BetTable[O3]-1)*BetTable[S3])*(1-(BetTable[C% 3]))+BetTable[S3])</f>
        <v>0</v>
      </c>
      <c r="AC1611" s="268">
        <f>IFERROR(IF(BetTable[Sport]="","",BetTable[R1]/BetTable[TS]),"")</f>
        <v>0.87000000000000011</v>
      </c>
      <c r="AD1611" s="268" t="str">
        <f>IF(BetTable[O2]="","",#REF!/BetTable[TS])</f>
        <v/>
      </c>
      <c r="AE1611" s="268" t="str">
        <f>IFERROR(IF(BetTable[Sport]="","",#REF!/BetTable[TS]),"")</f>
        <v/>
      </c>
      <c r="AF1611" s="267">
        <f>IF(BetTable[Outcome]="Win",BetTable[WBA1-Commission],IF(BetTable[Outcome]="Win Half Stake",(BetTable[Stake]/2)+BetTable[WBA1-Commission]/2,IF(BetTable[Outcome]="Lose Half Stake",BetTable[Stake]/2,IF(BetTable[Outcome]="Lose",0,IF(BetTable[Outcome]="Void",BetTable[Stake],)))))</f>
        <v>119.68</v>
      </c>
      <c r="AG1611" s="267">
        <f>IF(BetTable[Outcome2]="Win",BetTable[WBA2-Commission],IF(BetTable[Outcome2]="Win Half Stake",(BetTable[S2]/2)+BetTable[WBA2-Commission]/2,IF(BetTable[Outcome2]="Lose Half Stake",BetTable[S2]/2,IF(BetTable[Outcome2]="Lose",0,IF(BetTable[Outcome2]="Void",BetTable[S2],)))))</f>
        <v>0</v>
      </c>
      <c r="AH1611" s="267">
        <f>IF(BetTable[Outcome3]="Win",BetTable[WBA3-Commission],IF(BetTable[Outcome3]="Win Half Stake",(BetTable[S3]/2)+BetTable[WBA3-Commission]/2,IF(BetTable[Outcome3]="Lose Half Stake",BetTable[S3]/2,IF(BetTable[Outcome3]="Lose",0,IF(BetTable[Outcome3]="Void",BetTable[S3],)))))</f>
        <v>0</v>
      </c>
      <c r="AI1611" s="271">
        <f>IF(BetTable[Outcome]="",AI1610,BetTable[Result]+AI1610)</f>
        <v>1998.4057499999983</v>
      </c>
      <c r="AJ1611" s="263"/>
    </row>
    <row r="1612" spans="1:36" x14ac:dyDescent="0.2">
      <c r="A1612" s="262" t="s">
        <v>3764</v>
      </c>
      <c r="B1612" s="263" t="s">
        <v>200</v>
      </c>
      <c r="C1612" s="161" t="s">
        <v>1714</v>
      </c>
      <c r="D1612" s="264"/>
      <c r="E1612" s="264"/>
      <c r="F1612" s="265"/>
      <c r="G1612" s="265"/>
      <c r="H1612" s="265"/>
      <c r="I1612" s="263" t="s">
        <v>3798</v>
      </c>
      <c r="J1612" s="266">
        <v>3.85</v>
      </c>
      <c r="K1612" s="266"/>
      <c r="L1612" s="266"/>
      <c r="M1612" s="267">
        <v>20</v>
      </c>
      <c r="N1612" s="267"/>
      <c r="O1612" s="267"/>
      <c r="P1612" s="262" t="s">
        <v>428</v>
      </c>
      <c r="Q1612" s="262" t="s">
        <v>439</v>
      </c>
      <c r="R1612" s="262" t="s">
        <v>3799</v>
      </c>
      <c r="S1612" s="268">
        <v>3.95693466105781E-2</v>
      </c>
      <c r="T1612" s="269" t="s">
        <v>372</v>
      </c>
      <c r="U1612" s="269"/>
      <c r="V1612" s="269"/>
      <c r="W1612" s="270">
        <f>IF(BetTable[Sport]="","",BetTable[Stake]+BetTable[S2]+BetTable[S3])</f>
        <v>20</v>
      </c>
      <c r="X1612" s="267">
        <f>IF(BetTable[Odds]="","",(BetTable[WBA1-Commission])-BetTable[TS])</f>
        <v>57</v>
      </c>
      <c r="Y1612" s="271">
        <f>IF(BetTable[Outcome]="","",BetTable[WBA1]+BetTable[WBA2]+BetTable[WBA3]-BetTable[TS])</f>
        <v>57</v>
      </c>
      <c r="Z1612" s="267">
        <f>(((BetTable[Odds]-1)*BetTable[Stake])*(1-(BetTable[Comm %]))+BetTable[Stake])</f>
        <v>77</v>
      </c>
      <c r="AA1612" s="267">
        <f>(((BetTable[O2]-1)*BetTable[S2])*(1-(BetTable[C% 2]))+BetTable[S2])</f>
        <v>0</v>
      </c>
      <c r="AB1612" s="267">
        <f>(((BetTable[O3]-1)*BetTable[S3])*(1-(BetTable[C% 3]))+BetTable[S3])</f>
        <v>0</v>
      </c>
      <c r="AC1612" s="268">
        <f>IFERROR(IF(BetTable[Sport]="","",BetTable[R1]/BetTable[TS]),"")</f>
        <v>2.85</v>
      </c>
      <c r="AD1612" s="268" t="str">
        <f>IF(BetTable[O2]="","",#REF!/BetTable[TS])</f>
        <v/>
      </c>
      <c r="AE1612" s="268" t="str">
        <f>IFERROR(IF(BetTable[Sport]="","",#REF!/BetTable[TS]),"")</f>
        <v/>
      </c>
      <c r="AF1612" s="267">
        <f>IF(BetTable[Outcome]="Win",BetTable[WBA1-Commission],IF(BetTable[Outcome]="Win Half Stake",(BetTable[Stake]/2)+BetTable[WBA1-Commission]/2,IF(BetTable[Outcome]="Lose Half Stake",BetTable[Stake]/2,IF(BetTable[Outcome]="Lose",0,IF(BetTable[Outcome]="Void",BetTable[Stake],)))))</f>
        <v>77</v>
      </c>
      <c r="AG1612" s="267">
        <f>IF(BetTable[Outcome2]="Win",BetTable[WBA2-Commission],IF(BetTable[Outcome2]="Win Half Stake",(BetTable[S2]/2)+BetTable[WBA2-Commission]/2,IF(BetTable[Outcome2]="Lose Half Stake",BetTable[S2]/2,IF(BetTable[Outcome2]="Lose",0,IF(BetTable[Outcome2]="Void",BetTable[S2],)))))</f>
        <v>0</v>
      </c>
      <c r="AH1612" s="267">
        <f>IF(BetTable[Outcome3]="Win",BetTable[WBA3-Commission],IF(BetTable[Outcome3]="Win Half Stake",(BetTable[S3]/2)+BetTable[WBA3-Commission]/2,IF(BetTable[Outcome3]="Lose Half Stake",BetTable[S3]/2,IF(BetTable[Outcome3]="Lose",0,IF(BetTable[Outcome3]="Void",BetTable[S3],)))))</f>
        <v>0</v>
      </c>
      <c r="AI1612" s="271">
        <f>IF(BetTable[Outcome]="",AI1611,BetTable[Result]+AI1611)</f>
        <v>2055.4057499999981</v>
      </c>
      <c r="AJ1612" s="263"/>
    </row>
    <row r="1613" spans="1:36" x14ac:dyDescent="0.2">
      <c r="A1613" s="262"/>
      <c r="B1613" s="263"/>
      <c r="C1613" s="264"/>
      <c r="D1613" s="264"/>
      <c r="E1613" s="264"/>
      <c r="F1613" s="265"/>
      <c r="G1613" s="265"/>
      <c r="H1613" s="265"/>
      <c r="I1613" s="263"/>
      <c r="J1613" s="266"/>
      <c r="K1613" s="266"/>
      <c r="L1613" s="266"/>
      <c r="M1613" s="267"/>
      <c r="N1613" s="267"/>
      <c r="O1613" s="267"/>
      <c r="P1613" s="262"/>
      <c r="Q1613" s="262"/>
      <c r="R1613" s="262"/>
      <c r="S1613" s="268"/>
      <c r="T1613" s="269"/>
      <c r="U1613" s="269"/>
      <c r="V1613" s="269"/>
      <c r="W1613" s="270" t="str">
        <f>IF(BetTable[Sport]="","",BetTable[Stake]+BetTable[S2]+BetTable[S3])</f>
        <v/>
      </c>
      <c r="X1613" s="267" t="str">
        <f>IF(BetTable[Odds]="","",(BetTable[WBA1-Commission])-BetTable[TS])</f>
        <v/>
      </c>
      <c r="Y1613" s="271" t="str">
        <f>IF(BetTable[Outcome]="","",BetTable[WBA1]+BetTable[WBA2]+BetTable[WBA3]-BetTable[TS])</f>
        <v/>
      </c>
      <c r="Z1613" s="267">
        <f>(((BetTable[Odds]-1)*BetTable[Stake])*(1-(BetTable[Comm %]))+BetTable[Stake])</f>
        <v>0</v>
      </c>
      <c r="AA1613" s="267">
        <f>(((BetTable[O2]-1)*BetTable[S2])*(1-(BetTable[C% 2]))+BetTable[S2])</f>
        <v>0</v>
      </c>
      <c r="AB1613" s="267">
        <f>(((BetTable[O3]-1)*BetTable[S3])*(1-(BetTable[C% 3]))+BetTable[S3])</f>
        <v>0</v>
      </c>
      <c r="AC1613" s="268" t="str">
        <f>IFERROR(IF(BetTable[Sport]="","",BetTable[R1]/BetTable[TS]),"")</f>
        <v/>
      </c>
      <c r="AD1613" s="268" t="str">
        <f>IF(BetTable[O2]="","",#REF!/BetTable[TS])</f>
        <v/>
      </c>
      <c r="AE1613" s="268" t="str">
        <f>IFERROR(IF(BetTable[Sport]="","",#REF!/BetTable[TS]),"")</f>
        <v/>
      </c>
      <c r="AF1613" s="267">
        <f>IF(BetTable[Outcome]="Win",BetTable[WBA1-Commission],IF(BetTable[Outcome]="Win Half Stake",(BetTable[Stake]/2)+BetTable[WBA1-Commission]/2,IF(BetTable[Outcome]="Lose Half Stake",BetTable[Stake]/2,IF(BetTable[Outcome]="Lose",0,IF(BetTable[Outcome]="Void",BetTable[Stake],)))))</f>
        <v>0</v>
      </c>
      <c r="AG1613" s="267">
        <f>IF(BetTable[Outcome2]="Win",BetTable[WBA2-Commission],IF(BetTable[Outcome2]="Win Half Stake",(BetTable[S2]/2)+BetTable[WBA2-Commission]/2,IF(BetTable[Outcome2]="Lose Half Stake",BetTable[S2]/2,IF(BetTable[Outcome2]="Lose",0,IF(BetTable[Outcome2]="Void",BetTable[S2],)))))</f>
        <v>0</v>
      </c>
      <c r="AH1613" s="267">
        <f>IF(BetTable[Outcome3]="Win",BetTable[WBA3-Commission],IF(BetTable[Outcome3]="Win Half Stake",(BetTable[S3]/2)+BetTable[WBA3-Commission]/2,IF(BetTable[Outcome3]="Lose Half Stake",BetTable[S3]/2,IF(BetTable[Outcome3]="Lose",0,IF(BetTable[Outcome3]="Void",BetTable[S3],)))))</f>
        <v>0</v>
      </c>
      <c r="AI1613" s="271">
        <f>IF(BetTable[Outcome]="",AI1612,BetTable[Result]+AI1612)</f>
        <v>2055.4057499999981</v>
      </c>
      <c r="AJ1613" s="263"/>
    </row>
    <row r="1614" spans="1:36" x14ac:dyDescent="0.2">
      <c r="A1614" s="262"/>
      <c r="B1614" s="263"/>
      <c r="C1614" s="264"/>
      <c r="D1614" s="264"/>
      <c r="E1614" s="264"/>
      <c r="F1614" s="265"/>
      <c r="G1614" s="265"/>
      <c r="H1614" s="265"/>
      <c r="I1614" s="263"/>
      <c r="J1614" s="266"/>
      <c r="K1614" s="266"/>
      <c r="L1614" s="266"/>
      <c r="M1614" s="267"/>
      <c r="N1614" s="267"/>
      <c r="O1614" s="267"/>
      <c r="P1614" s="262"/>
      <c r="Q1614" s="262"/>
      <c r="R1614" s="262"/>
      <c r="S1614" s="268"/>
      <c r="T1614" s="269"/>
      <c r="U1614" s="269"/>
      <c r="V1614" s="269"/>
      <c r="W1614" s="270" t="str">
        <f>IF(BetTable[Sport]="","",BetTable[Stake]+BetTable[S2]+BetTable[S3])</f>
        <v/>
      </c>
      <c r="X1614" s="267" t="str">
        <f>IF(BetTable[Odds]="","",(BetTable[WBA1-Commission])-BetTable[TS])</f>
        <v/>
      </c>
      <c r="Y1614" s="271" t="str">
        <f>IF(BetTable[Outcome]="","",BetTable[WBA1]+BetTable[WBA2]+BetTable[WBA3]-BetTable[TS])</f>
        <v/>
      </c>
      <c r="Z1614" s="267">
        <f>(((BetTable[Odds]-1)*BetTable[Stake])*(1-(BetTable[Comm %]))+BetTable[Stake])</f>
        <v>0</v>
      </c>
      <c r="AA1614" s="267">
        <f>(((BetTable[O2]-1)*BetTable[S2])*(1-(BetTable[C% 2]))+BetTable[S2])</f>
        <v>0</v>
      </c>
      <c r="AB1614" s="267">
        <f>(((BetTable[O3]-1)*BetTable[S3])*(1-(BetTable[C% 3]))+BetTable[S3])</f>
        <v>0</v>
      </c>
      <c r="AC1614" s="268" t="str">
        <f>IFERROR(IF(BetTable[Sport]="","",BetTable[R1]/BetTable[TS]),"")</f>
        <v/>
      </c>
      <c r="AD1614" s="268" t="str">
        <f>IF(BetTable[O2]="","",#REF!/BetTable[TS])</f>
        <v/>
      </c>
      <c r="AE1614" s="268" t="str">
        <f>IFERROR(IF(BetTable[Sport]="","",#REF!/BetTable[TS]),"")</f>
        <v/>
      </c>
      <c r="AF1614" s="267">
        <f>IF(BetTable[Outcome]="Win",BetTable[WBA1-Commission],IF(BetTable[Outcome]="Win Half Stake",(BetTable[Stake]/2)+BetTable[WBA1-Commission]/2,IF(BetTable[Outcome]="Lose Half Stake",BetTable[Stake]/2,IF(BetTable[Outcome]="Lose",0,IF(BetTable[Outcome]="Void",BetTable[Stake],)))))</f>
        <v>0</v>
      </c>
      <c r="AG1614" s="267">
        <f>IF(BetTable[Outcome2]="Win",BetTable[WBA2-Commission],IF(BetTable[Outcome2]="Win Half Stake",(BetTable[S2]/2)+BetTable[WBA2-Commission]/2,IF(BetTable[Outcome2]="Lose Half Stake",BetTable[S2]/2,IF(BetTable[Outcome2]="Lose",0,IF(BetTable[Outcome2]="Void",BetTable[S2],)))))</f>
        <v>0</v>
      </c>
      <c r="AH1614" s="267">
        <f>IF(BetTable[Outcome3]="Win",BetTable[WBA3-Commission],IF(BetTable[Outcome3]="Win Half Stake",(BetTable[S3]/2)+BetTable[WBA3-Commission]/2,IF(BetTable[Outcome3]="Lose Half Stake",BetTable[S3]/2,IF(BetTable[Outcome3]="Lose",0,IF(BetTable[Outcome3]="Void",BetTable[S3],)))))</f>
        <v>0</v>
      </c>
      <c r="AI1614" s="271">
        <f>IF(BetTable[Outcome]="",AI1613,BetTable[Result]+AI1613)</f>
        <v>2055.4057499999981</v>
      </c>
      <c r="AJ1614" s="263"/>
    </row>
    <row r="1615" spans="1:36" x14ac:dyDescent="0.2">
      <c r="A1615" s="262"/>
      <c r="B1615" s="263"/>
      <c r="C1615" s="264"/>
      <c r="D1615" s="264"/>
      <c r="E1615" s="264"/>
      <c r="F1615" s="265"/>
      <c r="G1615" s="265"/>
      <c r="H1615" s="265"/>
      <c r="I1615" s="263"/>
      <c r="J1615" s="266"/>
      <c r="K1615" s="266"/>
      <c r="L1615" s="266"/>
      <c r="M1615" s="267"/>
      <c r="N1615" s="267"/>
      <c r="O1615" s="267"/>
      <c r="P1615" s="262"/>
      <c r="Q1615" s="262"/>
      <c r="R1615" s="262"/>
      <c r="S1615" s="268"/>
      <c r="T1615" s="269"/>
      <c r="U1615" s="269"/>
      <c r="V1615" s="269"/>
      <c r="W1615" s="270" t="str">
        <f>IF(BetTable[Sport]="","",BetTable[Stake]+BetTable[S2]+BetTable[S3])</f>
        <v/>
      </c>
      <c r="X1615" s="267" t="str">
        <f>IF(BetTable[Odds]="","",(BetTable[WBA1-Commission])-BetTable[TS])</f>
        <v/>
      </c>
      <c r="Y1615" s="271" t="str">
        <f>IF(BetTable[Outcome]="","",BetTable[WBA1]+BetTable[WBA2]+BetTable[WBA3]-BetTable[TS])</f>
        <v/>
      </c>
      <c r="Z1615" s="267">
        <f>(((BetTable[Odds]-1)*BetTable[Stake])*(1-(BetTable[Comm %]))+BetTable[Stake])</f>
        <v>0</v>
      </c>
      <c r="AA1615" s="267">
        <f>(((BetTable[O2]-1)*BetTable[S2])*(1-(BetTable[C% 2]))+BetTable[S2])</f>
        <v>0</v>
      </c>
      <c r="AB1615" s="267">
        <f>(((BetTable[O3]-1)*BetTable[S3])*(1-(BetTable[C% 3]))+BetTable[S3])</f>
        <v>0</v>
      </c>
      <c r="AC1615" s="268" t="str">
        <f>IFERROR(IF(BetTable[Sport]="","",BetTable[R1]/BetTable[TS]),"")</f>
        <v/>
      </c>
      <c r="AD1615" s="268" t="str">
        <f>IF(BetTable[O2]="","",#REF!/BetTable[TS])</f>
        <v/>
      </c>
      <c r="AE1615" s="268" t="str">
        <f>IFERROR(IF(BetTable[Sport]="","",#REF!/BetTable[TS]),"")</f>
        <v/>
      </c>
      <c r="AF1615" s="267">
        <f>IF(BetTable[Outcome]="Win",BetTable[WBA1-Commission],IF(BetTable[Outcome]="Win Half Stake",(BetTable[Stake]/2)+BetTable[WBA1-Commission]/2,IF(BetTable[Outcome]="Lose Half Stake",BetTable[Stake]/2,IF(BetTable[Outcome]="Lose",0,IF(BetTable[Outcome]="Void",BetTable[Stake],)))))</f>
        <v>0</v>
      </c>
      <c r="AG1615" s="267">
        <f>IF(BetTable[Outcome2]="Win",BetTable[WBA2-Commission],IF(BetTable[Outcome2]="Win Half Stake",(BetTable[S2]/2)+BetTable[WBA2-Commission]/2,IF(BetTable[Outcome2]="Lose Half Stake",BetTable[S2]/2,IF(BetTable[Outcome2]="Lose",0,IF(BetTable[Outcome2]="Void",BetTable[S2],)))))</f>
        <v>0</v>
      </c>
      <c r="AH1615" s="267">
        <f>IF(BetTable[Outcome3]="Win",BetTable[WBA3-Commission],IF(BetTable[Outcome3]="Win Half Stake",(BetTable[S3]/2)+BetTable[WBA3-Commission]/2,IF(BetTable[Outcome3]="Lose Half Stake",BetTable[S3]/2,IF(BetTable[Outcome3]="Lose",0,IF(BetTable[Outcome3]="Void",BetTable[S3],)))))</f>
        <v>0</v>
      </c>
      <c r="AI1615" s="271">
        <f>IF(BetTable[Outcome]="",AI1614,BetTable[Result]+AI1614)</f>
        <v>2055.4057499999981</v>
      </c>
      <c r="AJ1615" s="263"/>
    </row>
    <row r="1616" spans="1:36" x14ac:dyDescent="0.2">
      <c r="A1616" s="159"/>
      <c r="B1616" s="160"/>
      <c r="C1616" s="161"/>
      <c r="D1616" s="161"/>
      <c r="E1616" s="161"/>
      <c r="F1616" s="162"/>
      <c r="G1616" s="162"/>
      <c r="H1616" s="162"/>
      <c r="I1616" s="160"/>
      <c r="J1616" s="163"/>
      <c r="K1616" s="163"/>
      <c r="L1616" s="163"/>
      <c r="M1616" s="164"/>
      <c r="N1616" s="164"/>
      <c r="O1616" s="164"/>
      <c r="P1616" s="159"/>
      <c r="Q1616" s="159"/>
      <c r="R1616" s="159"/>
      <c r="S1616" s="165"/>
      <c r="T1616" s="166"/>
      <c r="U1616" s="166"/>
      <c r="V1616" s="166"/>
      <c r="W1616" s="167" t="str">
        <f>IF(BetTable[Sport]="","",BetTable[Stake]+BetTable[S2]+BetTable[S3])</f>
        <v/>
      </c>
      <c r="X1616" s="164" t="str">
        <f>IF(BetTable[Odds]="","",(BetTable[WBA1-Commission])-BetTable[TS])</f>
        <v/>
      </c>
      <c r="Y1616" s="168" t="str">
        <f>IF(BetTable[Outcome]="","",BetTable[WBA1]+BetTable[WBA2]+BetTable[WBA3]-BetTable[TS])</f>
        <v/>
      </c>
      <c r="Z1616" s="164">
        <f>(((BetTable[Odds]-1)*BetTable[Stake])*(1-(BetTable[Comm %]))+BetTable[Stake])</f>
        <v>0</v>
      </c>
      <c r="AA1616" s="164">
        <f>(((BetTable[O2]-1)*BetTable[S2])*(1-(BetTable[C% 2]))+BetTable[S2])</f>
        <v>0</v>
      </c>
      <c r="AB1616" s="164">
        <f>(((BetTable[O3]-1)*BetTable[S3])*(1-(BetTable[C% 3]))+BetTable[S3])</f>
        <v>0</v>
      </c>
      <c r="AC1616" s="165" t="str">
        <f>IFERROR(IF(BetTable[Sport]="","",BetTable[R1]/BetTable[TS]),"")</f>
        <v/>
      </c>
      <c r="AD1616" s="165" t="str">
        <f>IF(BetTable[O2]="","",#REF!/BetTable[TS])</f>
        <v/>
      </c>
      <c r="AE1616" s="165" t="str">
        <f>IFERROR(IF(BetTable[Sport]="","",#REF!/BetTable[TS]),"")</f>
        <v/>
      </c>
      <c r="AF1616" s="164">
        <f>IF(BetTable[Outcome]="Win",BetTable[WBA1-Commission],IF(BetTable[Outcome]="Win Half Stake",(BetTable[Stake]/2)+BetTable[WBA1-Commission]/2,IF(BetTable[Outcome]="Lose Half Stake",BetTable[Stake]/2,IF(BetTable[Outcome]="Lose",0,IF(BetTable[Outcome]="Void",BetTable[Stake],)))))</f>
        <v>0</v>
      </c>
      <c r="AG1616" s="164">
        <f>IF(BetTable[Outcome2]="Win",BetTable[WBA2-Commission],IF(BetTable[Outcome2]="Win Half Stake",(BetTable[S2]/2)+BetTable[WBA2-Commission]/2,IF(BetTable[Outcome2]="Lose Half Stake",BetTable[S2]/2,IF(BetTable[Outcome2]="Lose",0,IF(BetTable[Outcome2]="Void",BetTable[S2],)))))</f>
        <v>0</v>
      </c>
      <c r="AH1616" s="164">
        <f>IF(BetTable[Outcome3]="Win",BetTable[WBA3-Commission],IF(BetTable[Outcome3]="Win Half Stake",(BetTable[S3]/2)+BetTable[WBA3-Commission]/2,IF(BetTable[Outcome3]="Lose Half Stake",BetTable[S3]/2,IF(BetTable[Outcome3]="Lose",0,IF(BetTable[Outcome3]="Void",BetTable[S3],)))))</f>
        <v>0</v>
      </c>
      <c r="AI1616" s="168">
        <f>IF(BetTable[Outcome]="",AI1615,BetTable[Result]+AI1615)</f>
        <v>2055.4057499999981</v>
      </c>
      <c r="AJ1616" s="160"/>
    </row>
    <row r="1617" spans="1:36" x14ac:dyDescent="0.2">
      <c r="A1617" s="159"/>
      <c r="B1617" s="160"/>
      <c r="C1617" s="161"/>
      <c r="D1617" s="161"/>
      <c r="E1617" s="161"/>
      <c r="F1617" s="162"/>
      <c r="G1617" s="162"/>
      <c r="H1617" s="162"/>
      <c r="I1617" s="160"/>
      <c r="J1617" s="163"/>
      <c r="K1617" s="163"/>
      <c r="L1617" s="163"/>
      <c r="M1617" s="164"/>
      <c r="N1617" s="164"/>
      <c r="O1617" s="164"/>
      <c r="P1617" s="159"/>
      <c r="Q1617" s="159"/>
      <c r="R1617" s="159"/>
      <c r="S1617" s="165"/>
      <c r="T1617" s="166"/>
      <c r="U1617" s="166"/>
      <c r="V1617" s="166"/>
      <c r="W1617" s="167" t="str">
        <f>IF(BetTable[Sport]="","",BetTable[Stake]+BetTable[S2]+BetTable[S3])</f>
        <v/>
      </c>
      <c r="X1617" s="164" t="str">
        <f>IF(BetTable[Odds]="","",(BetTable[WBA1-Commission])-BetTable[TS])</f>
        <v/>
      </c>
      <c r="Y1617" s="168" t="str">
        <f>IF(BetTable[Outcome]="","",BetTable[WBA1]+BetTable[WBA2]+BetTable[WBA3]-BetTable[TS])</f>
        <v/>
      </c>
      <c r="Z1617" s="164">
        <f>(((BetTable[Odds]-1)*BetTable[Stake])*(1-(BetTable[Comm %]))+BetTable[Stake])</f>
        <v>0</v>
      </c>
      <c r="AA1617" s="164">
        <f>(((BetTable[O2]-1)*BetTable[S2])*(1-(BetTable[C% 2]))+BetTable[S2])</f>
        <v>0</v>
      </c>
      <c r="AB1617" s="164">
        <f>(((BetTable[O3]-1)*BetTable[S3])*(1-(BetTable[C% 3]))+BetTable[S3])</f>
        <v>0</v>
      </c>
      <c r="AC1617" s="165" t="str">
        <f>IFERROR(IF(BetTable[Sport]="","",BetTable[R1]/BetTable[TS]),"")</f>
        <v/>
      </c>
      <c r="AD1617" s="165" t="str">
        <f>IF(BetTable[O2]="","",#REF!/BetTable[TS])</f>
        <v/>
      </c>
      <c r="AE1617" s="165" t="str">
        <f>IFERROR(IF(BetTable[Sport]="","",#REF!/BetTable[TS]),"")</f>
        <v/>
      </c>
      <c r="AF1617" s="164">
        <f>IF(BetTable[Outcome]="Win",BetTable[WBA1-Commission],IF(BetTable[Outcome]="Win Half Stake",(BetTable[Stake]/2)+BetTable[WBA1-Commission]/2,IF(BetTable[Outcome]="Lose Half Stake",BetTable[Stake]/2,IF(BetTable[Outcome]="Lose",0,IF(BetTable[Outcome]="Void",BetTable[Stake],)))))</f>
        <v>0</v>
      </c>
      <c r="AG1617" s="164">
        <f>IF(BetTable[Outcome2]="Win",BetTable[WBA2-Commission],IF(BetTable[Outcome2]="Win Half Stake",(BetTable[S2]/2)+BetTable[WBA2-Commission]/2,IF(BetTable[Outcome2]="Lose Half Stake",BetTable[S2]/2,IF(BetTable[Outcome2]="Lose",0,IF(BetTable[Outcome2]="Void",BetTable[S2],)))))</f>
        <v>0</v>
      </c>
      <c r="AH1617" s="164">
        <f>IF(BetTable[Outcome3]="Win",BetTable[WBA3-Commission],IF(BetTable[Outcome3]="Win Half Stake",(BetTable[S3]/2)+BetTable[WBA3-Commission]/2,IF(BetTable[Outcome3]="Lose Half Stake",BetTable[S3]/2,IF(BetTable[Outcome3]="Lose",0,IF(BetTable[Outcome3]="Void",BetTable[S3],)))))</f>
        <v>0</v>
      </c>
      <c r="AI1617" s="168">
        <f>IF(BetTable[Outcome]="",AI1616,BetTable[Result]+AI1616)</f>
        <v>2055.4057499999981</v>
      </c>
      <c r="AJ1617" s="160"/>
    </row>
    <row r="1618" spans="1:36" x14ac:dyDescent="0.2">
      <c r="A1618" s="159"/>
      <c r="B1618" s="160"/>
      <c r="C1618" s="161"/>
      <c r="D1618" s="161"/>
      <c r="E1618" s="161"/>
      <c r="F1618" s="162"/>
      <c r="G1618" s="162"/>
      <c r="H1618" s="162"/>
      <c r="I1618" s="160"/>
      <c r="J1618" s="163"/>
      <c r="K1618" s="163"/>
      <c r="L1618" s="163"/>
      <c r="M1618" s="164"/>
      <c r="N1618" s="164"/>
      <c r="O1618" s="164"/>
      <c r="P1618" s="159"/>
      <c r="Q1618" s="159"/>
      <c r="R1618" s="159"/>
      <c r="S1618" s="165"/>
      <c r="T1618" s="166"/>
      <c r="U1618" s="166"/>
      <c r="V1618" s="166"/>
      <c r="W1618" s="167" t="str">
        <f>IF(BetTable[Sport]="","",BetTable[Stake]+BetTable[S2]+BetTable[S3])</f>
        <v/>
      </c>
      <c r="X1618" s="164" t="str">
        <f>IF(BetTable[Odds]="","",(BetTable[WBA1-Commission])-BetTable[TS])</f>
        <v/>
      </c>
      <c r="Y1618" s="168" t="str">
        <f>IF(BetTable[Outcome]="","",BetTable[WBA1]+BetTable[WBA2]+BetTable[WBA3]-BetTable[TS])</f>
        <v/>
      </c>
      <c r="Z1618" s="164">
        <f>(((BetTable[Odds]-1)*BetTable[Stake])*(1-(BetTable[Comm %]))+BetTable[Stake])</f>
        <v>0</v>
      </c>
      <c r="AA1618" s="164">
        <f>(((BetTable[O2]-1)*BetTable[S2])*(1-(BetTable[C% 2]))+BetTable[S2])</f>
        <v>0</v>
      </c>
      <c r="AB1618" s="164">
        <f>(((BetTable[O3]-1)*BetTable[S3])*(1-(BetTable[C% 3]))+BetTable[S3])</f>
        <v>0</v>
      </c>
      <c r="AC1618" s="165" t="str">
        <f>IFERROR(IF(BetTable[Sport]="","",BetTable[R1]/BetTable[TS]),"")</f>
        <v/>
      </c>
      <c r="AD1618" s="165" t="str">
        <f>IF(BetTable[O2]="","",#REF!/BetTable[TS])</f>
        <v/>
      </c>
      <c r="AE1618" s="165" t="str">
        <f>IFERROR(IF(BetTable[Sport]="","",#REF!/BetTable[TS]),"")</f>
        <v/>
      </c>
      <c r="AF1618" s="164">
        <f>IF(BetTable[Outcome]="Win",BetTable[WBA1-Commission],IF(BetTable[Outcome]="Win Half Stake",(BetTable[Stake]/2)+BetTable[WBA1-Commission]/2,IF(BetTable[Outcome]="Lose Half Stake",BetTable[Stake]/2,IF(BetTable[Outcome]="Lose",0,IF(BetTable[Outcome]="Void",BetTable[Stake],)))))</f>
        <v>0</v>
      </c>
      <c r="AG1618" s="164">
        <f>IF(BetTable[Outcome2]="Win",BetTable[WBA2-Commission],IF(BetTable[Outcome2]="Win Half Stake",(BetTable[S2]/2)+BetTable[WBA2-Commission]/2,IF(BetTable[Outcome2]="Lose Half Stake",BetTable[S2]/2,IF(BetTable[Outcome2]="Lose",0,IF(BetTable[Outcome2]="Void",BetTable[S2],)))))</f>
        <v>0</v>
      </c>
      <c r="AH1618" s="164">
        <f>IF(BetTable[Outcome3]="Win",BetTable[WBA3-Commission],IF(BetTable[Outcome3]="Win Half Stake",(BetTable[S3]/2)+BetTable[WBA3-Commission]/2,IF(BetTable[Outcome3]="Lose Half Stake",BetTable[S3]/2,IF(BetTable[Outcome3]="Lose",0,IF(BetTable[Outcome3]="Void",BetTable[S3],)))))</f>
        <v>0</v>
      </c>
      <c r="AI1618" s="168">
        <f>IF(BetTable[Outcome]="",AI1617,BetTable[Result]+AI1617)</f>
        <v>2055.4057499999981</v>
      </c>
      <c r="AJ1618" s="160"/>
    </row>
    <row r="1619" spans="1:36" x14ac:dyDescent="0.2">
      <c r="A1619" s="159"/>
      <c r="B1619" s="160"/>
      <c r="C1619" s="161"/>
      <c r="D1619" s="161"/>
      <c r="E1619" s="161"/>
      <c r="F1619" s="162"/>
      <c r="G1619" s="162"/>
      <c r="H1619" s="162"/>
      <c r="I1619" s="160"/>
      <c r="J1619" s="163"/>
      <c r="K1619" s="163"/>
      <c r="L1619" s="163"/>
      <c r="M1619" s="164"/>
      <c r="N1619" s="164"/>
      <c r="O1619" s="164"/>
      <c r="P1619" s="159"/>
      <c r="Q1619" s="159"/>
      <c r="R1619" s="159"/>
      <c r="S1619" s="165"/>
      <c r="T1619" s="166"/>
      <c r="U1619" s="166"/>
      <c r="V1619" s="166"/>
      <c r="W1619" s="167" t="str">
        <f>IF(BetTable[Sport]="","",BetTable[Stake]+BetTable[S2]+BetTable[S3])</f>
        <v/>
      </c>
      <c r="X1619" s="164" t="str">
        <f>IF(BetTable[Odds]="","",(BetTable[WBA1-Commission])-BetTable[TS])</f>
        <v/>
      </c>
      <c r="Y1619" s="168" t="str">
        <f>IF(BetTable[Outcome]="","",BetTable[WBA1]+BetTable[WBA2]+BetTable[WBA3]-BetTable[TS])</f>
        <v/>
      </c>
      <c r="Z1619" s="164">
        <f>(((BetTable[Odds]-1)*BetTable[Stake])*(1-(BetTable[Comm %]))+BetTable[Stake])</f>
        <v>0</v>
      </c>
      <c r="AA1619" s="164">
        <f>(((BetTable[O2]-1)*BetTable[S2])*(1-(BetTable[C% 2]))+BetTable[S2])</f>
        <v>0</v>
      </c>
      <c r="AB1619" s="164">
        <f>(((BetTable[O3]-1)*BetTable[S3])*(1-(BetTable[C% 3]))+BetTable[S3])</f>
        <v>0</v>
      </c>
      <c r="AC1619" s="165" t="str">
        <f>IFERROR(IF(BetTable[Sport]="","",BetTable[R1]/BetTable[TS]),"")</f>
        <v/>
      </c>
      <c r="AD1619" s="165" t="str">
        <f>IF(BetTable[O2]="","",#REF!/BetTable[TS])</f>
        <v/>
      </c>
      <c r="AE1619" s="165" t="str">
        <f>IFERROR(IF(BetTable[Sport]="","",#REF!/BetTable[TS]),"")</f>
        <v/>
      </c>
      <c r="AF1619" s="164">
        <f>IF(BetTable[Outcome]="Win",BetTable[WBA1-Commission],IF(BetTable[Outcome]="Win Half Stake",(BetTable[Stake]/2)+BetTable[WBA1-Commission]/2,IF(BetTable[Outcome]="Lose Half Stake",BetTable[Stake]/2,IF(BetTable[Outcome]="Lose",0,IF(BetTable[Outcome]="Void",BetTable[Stake],)))))</f>
        <v>0</v>
      </c>
      <c r="AG1619" s="164">
        <f>IF(BetTable[Outcome2]="Win",BetTable[WBA2-Commission],IF(BetTable[Outcome2]="Win Half Stake",(BetTable[S2]/2)+BetTable[WBA2-Commission]/2,IF(BetTable[Outcome2]="Lose Half Stake",BetTable[S2]/2,IF(BetTable[Outcome2]="Lose",0,IF(BetTable[Outcome2]="Void",BetTable[S2],)))))</f>
        <v>0</v>
      </c>
      <c r="AH1619" s="164">
        <f>IF(BetTable[Outcome3]="Win",BetTable[WBA3-Commission],IF(BetTable[Outcome3]="Win Half Stake",(BetTable[S3]/2)+BetTable[WBA3-Commission]/2,IF(BetTable[Outcome3]="Lose Half Stake",BetTable[S3]/2,IF(BetTable[Outcome3]="Lose",0,IF(BetTable[Outcome3]="Void",BetTable[S3],)))))</f>
        <v>0</v>
      </c>
      <c r="AI1619" s="168">
        <f>IF(BetTable[Outcome]="",AI1618,BetTable[Result]+AI1618)</f>
        <v>2055.4057499999981</v>
      </c>
      <c r="AJ1619" s="160"/>
    </row>
    <row r="1620" spans="1:36" x14ac:dyDescent="0.2">
      <c r="A1620" s="159"/>
      <c r="B1620" s="160"/>
      <c r="C1620" s="161"/>
      <c r="D1620" s="161"/>
      <c r="E1620" s="161"/>
      <c r="F1620" s="162"/>
      <c r="G1620" s="162"/>
      <c r="H1620" s="162"/>
      <c r="I1620" s="160"/>
      <c r="J1620" s="163"/>
      <c r="K1620" s="163"/>
      <c r="L1620" s="163"/>
      <c r="M1620" s="164"/>
      <c r="N1620" s="164"/>
      <c r="O1620" s="164"/>
      <c r="P1620" s="159"/>
      <c r="Q1620" s="159"/>
      <c r="R1620" s="159"/>
      <c r="S1620" s="165"/>
      <c r="T1620" s="166"/>
      <c r="U1620" s="166"/>
      <c r="V1620" s="166"/>
      <c r="W1620" s="167" t="str">
        <f>IF(BetTable[Sport]="","",BetTable[Stake]+BetTable[S2]+BetTable[S3])</f>
        <v/>
      </c>
      <c r="X1620" s="164" t="str">
        <f>IF(BetTable[Odds]="","",(BetTable[WBA1-Commission])-BetTable[TS])</f>
        <v/>
      </c>
      <c r="Y1620" s="168" t="str">
        <f>IF(BetTable[Outcome]="","",BetTable[WBA1]+BetTable[WBA2]+BetTable[WBA3]-BetTable[TS])</f>
        <v/>
      </c>
      <c r="Z1620" s="164">
        <f>(((BetTable[Odds]-1)*BetTable[Stake])*(1-(BetTable[Comm %]))+BetTable[Stake])</f>
        <v>0</v>
      </c>
      <c r="AA1620" s="164">
        <f>(((BetTable[O2]-1)*BetTable[S2])*(1-(BetTable[C% 2]))+BetTable[S2])</f>
        <v>0</v>
      </c>
      <c r="AB1620" s="164">
        <f>(((BetTable[O3]-1)*BetTable[S3])*(1-(BetTable[C% 3]))+BetTable[S3])</f>
        <v>0</v>
      </c>
      <c r="AC1620" s="165" t="str">
        <f>IFERROR(IF(BetTable[Sport]="","",BetTable[R1]/BetTable[TS]),"")</f>
        <v/>
      </c>
      <c r="AD1620" s="165" t="str">
        <f>IF(BetTable[O2]="","",#REF!/BetTable[TS])</f>
        <v/>
      </c>
      <c r="AE1620" s="165" t="str">
        <f>IFERROR(IF(BetTable[Sport]="","",#REF!/BetTable[TS]),"")</f>
        <v/>
      </c>
      <c r="AF1620" s="164">
        <f>IF(BetTable[Outcome]="Win",BetTable[WBA1-Commission],IF(BetTable[Outcome]="Win Half Stake",(BetTable[Stake]/2)+BetTable[WBA1-Commission]/2,IF(BetTable[Outcome]="Lose Half Stake",BetTable[Stake]/2,IF(BetTable[Outcome]="Lose",0,IF(BetTable[Outcome]="Void",BetTable[Stake],)))))</f>
        <v>0</v>
      </c>
      <c r="AG1620" s="164">
        <f>IF(BetTable[Outcome2]="Win",BetTable[WBA2-Commission],IF(BetTable[Outcome2]="Win Half Stake",(BetTable[S2]/2)+BetTable[WBA2-Commission]/2,IF(BetTable[Outcome2]="Lose Half Stake",BetTable[S2]/2,IF(BetTable[Outcome2]="Lose",0,IF(BetTable[Outcome2]="Void",BetTable[S2],)))))</f>
        <v>0</v>
      </c>
      <c r="AH1620" s="164">
        <f>IF(BetTable[Outcome3]="Win",BetTable[WBA3-Commission],IF(BetTable[Outcome3]="Win Half Stake",(BetTable[S3]/2)+BetTable[WBA3-Commission]/2,IF(BetTable[Outcome3]="Lose Half Stake",BetTable[S3]/2,IF(BetTable[Outcome3]="Lose",0,IF(BetTable[Outcome3]="Void",BetTable[S3],)))))</f>
        <v>0</v>
      </c>
      <c r="AI1620" s="168">
        <f>IF(BetTable[Outcome]="",AI1619,BetTable[Result]+AI1619)</f>
        <v>2055.4057499999981</v>
      </c>
      <c r="AJ1620" s="160"/>
    </row>
    <row r="1621" spans="1:36" x14ac:dyDescent="0.2">
      <c r="A1621" s="159"/>
      <c r="B1621" s="160"/>
      <c r="C1621" s="161"/>
      <c r="D1621" s="161"/>
      <c r="E1621" s="161"/>
      <c r="F1621" s="162"/>
      <c r="G1621" s="162"/>
      <c r="H1621" s="162"/>
      <c r="I1621" s="160"/>
      <c r="J1621" s="163"/>
      <c r="K1621" s="163"/>
      <c r="L1621" s="163"/>
      <c r="M1621" s="164"/>
      <c r="N1621" s="164"/>
      <c r="O1621" s="164"/>
      <c r="P1621" s="159"/>
      <c r="Q1621" s="159"/>
      <c r="R1621" s="159"/>
      <c r="S1621" s="165"/>
      <c r="T1621" s="166"/>
      <c r="U1621" s="166"/>
      <c r="V1621" s="166"/>
      <c r="W1621" s="167" t="str">
        <f>IF(BetTable[Sport]="","",BetTable[Stake]+BetTable[S2]+BetTable[S3])</f>
        <v/>
      </c>
      <c r="X1621" s="164" t="str">
        <f>IF(BetTable[Odds]="","",(BetTable[WBA1-Commission])-BetTable[TS])</f>
        <v/>
      </c>
      <c r="Y1621" s="168" t="str">
        <f>IF(BetTable[Outcome]="","",BetTable[WBA1]+BetTable[WBA2]+BetTable[WBA3]-BetTable[TS])</f>
        <v/>
      </c>
      <c r="Z1621" s="164">
        <f>(((BetTable[Odds]-1)*BetTable[Stake])*(1-(BetTable[Comm %]))+BetTable[Stake])</f>
        <v>0</v>
      </c>
      <c r="AA1621" s="164">
        <f>(((BetTable[O2]-1)*BetTable[S2])*(1-(BetTable[C% 2]))+BetTable[S2])</f>
        <v>0</v>
      </c>
      <c r="AB1621" s="164">
        <f>(((BetTable[O3]-1)*BetTable[S3])*(1-(BetTable[C% 3]))+BetTable[S3])</f>
        <v>0</v>
      </c>
      <c r="AC1621" s="165" t="str">
        <f>IFERROR(IF(BetTable[Sport]="","",BetTable[R1]/BetTable[TS]),"")</f>
        <v/>
      </c>
      <c r="AD1621" s="165" t="str">
        <f>IF(BetTable[O2]="","",#REF!/BetTable[TS])</f>
        <v/>
      </c>
      <c r="AE1621" s="165" t="str">
        <f>IFERROR(IF(BetTable[Sport]="","",#REF!/BetTable[TS]),"")</f>
        <v/>
      </c>
      <c r="AF1621" s="164">
        <f>IF(BetTable[Outcome]="Win",BetTable[WBA1-Commission],IF(BetTable[Outcome]="Win Half Stake",(BetTable[Stake]/2)+BetTable[WBA1-Commission]/2,IF(BetTable[Outcome]="Lose Half Stake",BetTable[Stake]/2,IF(BetTable[Outcome]="Lose",0,IF(BetTable[Outcome]="Void",BetTable[Stake],)))))</f>
        <v>0</v>
      </c>
      <c r="AG1621" s="164">
        <f>IF(BetTable[Outcome2]="Win",BetTable[WBA2-Commission],IF(BetTable[Outcome2]="Win Half Stake",(BetTable[S2]/2)+BetTable[WBA2-Commission]/2,IF(BetTable[Outcome2]="Lose Half Stake",BetTable[S2]/2,IF(BetTable[Outcome2]="Lose",0,IF(BetTable[Outcome2]="Void",BetTable[S2],)))))</f>
        <v>0</v>
      </c>
      <c r="AH1621" s="164">
        <f>IF(BetTable[Outcome3]="Win",BetTable[WBA3-Commission],IF(BetTable[Outcome3]="Win Half Stake",(BetTable[S3]/2)+BetTable[WBA3-Commission]/2,IF(BetTable[Outcome3]="Lose Half Stake",BetTable[S3]/2,IF(BetTable[Outcome3]="Lose",0,IF(BetTable[Outcome3]="Void",BetTable[S3],)))))</f>
        <v>0</v>
      </c>
      <c r="AI1621" s="168">
        <f>IF(BetTable[Outcome]="",AI1620,BetTable[Result]+AI1620)</f>
        <v>2055.4057499999981</v>
      </c>
      <c r="AJ1621" s="160"/>
    </row>
    <row r="1622" spans="1:36" x14ac:dyDescent="0.2">
      <c r="A1622" s="159"/>
      <c r="B1622" s="160"/>
      <c r="C1622" s="161"/>
      <c r="D1622" s="161"/>
      <c r="E1622" s="161"/>
      <c r="F1622" s="162"/>
      <c r="G1622" s="162"/>
      <c r="H1622" s="162"/>
      <c r="I1622" s="160"/>
      <c r="J1622" s="163"/>
      <c r="K1622" s="163"/>
      <c r="L1622" s="163"/>
      <c r="M1622" s="164"/>
      <c r="N1622" s="164"/>
      <c r="O1622" s="164"/>
      <c r="P1622" s="159"/>
      <c r="Q1622" s="159"/>
      <c r="R1622" s="159"/>
      <c r="S1622" s="165"/>
      <c r="T1622" s="166"/>
      <c r="U1622" s="166"/>
      <c r="V1622" s="166"/>
      <c r="W1622" s="167" t="str">
        <f>IF(BetTable[Sport]="","",BetTable[Stake]+BetTable[S2]+BetTable[S3])</f>
        <v/>
      </c>
      <c r="X1622" s="164" t="str">
        <f>IF(BetTable[Odds]="","",(BetTable[WBA1-Commission])-BetTable[TS])</f>
        <v/>
      </c>
      <c r="Y1622" s="168" t="str">
        <f>IF(BetTable[Outcome]="","",BetTable[WBA1]+BetTable[WBA2]+BetTable[WBA3]-BetTable[TS])</f>
        <v/>
      </c>
      <c r="Z1622" s="164">
        <f>(((BetTable[Odds]-1)*BetTable[Stake])*(1-(BetTable[Comm %]))+BetTable[Stake])</f>
        <v>0</v>
      </c>
      <c r="AA1622" s="164">
        <f>(((BetTable[O2]-1)*BetTable[S2])*(1-(BetTable[C% 2]))+BetTable[S2])</f>
        <v>0</v>
      </c>
      <c r="AB1622" s="164">
        <f>(((BetTable[O3]-1)*BetTable[S3])*(1-(BetTable[C% 3]))+BetTable[S3])</f>
        <v>0</v>
      </c>
      <c r="AC1622" s="165" t="str">
        <f>IFERROR(IF(BetTable[Sport]="","",BetTable[R1]/BetTable[TS]),"")</f>
        <v/>
      </c>
      <c r="AD1622" s="165" t="str">
        <f>IF(BetTable[O2]="","",#REF!/BetTable[TS])</f>
        <v/>
      </c>
      <c r="AE1622" s="165" t="str">
        <f>IFERROR(IF(BetTable[Sport]="","",#REF!/BetTable[TS]),"")</f>
        <v/>
      </c>
      <c r="AF1622" s="164">
        <f>IF(BetTable[Outcome]="Win",BetTable[WBA1-Commission],IF(BetTable[Outcome]="Win Half Stake",(BetTable[Stake]/2)+BetTable[WBA1-Commission]/2,IF(BetTable[Outcome]="Lose Half Stake",BetTable[Stake]/2,IF(BetTable[Outcome]="Lose",0,IF(BetTable[Outcome]="Void",BetTable[Stake],)))))</f>
        <v>0</v>
      </c>
      <c r="AG1622" s="164">
        <f>IF(BetTable[Outcome2]="Win",BetTable[WBA2-Commission],IF(BetTable[Outcome2]="Win Half Stake",(BetTable[S2]/2)+BetTable[WBA2-Commission]/2,IF(BetTable[Outcome2]="Lose Half Stake",BetTable[S2]/2,IF(BetTable[Outcome2]="Lose",0,IF(BetTable[Outcome2]="Void",BetTable[S2],)))))</f>
        <v>0</v>
      </c>
      <c r="AH1622" s="164">
        <f>IF(BetTable[Outcome3]="Win",BetTable[WBA3-Commission],IF(BetTable[Outcome3]="Win Half Stake",(BetTable[S3]/2)+BetTable[WBA3-Commission]/2,IF(BetTable[Outcome3]="Lose Half Stake",BetTable[S3]/2,IF(BetTable[Outcome3]="Lose",0,IF(BetTable[Outcome3]="Void",BetTable[S3],)))))</f>
        <v>0</v>
      </c>
      <c r="AI1622" s="168">
        <f>IF(BetTable[Outcome]="",AI1621,BetTable[Result]+AI1621)</f>
        <v>2055.4057499999981</v>
      </c>
      <c r="AJ1622" s="160"/>
    </row>
    <row r="1623" spans="1:36" x14ac:dyDescent="0.2">
      <c r="A1623" s="159"/>
      <c r="B1623" s="160"/>
      <c r="C1623" s="161"/>
      <c r="D1623" s="161"/>
      <c r="E1623" s="161"/>
      <c r="F1623" s="162"/>
      <c r="G1623" s="162"/>
      <c r="H1623" s="162"/>
      <c r="I1623" s="160"/>
      <c r="J1623" s="163"/>
      <c r="K1623" s="163"/>
      <c r="L1623" s="163"/>
      <c r="M1623" s="164"/>
      <c r="N1623" s="164"/>
      <c r="O1623" s="164"/>
      <c r="P1623" s="159"/>
      <c r="Q1623" s="159"/>
      <c r="R1623" s="159"/>
      <c r="S1623" s="165"/>
      <c r="T1623" s="166"/>
      <c r="U1623" s="166"/>
      <c r="V1623" s="166"/>
      <c r="W1623" s="167" t="str">
        <f>IF(BetTable[Sport]="","",BetTable[Stake]+BetTable[S2]+BetTable[S3])</f>
        <v/>
      </c>
      <c r="X1623" s="164" t="str">
        <f>IF(BetTable[Odds]="","",(BetTable[WBA1-Commission])-BetTable[TS])</f>
        <v/>
      </c>
      <c r="Y1623" s="168" t="str">
        <f>IF(BetTable[Outcome]="","",BetTable[WBA1]+BetTable[WBA2]+BetTable[WBA3]-BetTable[TS])</f>
        <v/>
      </c>
      <c r="Z1623" s="164">
        <f>(((BetTable[Odds]-1)*BetTable[Stake])*(1-(BetTable[Comm %]))+BetTable[Stake])</f>
        <v>0</v>
      </c>
      <c r="AA1623" s="164">
        <f>(((BetTable[O2]-1)*BetTable[S2])*(1-(BetTable[C% 2]))+BetTable[S2])</f>
        <v>0</v>
      </c>
      <c r="AB1623" s="164">
        <f>(((BetTable[O3]-1)*BetTable[S3])*(1-(BetTable[C% 3]))+BetTable[S3])</f>
        <v>0</v>
      </c>
      <c r="AC1623" s="165" t="str">
        <f>IFERROR(IF(BetTable[Sport]="","",BetTable[R1]/BetTable[TS]),"")</f>
        <v/>
      </c>
      <c r="AD1623" s="165" t="str">
        <f>IF(BetTable[O2]="","",#REF!/BetTable[TS])</f>
        <v/>
      </c>
      <c r="AE1623" s="165" t="str">
        <f>IFERROR(IF(BetTable[Sport]="","",#REF!/BetTable[TS]),"")</f>
        <v/>
      </c>
      <c r="AF1623" s="164">
        <f>IF(BetTable[Outcome]="Win",BetTable[WBA1-Commission],IF(BetTable[Outcome]="Win Half Stake",(BetTable[Stake]/2)+BetTable[WBA1-Commission]/2,IF(BetTable[Outcome]="Lose Half Stake",BetTable[Stake]/2,IF(BetTable[Outcome]="Lose",0,IF(BetTable[Outcome]="Void",BetTable[Stake],)))))</f>
        <v>0</v>
      </c>
      <c r="AG1623" s="164">
        <f>IF(BetTable[Outcome2]="Win",BetTable[WBA2-Commission],IF(BetTable[Outcome2]="Win Half Stake",(BetTable[S2]/2)+BetTable[WBA2-Commission]/2,IF(BetTable[Outcome2]="Lose Half Stake",BetTable[S2]/2,IF(BetTable[Outcome2]="Lose",0,IF(BetTable[Outcome2]="Void",BetTable[S2],)))))</f>
        <v>0</v>
      </c>
      <c r="AH1623" s="164">
        <f>IF(BetTable[Outcome3]="Win",BetTable[WBA3-Commission],IF(BetTable[Outcome3]="Win Half Stake",(BetTable[S3]/2)+BetTable[WBA3-Commission]/2,IF(BetTable[Outcome3]="Lose Half Stake",BetTable[S3]/2,IF(BetTable[Outcome3]="Lose",0,IF(BetTable[Outcome3]="Void",BetTable[S3],)))))</f>
        <v>0</v>
      </c>
      <c r="AI1623" s="168">
        <f>IF(BetTable[Outcome]="",AI1622,BetTable[Result]+AI1622)</f>
        <v>2055.4057499999981</v>
      </c>
      <c r="AJ1623" s="160"/>
    </row>
    <row r="1624" spans="1:36" x14ac:dyDescent="0.2">
      <c r="A1624" s="159"/>
      <c r="B1624" s="160"/>
      <c r="C1624" s="161"/>
      <c r="D1624" s="161"/>
      <c r="E1624" s="161"/>
      <c r="F1624" s="162"/>
      <c r="G1624" s="162"/>
      <c r="H1624" s="162"/>
      <c r="I1624" s="160"/>
      <c r="J1624" s="163"/>
      <c r="K1624" s="163"/>
      <c r="L1624" s="163"/>
      <c r="M1624" s="164"/>
      <c r="N1624" s="164"/>
      <c r="O1624" s="164"/>
      <c r="P1624" s="159"/>
      <c r="Q1624" s="159"/>
      <c r="R1624" s="159"/>
      <c r="S1624" s="165"/>
      <c r="T1624" s="166"/>
      <c r="U1624" s="166"/>
      <c r="V1624" s="166"/>
      <c r="W1624" s="167" t="str">
        <f>IF(BetTable[Sport]="","",BetTable[Stake]+BetTable[S2]+BetTable[S3])</f>
        <v/>
      </c>
      <c r="X1624" s="164" t="str">
        <f>IF(BetTable[Odds]="","",(BetTable[WBA1-Commission])-BetTable[TS])</f>
        <v/>
      </c>
      <c r="Y1624" s="168" t="str">
        <f>IF(BetTable[Outcome]="","",BetTable[WBA1]+BetTable[WBA2]+BetTable[WBA3]-BetTable[TS])</f>
        <v/>
      </c>
      <c r="Z1624" s="164">
        <f>(((BetTable[Odds]-1)*BetTable[Stake])*(1-(BetTable[Comm %]))+BetTable[Stake])</f>
        <v>0</v>
      </c>
      <c r="AA1624" s="164">
        <f>(((BetTable[O2]-1)*BetTable[S2])*(1-(BetTable[C% 2]))+BetTable[S2])</f>
        <v>0</v>
      </c>
      <c r="AB1624" s="164">
        <f>(((BetTable[O3]-1)*BetTable[S3])*(1-(BetTable[C% 3]))+BetTable[S3])</f>
        <v>0</v>
      </c>
      <c r="AC1624" s="165" t="str">
        <f>IFERROR(IF(BetTable[Sport]="","",BetTable[R1]/BetTable[TS]),"")</f>
        <v/>
      </c>
      <c r="AD1624" s="165" t="str">
        <f>IF(BetTable[O2]="","",#REF!/BetTable[TS])</f>
        <v/>
      </c>
      <c r="AE1624" s="165" t="str">
        <f>IFERROR(IF(BetTable[Sport]="","",#REF!/BetTable[TS]),"")</f>
        <v/>
      </c>
      <c r="AF1624" s="164">
        <f>IF(BetTable[Outcome]="Win",BetTable[WBA1-Commission],IF(BetTable[Outcome]="Win Half Stake",(BetTable[Stake]/2)+BetTable[WBA1-Commission]/2,IF(BetTable[Outcome]="Lose Half Stake",BetTable[Stake]/2,IF(BetTable[Outcome]="Lose",0,IF(BetTable[Outcome]="Void",BetTable[Stake],)))))</f>
        <v>0</v>
      </c>
      <c r="AG1624" s="164">
        <f>IF(BetTable[Outcome2]="Win",BetTable[WBA2-Commission],IF(BetTable[Outcome2]="Win Half Stake",(BetTable[S2]/2)+BetTable[WBA2-Commission]/2,IF(BetTable[Outcome2]="Lose Half Stake",BetTable[S2]/2,IF(BetTable[Outcome2]="Lose",0,IF(BetTable[Outcome2]="Void",BetTable[S2],)))))</f>
        <v>0</v>
      </c>
      <c r="AH1624" s="164">
        <f>IF(BetTable[Outcome3]="Win",BetTable[WBA3-Commission],IF(BetTable[Outcome3]="Win Half Stake",(BetTable[S3]/2)+BetTable[WBA3-Commission]/2,IF(BetTable[Outcome3]="Lose Half Stake",BetTable[S3]/2,IF(BetTable[Outcome3]="Lose",0,IF(BetTable[Outcome3]="Void",BetTable[S3],)))))</f>
        <v>0</v>
      </c>
      <c r="AI1624" s="168">
        <f>IF(BetTable[Outcome]="",AI1623,BetTable[Result]+AI1623)</f>
        <v>2055.4057499999981</v>
      </c>
      <c r="AJ1624" s="160"/>
    </row>
    <row r="1625" spans="1:36" x14ac:dyDescent="0.2">
      <c r="A1625" s="159"/>
      <c r="B1625" s="160"/>
      <c r="C1625" s="161"/>
      <c r="D1625" s="161"/>
      <c r="E1625" s="161"/>
      <c r="F1625" s="162"/>
      <c r="G1625" s="162"/>
      <c r="H1625" s="162"/>
      <c r="I1625" s="160"/>
      <c r="J1625" s="163"/>
      <c r="K1625" s="163"/>
      <c r="L1625" s="163"/>
      <c r="M1625" s="164"/>
      <c r="N1625" s="164"/>
      <c r="O1625" s="164"/>
      <c r="P1625" s="159"/>
      <c r="Q1625" s="159"/>
      <c r="R1625" s="159"/>
      <c r="S1625" s="165"/>
      <c r="T1625" s="166"/>
      <c r="U1625" s="166"/>
      <c r="V1625" s="166"/>
      <c r="W1625" s="167" t="str">
        <f>IF(BetTable[Sport]="","",BetTable[Stake]+BetTable[S2]+BetTable[S3])</f>
        <v/>
      </c>
      <c r="X1625" s="164" t="str">
        <f>IF(BetTable[Odds]="","",(BetTable[WBA1-Commission])-BetTable[TS])</f>
        <v/>
      </c>
      <c r="Y1625" s="168" t="str">
        <f>IF(BetTable[Outcome]="","",BetTable[WBA1]+BetTable[WBA2]+BetTable[WBA3]-BetTable[TS])</f>
        <v/>
      </c>
      <c r="Z1625" s="164">
        <f>(((BetTable[Odds]-1)*BetTable[Stake])*(1-(BetTable[Comm %]))+BetTable[Stake])</f>
        <v>0</v>
      </c>
      <c r="AA1625" s="164">
        <f>(((BetTable[O2]-1)*BetTable[S2])*(1-(BetTable[C% 2]))+BetTable[S2])</f>
        <v>0</v>
      </c>
      <c r="AB1625" s="164">
        <f>(((BetTable[O3]-1)*BetTable[S3])*(1-(BetTable[C% 3]))+BetTable[S3])</f>
        <v>0</v>
      </c>
      <c r="AC1625" s="165" t="str">
        <f>IFERROR(IF(BetTable[Sport]="","",BetTable[R1]/BetTable[TS]),"")</f>
        <v/>
      </c>
      <c r="AD1625" s="165" t="str">
        <f>IF(BetTable[O2]="","",#REF!/BetTable[TS])</f>
        <v/>
      </c>
      <c r="AE1625" s="165" t="str">
        <f>IFERROR(IF(BetTable[Sport]="","",#REF!/BetTable[TS]),"")</f>
        <v/>
      </c>
      <c r="AF1625" s="164">
        <f>IF(BetTable[Outcome]="Win",BetTable[WBA1-Commission],IF(BetTable[Outcome]="Win Half Stake",(BetTable[Stake]/2)+BetTable[WBA1-Commission]/2,IF(BetTable[Outcome]="Lose Half Stake",BetTable[Stake]/2,IF(BetTable[Outcome]="Lose",0,IF(BetTable[Outcome]="Void",BetTable[Stake],)))))</f>
        <v>0</v>
      </c>
      <c r="AG1625" s="164">
        <f>IF(BetTable[Outcome2]="Win",BetTable[WBA2-Commission],IF(BetTable[Outcome2]="Win Half Stake",(BetTable[S2]/2)+BetTable[WBA2-Commission]/2,IF(BetTable[Outcome2]="Lose Half Stake",BetTable[S2]/2,IF(BetTable[Outcome2]="Lose",0,IF(BetTable[Outcome2]="Void",BetTable[S2],)))))</f>
        <v>0</v>
      </c>
      <c r="AH1625" s="164">
        <f>IF(BetTable[Outcome3]="Win",BetTable[WBA3-Commission],IF(BetTable[Outcome3]="Win Half Stake",(BetTable[S3]/2)+BetTable[WBA3-Commission]/2,IF(BetTable[Outcome3]="Lose Half Stake",BetTable[S3]/2,IF(BetTable[Outcome3]="Lose",0,IF(BetTable[Outcome3]="Void",BetTable[S3],)))))</f>
        <v>0</v>
      </c>
      <c r="AI1625" s="168">
        <f>IF(BetTable[Outcome]="",AI1624,BetTable[Result]+AI1624)</f>
        <v>2055.4057499999981</v>
      </c>
      <c r="AJ1625" s="160"/>
    </row>
    <row r="1626" spans="1:36" x14ac:dyDescent="0.2">
      <c r="A1626" s="159"/>
      <c r="B1626" s="160"/>
      <c r="C1626" s="161"/>
      <c r="D1626" s="161"/>
      <c r="E1626" s="161"/>
      <c r="F1626" s="162"/>
      <c r="G1626" s="162"/>
      <c r="H1626" s="162"/>
      <c r="I1626" s="160"/>
      <c r="J1626" s="163"/>
      <c r="K1626" s="163"/>
      <c r="L1626" s="163"/>
      <c r="M1626" s="164"/>
      <c r="N1626" s="164"/>
      <c r="O1626" s="164"/>
      <c r="P1626" s="159"/>
      <c r="Q1626" s="159"/>
      <c r="R1626" s="159"/>
      <c r="S1626" s="165"/>
      <c r="T1626" s="166"/>
      <c r="U1626" s="166"/>
      <c r="V1626" s="166"/>
      <c r="W1626" s="167" t="str">
        <f>IF(BetTable[Sport]="","",BetTable[Stake]+BetTable[S2]+BetTable[S3])</f>
        <v/>
      </c>
      <c r="X1626" s="164" t="str">
        <f>IF(BetTable[Odds]="","",(BetTable[WBA1-Commission])-BetTable[TS])</f>
        <v/>
      </c>
      <c r="Y1626" s="168" t="str">
        <f>IF(BetTable[Outcome]="","",BetTable[WBA1]+BetTable[WBA2]+BetTable[WBA3]-BetTable[TS])</f>
        <v/>
      </c>
      <c r="Z1626" s="164">
        <f>(((BetTable[Odds]-1)*BetTable[Stake])*(1-(BetTable[Comm %]))+BetTable[Stake])</f>
        <v>0</v>
      </c>
      <c r="AA1626" s="164">
        <f>(((BetTable[O2]-1)*BetTable[S2])*(1-(BetTable[C% 2]))+BetTable[S2])</f>
        <v>0</v>
      </c>
      <c r="AB1626" s="164">
        <f>(((BetTable[O3]-1)*BetTable[S3])*(1-(BetTable[C% 3]))+BetTable[S3])</f>
        <v>0</v>
      </c>
      <c r="AC1626" s="165" t="str">
        <f>IFERROR(IF(BetTable[Sport]="","",BetTable[R1]/BetTable[TS]),"")</f>
        <v/>
      </c>
      <c r="AD1626" s="165" t="str">
        <f>IF(BetTable[O2]="","",#REF!/BetTable[TS])</f>
        <v/>
      </c>
      <c r="AE1626" s="165" t="str">
        <f>IFERROR(IF(BetTable[Sport]="","",#REF!/BetTable[TS]),"")</f>
        <v/>
      </c>
      <c r="AF1626" s="164">
        <f>IF(BetTable[Outcome]="Win",BetTable[WBA1-Commission],IF(BetTable[Outcome]="Win Half Stake",(BetTable[Stake]/2)+BetTable[WBA1-Commission]/2,IF(BetTable[Outcome]="Lose Half Stake",BetTable[Stake]/2,IF(BetTable[Outcome]="Lose",0,IF(BetTable[Outcome]="Void",BetTable[Stake],)))))</f>
        <v>0</v>
      </c>
      <c r="AG1626" s="164">
        <f>IF(BetTable[Outcome2]="Win",BetTable[WBA2-Commission],IF(BetTable[Outcome2]="Win Half Stake",(BetTable[S2]/2)+BetTable[WBA2-Commission]/2,IF(BetTable[Outcome2]="Lose Half Stake",BetTable[S2]/2,IF(BetTable[Outcome2]="Lose",0,IF(BetTable[Outcome2]="Void",BetTable[S2],)))))</f>
        <v>0</v>
      </c>
      <c r="AH1626" s="164">
        <f>IF(BetTable[Outcome3]="Win",BetTable[WBA3-Commission],IF(BetTable[Outcome3]="Win Half Stake",(BetTable[S3]/2)+BetTable[WBA3-Commission]/2,IF(BetTable[Outcome3]="Lose Half Stake",BetTable[S3]/2,IF(BetTable[Outcome3]="Lose",0,IF(BetTable[Outcome3]="Void",BetTable[S3],)))))</f>
        <v>0</v>
      </c>
      <c r="AI1626" s="168">
        <f>IF(BetTable[Outcome]="",AI1625,BetTable[Result]+AI1625)</f>
        <v>2055.4057499999981</v>
      </c>
      <c r="AJ1626" s="160"/>
    </row>
    <row r="1627" spans="1:36" x14ac:dyDescent="0.2">
      <c r="A1627" s="159"/>
      <c r="B1627" s="160"/>
      <c r="C1627" s="161"/>
      <c r="D1627" s="161"/>
      <c r="E1627" s="161"/>
      <c r="F1627" s="162"/>
      <c r="G1627" s="162"/>
      <c r="H1627" s="162"/>
      <c r="I1627" s="160"/>
      <c r="J1627" s="163"/>
      <c r="K1627" s="163"/>
      <c r="L1627" s="163"/>
      <c r="M1627" s="164"/>
      <c r="N1627" s="164"/>
      <c r="O1627" s="164"/>
      <c r="P1627" s="159"/>
      <c r="Q1627" s="159"/>
      <c r="R1627" s="159"/>
      <c r="S1627" s="165"/>
      <c r="T1627" s="166"/>
      <c r="U1627" s="166"/>
      <c r="V1627" s="166"/>
      <c r="W1627" s="167" t="str">
        <f>IF(BetTable[Sport]="","",BetTable[Stake]+BetTable[S2]+BetTable[S3])</f>
        <v/>
      </c>
      <c r="X1627" s="164" t="str">
        <f>IF(BetTable[Odds]="","",(BetTable[WBA1-Commission])-BetTable[TS])</f>
        <v/>
      </c>
      <c r="Y1627" s="168" t="str">
        <f>IF(BetTable[Outcome]="","",BetTable[WBA1]+BetTable[WBA2]+BetTable[WBA3]-BetTable[TS])</f>
        <v/>
      </c>
      <c r="Z1627" s="164">
        <f>(((BetTable[Odds]-1)*BetTable[Stake])*(1-(BetTable[Comm %]))+BetTable[Stake])</f>
        <v>0</v>
      </c>
      <c r="AA1627" s="164">
        <f>(((BetTable[O2]-1)*BetTable[S2])*(1-(BetTable[C% 2]))+BetTable[S2])</f>
        <v>0</v>
      </c>
      <c r="AB1627" s="164">
        <f>(((BetTable[O3]-1)*BetTable[S3])*(1-(BetTable[C% 3]))+BetTable[S3])</f>
        <v>0</v>
      </c>
      <c r="AC1627" s="165" t="str">
        <f>IFERROR(IF(BetTable[Sport]="","",BetTable[R1]/BetTable[TS]),"")</f>
        <v/>
      </c>
      <c r="AD1627" s="165" t="str">
        <f>IF(BetTable[O2]="","",#REF!/BetTable[TS])</f>
        <v/>
      </c>
      <c r="AE1627" s="165" t="str">
        <f>IFERROR(IF(BetTable[Sport]="","",#REF!/BetTable[TS]),"")</f>
        <v/>
      </c>
      <c r="AF1627" s="164">
        <f>IF(BetTable[Outcome]="Win",BetTable[WBA1-Commission],IF(BetTable[Outcome]="Win Half Stake",(BetTable[Stake]/2)+BetTable[WBA1-Commission]/2,IF(BetTable[Outcome]="Lose Half Stake",BetTable[Stake]/2,IF(BetTable[Outcome]="Lose",0,IF(BetTable[Outcome]="Void",BetTable[Stake],)))))</f>
        <v>0</v>
      </c>
      <c r="AG1627" s="164">
        <f>IF(BetTable[Outcome2]="Win",BetTable[WBA2-Commission],IF(BetTable[Outcome2]="Win Half Stake",(BetTable[S2]/2)+BetTable[WBA2-Commission]/2,IF(BetTable[Outcome2]="Lose Half Stake",BetTable[S2]/2,IF(BetTable[Outcome2]="Lose",0,IF(BetTable[Outcome2]="Void",BetTable[S2],)))))</f>
        <v>0</v>
      </c>
      <c r="AH1627" s="164">
        <f>IF(BetTable[Outcome3]="Win",BetTable[WBA3-Commission],IF(BetTable[Outcome3]="Win Half Stake",(BetTable[S3]/2)+BetTable[WBA3-Commission]/2,IF(BetTable[Outcome3]="Lose Half Stake",BetTable[S3]/2,IF(BetTable[Outcome3]="Lose",0,IF(BetTable[Outcome3]="Void",BetTable[S3],)))))</f>
        <v>0</v>
      </c>
      <c r="AI1627" s="168">
        <f>IF(BetTable[Outcome]="",AI1626,BetTable[Result]+AI1626)</f>
        <v>2055.4057499999981</v>
      </c>
      <c r="AJ1627" s="160"/>
    </row>
    <row r="1628" spans="1:36" x14ac:dyDescent="0.2">
      <c r="A1628" s="159"/>
      <c r="B1628" s="160"/>
      <c r="C1628" s="161"/>
      <c r="D1628" s="161"/>
      <c r="E1628" s="161"/>
      <c r="F1628" s="162"/>
      <c r="G1628" s="162"/>
      <c r="H1628" s="162"/>
      <c r="I1628" s="160"/>
      <c r="J1628" s="163"/>
      <c r="K1628" s="163"/>
      <c r="L1628" s="163"/>
      <c r="M1628" s="164"/>
      <c r="N1628" s="164"/>
      <c r="O1628" s="164"/>
      <c r="P1628" s="159"/>
      <c r="Q1628" s="159"/>
      <c r="R1628" s="159"/>
      <c r="S1628" s="165"/>
      <c r="T1628" s="166"/>
      <c r="U1628" s="166"/>
      <c r="V1628" s="166"/>
      <c r="W1628" s="167" t="str">
        <f>IF(BetTable[Sport]="","",BetTable[Stake]+BetTable[S2]+BetTable[S3])</f>
        <v/>
      </c>
      <c r="X1628" s="164" t="str">
        <f>IF(BetTable[Odds]="","",(BetTable[WBA1-Commission])-BetTable[TS])</f>
        <v/>
      </c>
      <c r="Y1628" s="168" t="str">
        <f>IF(BetTable[Outcome]="","",BetTable[WBA1]+BetTable[WBA2]+BetTable[WBA3]-BetTable[TS])</f>
        <v/>
      </c>
      <c r="Z1628" s="164">
        <f>(((BetTable[Odds]-1)*BetTable[Stake])*(1-(BetTable[Comm %]))+BetTable[Stake])</f>
        <v>0</v>
      </c>
      <c r="AA1628" s="164">
        <f>(((BetTable[O2]-1)*BetTable[S2])*(1-(BetTable[C% 2]))+BetTable[S2])</f>
        <v>0</v>
      </c>
      <c r="AB1628" s="164">
        <f>(((BetTable[O3]-1)*BetTable[S3])*(1-(BetTable[C% 3]))+BetTable[S3])</f>
        <v>0</v>
      </c>
      <c r="AC1628" s="165" t="str">
        <f>IFERROR(IF(BetTable[Sport]="","",BetTable[R1]/BetTable[TS]),"")</f>
        <v/>
      </c>
      <c r="AD1628" s="165" t="str">
        <f>IF(BetTable[O2]="","",#REF!/BetTable[TS])</f>
        <v/>
      </c>
      <c r="AE1628" s="165" t="str">
        <f>IFERROR(IF(BetTable[Sport]="","",#REF!/BetTable[TS]),"")</f>
        <v/>
      </c>
      <c r="AF1628" s="164">
        <f>IF(BetTable[Outcome]="Win",BetTable[WBA1-Commission],IF(BetTable[Outcome]="Win Half Stake",(BetTable[Stake]/2)+BetTable[WBA1-Commission]/2,IF(BetTable[Outcome]="Lose Half Stake",BetTable[Stake]/2,IF(BetTable[Outcome]="Lose",0,IF(BetTable[Outcome]="Void",BetTable[Stake],)))))</f>
        <v>0</v>
      </c>
      <c r="AG1628" s="164">
        <f>IF(BetTable[Outcome2]="Win",BetTable[WBA2-Commission],IF(BetTable[Outcome2]="Win Half Stake",(BetTable[S2]/2)+BetTable[WBA2-Commission]/2,IF(BetTable[Outcome2]="Lose Half Stake",BetTable[S2]/2,IF(BetTable[Outcome2]="Lose",0,IF(BetTable[Outcome2]="Void",BetTable[S2],)))))</f>
        <v>0</v>
      </c>
      <c r="AH1628" s="164">
        <f>IF(BetTable[Outcome3]="Win",BetTable[WBA3-Commission],IF(BetTable[Outcome3]="Win Half Stake",(BetTable[S3]/2)+BetTable[WBA3-Commission]/2,IF(BetTable[Outcome3]="Lose Half Stake",BetTable[S3]/2,IF(BetTable[Outcome3]="Lose",0,IF(BetTable[Outcome3]="Void",BetTable[S3],)))))</f>
        <v>0</v>
      </c>
      <c r="AI1628" s="168">
        <f>IF(BetTable[Outcome]="",AI1627,BetTable[Result]+AI1627)</f>
        <v>2055.4057499999981</v>
      </c>
      <c r="AJ1628" s="160"/>
    </row>
    <row r="1629" spans="1:36" x14ac:dyDescent="0.2">
      <c r="A1629" s="159"/>
      <c r="B1629" s="160"/>
      <c r="C1629" s="161"/>
      <c r="D1629" s="161"/>
      <c r="E1629" s="161"/>
      <c r="F1629" s="162"/>
      <c r="G1629" s="162"/>
      <c r="H1629" s="162"/>
      <c r="I1629" s="160"/>
      <c r="J1629" s="163"/>
      <c r="K1629" s="163"/>
      <c r="L1629" s="163"/>
      <c r="M1629" s="164"/>
      <c r="N1629" s="164"/>
      <c r="O1629" s="164"/>
      <c r="P1629" s="159"/>
      <c r="Q1629" s="159"/>
      <c r="R1629" s="159"/>
      <c r="S1629" s="165"/>
      <c r="T1629" s="166"/>
      <c r="U1629" s="166"/>
      <c r="V1629" s="166"/>
      <c r="W1629" s="167" t="str">
        <f>IF(BetTable[Sport]="","",BetTable[Stake]+BetTable[S2]+BetTable[S3])</f>
        <v/>
      </c>
      <c r="X1629" s="164" t="str">
        <f>IF(BetTable[Odds]="","",(BetTable[WBA1-Commission])-BetTable[TS])</f>
        <v/>
      </c>
      <c r="Y1629" s="168" t="str">
        <f>IF(BetTable[Outcome]="","",BetTable[WBA1]+BetTable[WBA2]+BetTable[WBA3]-BetTable[TS])</f>
        <v/>
      </c>
      <c r="Z1629" s="164">
        <f>(((BetTable[Odds]-1)*BetTable[Stake])*(1-(BetTable[Comm %]))+BetTable[Stake])</f>
        <v>0</v>
      </c>
      <c r="AA1629" s="164">
        <f>(((BetTable[O2]-1)*BetTable[S2])*(1-(BetTable[C% 2]))+BetTable[S2])</f>
        <v>0</v>
      </c>
      <c r="AB1629" s="164">
        <f>(((BetTable[O3]-1)*BetTable[S3])*(1-(BetTable[C% 3]))+BetTable[S3])</f>
        <v>0</v>
      </c>
      <c r="AC1629" s="165" t="str">
        <f>IFERROR(IF(BetTable[Sport]="","",BetTable[R1]/BetTable[TS]),"")</f>
        <v/>
      </c>
      <c r="AD1629" s="165" t="str">
        <f>IF(BetTable[O2]="","",#REF!/BetTable[TS])</f>
        <v/>
      </c>
      <c r="AE1629" s="165" t="str">
        <f>IFERROR(IF(BetTable[Sport]="","",#REF!/BetTable[TS]),"")</f>
        <v/>
      </c>
      <c r="AF1629" s="164">
        <f>IF(BetTable[Outcome]="Win",BetTable[WBA1-Commission],IF(BetTable[Outcome]="Win Half Stake",(BetTable[Stake]/2)+BetTable[WBA1-Commission]/2,IF(BetTable[Outcome]="Lose Half Stake",BetTable[Stake]/2,IF(BetTable[Outcome]="Lose",0,IF(BetTable[Outcome]="Void",BetTable[Stake],)))))</f>
        <v>0</v>
      </c>
      <c r="AG1629" s="164">
        <f>IF(BetTable[Outcome2]="Win",BetTable[WBA2-Commission],IF(BetTable[Outcome2]="Win Half Stake",(BetTable[S2]/2)+BetTable[WBA2-Commission]/2,IF(BetTable[Outcome2]="Lose Half Stake",BetTable[S2]/2,IF(BetTable[Outcome2]="Lose",0,IF(BetTable[Outcome2]="Void",BetTable[S2],)))))</f>
        <v>0</v>
      </c>
      <c r="AH1629" s="164">
        <f>IF(BetTable[Outcome3]="Win",BetTable[WBA3-Commission],IF(BetTable[Outcome3]="Win Half Stake",(BetTable[S3]/2)+BetTable[WBA3-Commission]/2,IF(BetTable[Outcome3]="Lose Half Stake",BetTable[S3]/2,IF(BetTable[Outcome3]="Lose",0,IF(BetTable[Outcome3]="Void",BetTable[S3],)))))</f>
        <v>0</v>
      </c>
      <c r="AI1629" s="168">
        <f>IF(BetTable[Outcome]="",AI1628,BetTable[Result]+AI1628)</f>
        <v>2055.4057499999981</v>
      </c>
      <c r="AJ1629" s="160"/>
    </row>
    <row r="1630" spans="1:36" x14ac:dyDescent="0.2">
      <c r="A1630" s="159"/>
      <c r="B1630" s="160"/>
      <c r="C1630" s="161"/>
      <c r="D1630" s="161"/>
      <c r="E1630" s="161"/>
      <c r="F1630" s="162"/>
      <c r="G1630" s="162"/>
      <c r="H1630" s="162"/>
      <c r="I1630" s="160"/>
      <c r="J1630" s="163"/>
      <c r="K1630" s="163"/>
      <c r="L1630" s="163"/>
      <c r="M1630" s="164"/>
      <c r="N1630" s="164"/>
      <c r="O1630" s="164"/>
      <c r="P1630" s="159"/>
      <c r="Q1630" s="159"/>
      <c r="R1630" s="159"/>
      <c r="S1630" s="165"/>
      <c r="T1630" s="166"/>
      <c r="U1630" s="166"/>
      <c r="V1630" s="166"/>
      <c r="W1630" s="167" t="str">
        <f>IF(BetTable[Sport]="","",BetTable[Stake]+BetTable[S2]+BetTable[S3])</f>
        <v/>
      </c>
      <c r="X1630" s="164" t="str">
        <f>IF(BetTable[Odds]="","",(BetTable[WBA1-Commission])-BetTable[TS])</f>
        <v/>
      </c>
      <c r="Y1630" s="168" t="str">
        <f>IF(BetTable[Outcome]="","",BetTable[WBA1]+BetTable[WBA2]+BetTable[WBA3]-BetTable[TS])</f>
        <v/>
      </c>
      <c r="Z1630" s="164">
        <f>(((BetTable[Odds]-1)*BetTable[Stake])*(1-(BetTable[Comm %]))+BetTable[Stake])</f>
        <v>0</v>
      </c>
      <c r="AA1630" s="164">
        <f>(((BetTable[O2]-1)*BetTable[S2])*(1-(BetTable[C% 2]))+BetTable[S2])</f>
        <v>0</v>
      </c>
      <c r="AB1630" s="164">
        <f>(((BetTable[O3]-1)*BetTable[S3])*(1-(BetTable[C% 3]))+BetTable[S3])</f>
        <v>0</v>
      </c>
      <c r="AC1630" s="165" t="str">
        <f>IFERROR(IF(BetTable[Sport]="","",BetTable[R1]/BetTable[TS]),"")</f>
        <v/>
      </c>
      <c r="AD1630" s="165" t="str">
        <f>IF(BetTable[O2]="","",#REF!/BetTable[TS])</f>
        <v/>
      </c>
      <c r="AE1630" s="165" t="str">
        <f>IFERROR(IF(BetTable[Sport]="","",#REF!/BetTable[TS]),"")</f>
        <v/>
      </c>
      <c r="AF1630" s="164">
        <f>IF(BetTable[Outcome]="Win",BetTable[WBA1-Commission],IF(BetTable[Outcome]="Win Half Stake",(BetTable[Stake]/2)+BetTable[WBA1-Commission]/2,IF(BetTable[Outcome]="Lose Half Stake",BetTable[Stake]/2,IF(BetTable[Outcome]="Lose",0,IF(BetTable[Outcome]="Void",BetTable[Stake],)))))</f>
        <v>0</v>
      </c>
      <c r="AG1630" s="164">
        <f>IF(BetTable[Outcome2]="Win",BetTable[WBA2-Commission],IF(BetTable[Outcome2]="Win Half Stake",(BetTable[S2]/2)+BetTable[WBA2-Commission]/2,IF(BetTable[Outcome2]="Lose Half Stake",BetTable[S2]/2,IF(BetTable[Outcome2]="Lose",0,IF(BetTable[Outcome2]="Void",BetTable[S2],)))))</f>
        <v>0</v>
      </c>
      <c r="AH1630" s="164">
        <f>IF(BetTable[Outcome3]="Win",BetTable[WBA3-Commission],IF(BetTable[Outcome3]="Win Half Stake",(BetTable[S3]/2)+BetTable[WBA3-Commission]/2,IF(BetTable[Outcome3]="Lose Half Stake",BetTable[S3]/2,IF(BetTable[Outcome3]="Lose",0,IF(BetTable[Outcome3]="Void",BetTable[S3],)))))</f>
        <v>0</v>
      </c>
      <c r="AI1630" s="168">
        <f>IF(BetTable[Outcome]="",AI1629,BetTable[Result]+AI1629)</f>
        <v>2055.4057499999981</v>
      </c>
      <c r="AJ1630" s="160"/>
    </row>
    <row r="1631" spans="1:36" x14ac:dyDescent="0.2">
      <c r="A1631" s="159"/>
      <c r="B1631" s="160"/>
      <c r="C1631" s="161"/>
      <c r="D1631" s="161"/>
      <c r="E1631" s="161"/>
      <c r="F1631" s="162"/>
      <c r="G1631" s="162"/>
      <c r="H1631" s="162"/>
      <c r="I1631" s="160"/>
      <c r="J1631" s="163"/>
      <c r="K1631" s="163"/>
      <c r="L1631" s="163"/>
      <c r="M1631" s="164"/>
      <c r="N1631" s="164"/>
      <c r="O1631" s="164"/>
      <c r="P1631" s="159"/>
      <c r="Q1631" s="159"/>
      <c r="R1631" s="159"/>
      <c r="S1631" s="165"/>
      <c r="T1631" s="166"/>
      <c r="U1631" s="166"/>
      <c r="V1631" s="166"/>
      <c r="W1631" s="167" t="str">
        <f>IF(BetTable[Sport]="","",BetTable[Stake]+BetTable[S2]+BetTable[S3])</f>
        <v/>
      </c>
      <c r="X1631" s="164" t="str">
        <f>IF(BetTable[Odds]="","",(BetTable[WBA1-Commission])-BetTable[TS])</f>
        <v/>
      </c>
      <c r="Y1631" s="168" t="str">
        <f>IF(BetTable[Outcome]="","",BetTable[WBA1]+BetTable[WBA2]+BetTable[WBA3]-BetTable[TS])</f>
        <v/>
      </c>
      <c r="Z1631" s="164">
        <f>(((BetTable[Odds]-1)*BetTable[Stake])*(1-(BetTable[Comm %]))+BetTable[Stake])</f>
        <v>0</v>
      </c>
      <c r="AA1631" s="164">
        <f>(((BetTable[O2]-1)*BetTable[S2])*(1-(BetTable[C% 2]))+BetTable[S2])</f>
        <v>0</v>
      </c>
      <c r="AB1631" s="164">
        <f>(((BetTable[O3]-1)*BetTable[S3])*(1-(BetTable[C% 3]))+BetTable[S3])</f>
        <v>0</v>
      </c>
      <c r="AC1631" s="165" t="str">
        <f>IFERROR(IF(BetTable[Sport]="","",BetTable[R1]/BetTable[TS]),"")</f>
        <v/>
      </c>
      <c r="AD1631" s="165" t="str">
        <f>IF(BetTable[O2]="","",#REF!/BetTable[TS])</f>
        <v/>
      </c>
      <c r="AE1631" s="165" t="str">
        <f>IFERROR(IF(BetTable[Sport]="","",#REF!/BetTable[TS]),"")</f>
        <v/>
      </c>
      <c r="AF1631" s="164">
        <f>IF(BetTable[Outcome]="Win",BetTable[WBA1-Commission],IF(BetTable[Outcome]="Win Half Stake",(BetTable[Stake]/2)+BetTable[WBA1-Commission]/2,IF(BetTable[Outcome]="Lose Half Stake",BetTable[Stake]/2,IF(BetTable[Outcome]="Lose",0,IF(BetTable[Outcome]="Void",BetTable[Stake],)))))</f>
        <v>0</v>
      </c>
      <c r="AG1631" s="164">
        <f>IF(BetTable[Outcome2]="Win",BetTable[WBA2-Commission],IF(BetTable[Outcome2]="Win Half Stake",(BetTable[S2]/2)+BetTable[WBA2-Commission]/2,IF(BetTable[Outcome2]="Lose Half Stake",BetTable[S2]/2,IF(BetTable[Outcome2]="Lose",0,IF(BetTable[Outcome2]="Void",BetTable[S2],)))))</f>
        <v>0</v>
      </c>
      <c r="AH1631" s="164">
        <f>IF(BetTable[Outcome3]="Win",BetTable[WBA3-Commission],IF(BetTable[Outcome3]="Win Half Stake",(BetTable[S3]/2)+BetTable[WBA3-Commission]/2,IF(BetTable[Outcome3]="Lose Half Stake",BetTable[S3]/2,IF(BetTable[Outcome3]="Lose",0,IF(BetTable[Outcome3]="Void",BetTable[S3],)))))</f>
        <v>0</v>
      </c>
      <c r="AI1631" s="168">
        <f>IF(BetTable[Outcome]="",AI1630,BetTable[Result]+AI1630)</f>
        <v>2055.4057499999981</v>
      </c>
      <c r="AJ1631" s="160"/>
    </row>
    <row r="1632" spans="1:36" x14ac:dyDescent="0.2">
      <c r="A1632" s="159"/>
      <c r="B1632" s="160"/>
      <c r="C1632" s="161"/>
      <c r="D1632" s="161"/>
      <c r="E1632" s="161"/>
      <c r="F1632" s="162"/>
      <c r="G1632" s="162"/>
      <c r="H1632" s="162"/>
      <c r="I1632" s="160"/>
      <c r="J1632" s="163"/>
      <c r="K1632" s="163"/>
      <c r="L1632" s="163"/>
      <c r="M1632" s="164"/>
      <c r="N1632" s="164"/>
      <c r="O1632" s="164"/>
      <c r="P1632" s="159"/>
      <c r="Q1632" s="159"/>
      <c r="R1632" s="159"/>
      <c r="S1632" s="165"/>
      <c r="T1632" s="166"/>
      <c r="U1632" s="166"/>
      <c r="V1632" s="166"/>
      <c r="W1632" s="167" t="str">
        <f>IF(BetTable[Sport]="","",BetTable[Stake]+BetTable[S2]+BetTable[S3])</f>
        <v/>
      </c>
      <c r="X1632" s="164" t="str">
        <f>IF(BetTable[Odds]="","",(BetTable[WBA1-Commission])-BetTable[TS])</f>
        <v/>
      </c>
      <c r="Y1632" s="168" t="str">
        <f>IF(BetTable[Outcome]="","",BetTable[WBA1]+BetTable[WBA2]+BetTable[WBA3]-BetTable[TS])</f>
        <v/>
      </c>
      <c r="Z1632" s="164">
        <f>(((BetTable[Odds]-1)*BetTable[Stake])*(1-(BetTable[Comm %]))+BetTable[Stake])</f>
        <v>0</v>
      </c>
      <c r="AA1632" s="164">
        <f>(((BetTable[O2]-1)*BetTable[S2])*(1-(BetTable[C% 2]))+BetTable[S2])</f>
        <v>0</v>
      </c>
      <c r="AB1632" s="164">
        <f>(((BetTable[O3]-1)*BetTable[S3])*(1-(BetTable[C% 3]))+BetTable[S3])</f>
        <v>0</v>
      </c>
      <c r="AC1632" s="165" t="str">
        <f>IFERROR(IF(BetTable[Sport]="","",BetTable[R1]/BetTable[TS]),"")</f>
        <v/>
      </c>
      <c r="AD1632" s="165" t="str">
        <f>IF(BetTable[O2]="","",#REF!/BetTable[TS])</f>
        <v/>
      </c>
      <c r="AE1632" s="165" t="str">
        <f>IFERROR(IF(BetTable[Sport]="","",#REF!/BetTable[TS]),"")</f>
        <v/>
      </c>
      <c r="AF1632" s="164">
        <f>IF(BetTable[Outcome]="Win",BetTable[WBA1-Commission],IF(BetTable[Outcome]="Win Half Stake",(BetTable[Stake]/2)+BetTable[WBA1-Commission]/2,IF(BetTable[Outcome]="Lose Half Stake",BetTable[Stake]/2,IF(BetTable[Outcome]="Lose",0,IF(BetTable[Outcome]="Void",BetTable[Stake],)))))</f>
        <v>0</v>
      </c>
      <c r="AG1632" s="164">
        <f>IF(BetTable[Outcome2]="Win",BetTable[WBA2-Commission],IF(BetTable[Outcome2]="Win Half Stake",(BetTable[S2]/2)+BetTable[WBA2-Commission]/2,IF(BetTable[Outcome2]="Lose Half Stake",BetTable[S2]/2,IF(BetTable[Outcome2]="Lose",0,IF(BetTable[Outcome2]="Void",BetTable[S2],)))))</f>
        <v>0</v>
      </c>
      <c r="AH1632" s="164">
        <f>IF(BetTable[Outcome3]="Win",BetTable[WBA3-Commission],IF(BetTable[Outcome3]="Win Half Stake",(BetTable[S3]/2)+BetTable[WBA3-Commission]/2,IF(BetTable[Outcome3]="Lose Half Stake",BetTable[S3]/2,IF(BetTable[Outcome3]="Lose",0,IF(BetTable[Outcome3]="Void",BetTable[S3],)))))</f>
        <v>0</v>
      </c>
      <c r="AI1632" s="168">
        <f>IF(BetTable[Outcome]="",AI1631,BetTable[Result]+AI1631)</f>
        <v>2055.4057499999981</v>
      </c>
      <c r="AJ1632" s="160"/>
    </row>
    <row r="1633" spans="1:36" x14ac:dyDescent="0.2">
      <c r="A1633" s="159"/>
      <c r="B1633" s="160"/>
      <c r="C1633" s="161"/>
      <c r="D1633" s="161"/>
      <c r="E1633" s="161"/>
      <c r="F1633" s="162"/>
      <c r="G1633" s="162"/>
      <c r="H1633" s="162"/>
      <c r="I1633" s="160"/>
      <c r="J1633" s="163"/>
      <c r="K1633" s="163"/>
      <c r="L1633" s="163"/>
      <c r="M1633" s="164"/>
      <c r="N1633" s="164"/>
      <c r="O1633" s="164"/>
      <c r="P1633" s="159"/>
      <c r="Q1633" s="159"/>
      <c r="R1633" s="159"/>
      <c r="S1633" s="165"/>
      <c r="T1633" s="166"/>
      <c r="U1633" s="166"/>
      <c r="V1633" s="166"/>
      <c r="W1633" s="167" t="str">
        <f>IF(BetTable[Sport]="","",BetTable[Stake]+BetTable[S2]+BetTable[S3])</f>
        <v/>
      </c>
      <c r="X1633" s="164" t="str">
        <f>IF(BetTable[Odds]="","",(BetTable[WBA1-Commission])-BetTable[TS])</f>
        <v/>
      </c>
      <c r="Y1633" s="168" t="str">
        <f>IF(BetTable[Outcome]="","",BetTable[WBA1]+BetTable[WBA2]+BetTable[WBA3]-BetTable[TS])</f>
        <v/>
      </c>
      <c r="Z1633" s="164">
        <f>(((BetTable[Odds]-1)*BetTable[Stake])*(1-(BetTable[Comm %]))+BetTable[Stake])</f>
        <v>0</v>
      </c>
      <c r="AA1633" s="164">
        <f>(((BetTable[O2]-1)*BetTable[S2])*(1-(BetTable[C% 2]))+BetTable[S2])</f>
        <v>0</v>
      </c>
      <c r="AB1633" s="164">
        <f>(((BetTable[O3]-1)*BetTable[S3])*(1-(BetTable[C% 3]))+BetTable[S3])</f>
        <v>0</v>
      </c>
      <c r="AC1633" s="165" t="str">
        <f>IFERROR(IF(BetTable[Sport]="","",BetTable[R1]/BetTable[TS]),"")</f>
        <v/>
      </c>
      <c r="AD1633" s="165" t="str">
        <f>IF(BetTable[O2]="","",#REF!/BetTable[TS])</f>
        <v/>
      </c>
      <c r="AE1633" s="165" t="str">
        <f>IFERROR(IF(BetTable[Sport]="","",#REF!/BetTable[TS]),"")</f>
        <v/>
      </c>
      <c r="AF1633" s="164">
        <f>IF(BetTable[Outcome]="Win",BetTable[WBA1-Commission],IF(BetTable[Outcome]="Win Half Stake",(BetTable[Stake]/2)+BetTable[WBA1-Commission]/2,IF(BetTable[Outcome]="Lose Half Stake",BetTable[Stake]/2,IF(BetTable[Outcome]="Lose",0,IF(BetTable[Outcome]="Void",BetTable[Stake],)))))</f>
        <v>0</v>
      </c>
      <c r="AG1633" s="164">
        <f>IF(BetTable[Outcome2]="Win",BetTable[WBA2-Commission],IF(BetTable[Outcome2]="Win Half Stake",(BetTable[S2]/2)+BetTable[WBA2-Commission]/2,IF(BetTable[Outcome2]="Lose Half Stake",BetTable[S2]/2,IF(BetTable[Outcome2]="Lose",0,IF(BetTable[Outcome2]="Void",BetTable[S2],)))))</f>
        <v>0</v>
      </c>
      <c r="AH1633" s="164">
        <f>IF(BetTable[Outcome3]="Win",BetTable[WBA3-Commission],IF(BetTable[Outcome3]="Win Half Stake",(BetTable[S3]/2)+BetTable[WBA3-Commission]/2,IF(BetTable[Outcome3]="Lose Half Stake",BetTable[S3]/2,IF(BetTable[Outcome3]="Lose",0,IF(BetTable[Outcome3]="Void",BetTable[S3],)))))</f>
        <v>0</v>
      </c>
      <c r="AI1633" s="168">
        <f>IF(BetTable[Outcome]="",AI1632,BetTable[Result]+AI1632)</f>
        <v>2055.4057499999981</v>
      </c>
      <c r="AJ1633" s="160"/>
    </row>
    <row r="1634" spans="1:36" x14ac:dyDescent="0.2">
      <c r="A1634" s="159"/>
      <c r="B1634" s="160"/>
      <c r="C1634" s="161"/>
      <c r="D1634" s="161"/>
      <c r="E1634" s="161"/>
      <c r="F1634" s="162"/>
      <c r="G1634" s="162"/>
      <c r="H1634" s="162"/>
      <c r="I1634" s="160"/>
      <c r="J1634" s="163"/>
      <c r="K1634" s="163"/>
      <c r="L1634" s="163"/>
      <c r="M1634" s="164"/>
      <c r="N1634" s="164"/>
      <c r="O1634" s="164"/>
      <c r="P1634" s="159"/>
      <c r="Q1634" s="159"/>
      <c r="R1634" s="159"/>
      <c r="S1634" s="165"/>
      <c r="T1634" s="166"/>
      <c r="U1634" s="166"/>
      <c r="V1634" s="166"/>
      <c r="W1634" s="167" t="str">
        <f>IF(BetTable[Sport]="","",BetTable[Stake]+BetTable[S2]+BetTable[S3])</f>
        <v/>
      </c>
      <c r="X1634" s="164" t="str">
        <f>IF(BetTable[Odds]="","",(BetTable[WBA1-Commission])-BetTable[TS])</f>
        <v/>
      </c>
      <c r="Y1634" s="168" t="str">
        <f>IF(BetTable[Outcome]="","",BetTable[WBA1]+BetTable[WBA2]+BetTable[WBA3]-BetTable[TS])</f>
        <v/>
      </c>
      <c r="Z1634" s="164">
        <f>(((BetTable[Odds]-1)*BetTable[Stake])*(1-(BetTable[Comm %]))+BetTable[Stake])</f>
        <v>0</v>
      </c>
      <c r="AA1634" s="164">
        <f>(((BetTable[O2]-1)*BetTable[S2])*(1-(BetTable[C% 2]))+BetTable[S2])</f>
        <v>0</v>
      </c>
      <c r="AB1634" s="164">
        <f>(((BetTable[O3]-1)*BetTable[S3])*(1-(BetTable[C% 3]))+BetTable[S3])</f>
        <v>0</v>
      </c>
      <c r="AC1634" s="165" t="str">
        <f>IFERROR(IF(BetTable[Sport]="","",BetTable[R1]/BetTable[TS]),"")</f>
        <v/>
      </c>
      <c r="AD1634" s="165" t="str">
        <f>IF(BetTable[O2]="","",#REF!/BetTable[TS])</f>
        <v/>
      </c>
      <c r="AE1634" s="165" t="str">
        <f>IFERROR(IF(BetTable[Sport]="","",#REF!/BetTable[TS]),"")</f>
        <v/>
      </c>
      <c r="AF1634" s="164">
        <f>IF(BetTable[Outcome]="Win",BetTable[WBA1-Commission],IF(BetTable[Outcome]="Win Half Stake",(BetTable[Stake]/2)+BetTable[WBA1-Commission]/2,IF(BetTable[Outcome]="Lose Half Stake",BetTable[Stake]/2,IF(BetTable[Outcome]="Lose",0,IF(BetTable[Outcome]="Void",BetTable[Stake],)))))</f>
        <v>0</v>
      </c>
      <c r="AG1634" s="164">
        <f>IF(BetTable[Outcome2]="Win",BetTable[WBA2-Commission],IF(BetTable[Outcome2]="Win Half Stake",(BetTable[S2]/2)+BetTable[WBA2-Commission]/2,IF(BetTable[Outcome2]="Lose Half Stake",BetTable[S2]/2,IF(BetTable[Outcome2]="Lose",0,IF(BetTable[Outcome2]="Void",BetTable[S2],)))))</f>
        <v>0</v>
      </c>
      <c r="AH1634" s="164">
        <f>IF(BetTable[Outcome3]="Win",BetTable[WBA3-Commission],IF(BetTable[Outcome3]="Win Half Stake",(BetTable[S3]/2)+BetTable[WBA3-Commission]/2,IF(BetTable[Outcome3]="Lose Half Stake",BetTable[S3]/2,IF(BetTable[Outcome3]="Lose",0,IF(BetTable[Outcome3]="Void",BetTable[S3],)))))</f>
        <v>0</v>
      </c>
      <c r="AI1634" s="168">
        <f>IF(BetTable[Outcome]="",AI1633,BetTable[Result]+AI1633)</f>
        <v>2055.4057499999981</v>
      </c>
      <c r="AJ1634" s="160"/>
    </row>
    <row r="1635" spans="1:36" x14ac:dyDescent="0.2">
      <c r="A1635" s="159"/>
      <c r="B1635" s="160"/>
      <c r="C1635" s="161"/>
      <c r="D1635" s="161"/>
      <c r="E1635" s="161"/>
      <c r="F1635" s="162"/>
      <c r="G1635" s="162"/>
      <c r="H1635" s="162"/>
      <c r="I1635" s="160"/>
      <c r="J1635" s="163"/>
      <c r="K1635" s="163"/>
      <c r="L1635" s="163"/>
      <c r="M1635" s="164"/>
      <c r="N1635" s="164"/>
      <c r="O1635" s="164"/>
      <c r="P1635" s="159"/>
      <c r="Q1635" s="159"/>
      <c r="R1635" s="159"/>
      <c r="S1635" s="165"/>
      <c r="T1635" s="166"/>
      <c r="U1635" s="166"/>
      <c r="V1635" s="166"/>
      <c r="W1635" s="167" t="str">
        <f>IF(BetTable[Sport]="","",BetTable[Stake]+BetTable[S2]+BetTable[S3])</f>
        <v/>
      </c>
      <c r="X1635" s="164" t="str">
        <f>IF(BetTable[Odds]="","",(BetTable[WBA1-Commission])-BetTable[TS])</f>
        <v/>
      </c>
      <c r="Y1635" s="168" t="str">
        <f>IF(BetTable[Outcome]="","",BetTable[WBA1]+BetTable[WBA2]+BetTable[WBA3]-BetTable[TS])</f>
        <v/>
      </c>
      <c r="Z1635" s="164">
        <f>(((BetTable[Odds]-1)*BetTable[Stake])*(1-(BetTable[Comm %]))+BetTable[Stake])</f>
        <v>0</v>
      </c>
      <c r="AA1635" s="164">
        <f>(((BetTable[O2]-1)*BetTable[S2])*(1-(BetTable[C% 2]))+BetTable[S2])</f>
        <v>0</v>
      </c>
      <c r="AB1635" s="164">
        <f>(((BetTable[O3]-1)*BetTable[S3])*(1-(BetTable[C% 3]))+BetTable[S3])</f>
        <v>0</v>
      </c>
      <c r="AC1635" s="165" t="str">
        <f>IFERROR(IF(BetTable[Sport]="","",BetTable[R1]/BetTable[TS]),"")</f>
        <v/>
      </c>
      <c r="AD1635" s="165" t="str">
        <f>IF(BetTable[O2]="","",#REF!/BetTable[TS])</f>
        <v/>
      </c>
      <c r="AE1635" s="165" t="str">
        <f>IFERROR(IF(BetTable[Sport]="","",#REF!/BetTable[TS]),"")</f>
        <v/>
      </c>
      <c r="AF1635" s="164">
        <f>IF(BetTable[Outcome]="Win",BetTable[WBA1-Commission],IF(BetTable[Outcome]="Win Half Stake",(BetTable[Stake]/2)+BetTable[WBA1-Commission]/2,IF(BetTable[Outcome]="Lose Half Stake",BetTable[Stake]/2,IF(BetTable[Outcome]="Lose",0,IF(BetTable[Outcome]="Void",BetTable[Stake],)))))</f>
        <v>0</v>
      </c>
      <c r="AG1635" s="164">
        <f>IF(BetTable[Outcome2]="Win",BetTable[WBA2-Commission],IF(BetTable[Outcome2]="Win Half Stake",(BetTable[S2]/2)+BetTable[WBA2-Commission]/2,IF(BetTable[Outcome2]="Lose Half Stake",BetTable[S2]/2,IF(BetTable[Outcome2]="Lose",0,IF(BetTable[Outcome2]="Void",BetTable[S2],)))))</f>
        <v>0</v>
      </c>
      <c r="AH1635" s="164">
        <f>IF(BetTable[Outcome3]="Win",BetTable[WBA3-Commission],IF(BetTable[Outcome3]="Win Half Stake",(BetTable[S3]/2)+BetTable[WBA3-Commission]/2,IF(BetTable[Outcome3]="Lose Half Stake",BetTable[S3]/2,IF(BetTable[Outcome3]="Lose",0,IF(BetTable[Outcome3]="Void",BetTable[S3],)))))</f>
        <v>0</v>
      </c>
      <c r="AI1635" s="168">
        <f>IF(BetTable[Outcome]="",AI1634,BetTable[Result]+AI1634)</f>
        <v>2055.4057499999981</v>
      </c>
      <c r="AJ1635" s="160"/>
    </row>
    <row r="1636" spans="1:36" x14ac:dyDescent="0.2">
      <c r="A1636" s="159"/>
      <c r="B1636" s="160"/>
      <c r="C1636" s="161"/>
      <c r="D1636" s="161"/>
      <c r="E1636" s="161"/>
      <c r="F1636" s="162"/>
      <c r="G1636" s="162"/>
      <c r="H1636" s="162"/>
      <c r="I1636" s="160"/>
      <c r="J1636" s="163"/>
      <c r="K1636" s="163"/>
      <c r="L1636" s="163"/>
      <c r="M1636" s="164"/>
      <c r="N1636" s="164"/>
      <c r="O1636" s="164"/>
      <c r="P1636" s="159"/>
      <c r="Q1636" s="159"/>
      <c r="R1636" s="159"/>
      <c r="S1636" s="165"/>
      <c r="T1636" s="166"/>
      <c r="U1636" s="166"/>
      <c r="V1636" s="166"/>
      <c r="W1636" s="167" t="str">
        <f>IF(BetTable[Sport]="","",BetTable[Stake]+BetTable[S2]+BetTable[S3])</f>
        <v/>
      </c>
      <c r="X1636" s="164" t="str">
        <f>IF(BetTable[Odds]="","",(BetTable[WBA1-Commission])-BetTable[TS])</f>
        <v/>
      </c>
      <c r="Y1636" s="168" t="str">
        <f>IF(BetTable[Outcome]="","",BetTable[WBA1]+BetTable[WBA2]+BetTable[WBA3]-BetTable[TS])</f>
        <v/>
      </c>
      <c r="Z1636" s="164">
        <f>(((BetTable[Odds]-1)*BetTable[Stake])*(1-(BetTable[Comm %]))+BetTable[Stake])</f>
        <v>0</v>
      </c>
      <c r="AA1636" s="164">
        <f>(((BetTable[O2]-1)*BetTable[S2])*(1-(BetTable[C% 2]))+BetTable[S2])</f>
        <v>0</v>
      </c>
      <c r="AB1636" s="164">
        <f>(((BetTable[O3]-1)*BetTable[S3])*(1-(BetTable[C% 3]))+BetTable[S3])</f>
        <v>0</v>
      </c>
      <c r="AC1636" s="165" t="str">
        <f>IFERROR(IF(BetTable[Sport]="","",BetTable[R1]/BetTable[TS]),"")</f>
        <v/>
      </c>
      <c r="AD1636" s="165" t="str">
        <f>IF(BetTable[O2]="","",#REF!/BetTable[TS])</f>
        <v/>
      </c>
      <c r="AE1636" s="165" t="str">
        <f>IFERROR(IF(BetTable[Sport]="","",#REF!/BetTable[TS]),"")</f>
        <v/>
      </c>
      <c r="AF1636" s="164">
        <f>IF(BetTable[Outcome]="Win",BetTable[WBA1-Commission],IF(BetTable[Outcome]="Win Half Stake",(BetTable[Stake]/2)+BetTable[WBA1-Commission]/2,IF(BetTable[Outcome]="Lose Half Stake",BetTable[Stake]/2,IF(BetTable[Outcome]="Lose",0,IF(BetTable[Outcome]="Void",BetTable[Stake],)))))</f>
        <v>0</v>
      </c>
      <c r="AG1636" s="164">
        <f>IF(BetTable[Outcome2]="Win",BetTable[WBA2-Commission],IF(BetTable[Outcome2]="Win Half Stake",(BetTable[S2]/2)+BetTable[WBA2-Commission]/2,IF(BetTable[Outcome2]="Lose Half Stake",BetTable[S2]/2,IF(BetTable[Outcome2]="Lose",0,IF(BetTable[Outcome2]="Void",BetTable[S2],)))))</f>
        <v>0</v>
      </c>
      <c r="AH1636" s="164">
        <f>IF(BetTable[Outcome3]="Win",BetTable[WBA3-Commission],IF(BetTable[Outcome3]="Win Half Stake",(BetTable[S3]/2)+BetTable[WBA3-Commission]/2,IF(BetTable[Outcome3]="Lose Half Stake",BetTable[S3]/2,IF(BetTable[Outcome3]="Lose",0,IF(BetTable[Outcome3]="Void",BetTable[S3],)))))</f>
        <v>0</v>
      </c>
      <c r="AI1636" s="168">
        <f>IF(BetTable[Outcome]="",AI1635,BetTable[Result]+AI1635)</f>
        <v>2055.4057499999981</v>
      </c>
      <c r="AJ1636" s="160"/>
    </row>
    <row r="1637" spans="1:36" x14ac:dyDescent="0.2">
      <c r="A1637" s="159"/>
      <c r="B1637" s="160"/>
      <c r="C1637" s="161"/>
      <c r="D1637" s="161"/>
      <c r="E1637" s="161"/>
      <c r="F1637" s="162"/>
      <c r="G1637" s="162"/>
      <c r="H1637" s="162"/>
      <c r="I1637" s="160"/>
      <c r="J1637" s="163"/>
      <c r="K1637" s="163"/>
      <c r="L1637" s="163"/>
      <c r="M1637" s="164"/>
      <c r="N1637" s="164"/>
      <c r="O1637" s="164"/>
      <c r="P1637" s="159"/>
      <c r="Q1637" s="159"/>
      <c r="R1637" s="159"/>
      <c r="S1637" s="165"/>
      <c r="T1637" s="166"/>
      <c r="U1637" s="166"/>
      <c r="V1637" s="166"/>
      <c r="W1637" s="167" t="str">
        <f>IF(BetTable[Sport]="","",BetTable[Stake]+BetTable[S2]+BetTable[S3])</f>
        <v/>
      </c>
      <c r="X1637" s="164" t="str">
        <f>IF(BetTable[Odds]="","",(BetTable[WBA1-Commission])-BetTable[TS])</f>
        <v/>
      </c>
      <c r="Y1637" s="168" t="str">
        <f>IF(BetTable[Outcome]="","",BetTable[WBA1]+BetTable[WBA2]+BetTable[WBA3]-BetTable[TS])</f>
        <v/>
      </c>
      <c r="Z1637" s="164">
        <f>(((BetTable[Odds]-1)*BetTable[Stake])*(1-(BetTable[Comm %]))+BetTable[Stake])</f>
        <v>0</v>
      </c>
      <c r="AA1637" s="164">
        <f>(((BetTable[O2]-1)*BetTable[S2])*(1-(BetTable[C% 2]))+BetTable[S2])</f>
        <v>0</v>
      </c>
      <c r="AB1637" s="164">
        <f>(((BetTable[O3]-1)*BetTable[S3])*(1-(BetTable[C% 3]))+BetTable[S3])</f>
        <v>0</v>
      </c>
      <c r="AC1637" s="165" t="str">
        <f>IFERROR(IF(BetTable[Sport]="","",BetTable[R1]/BetTable[TS]),"")</f>
        <v/>
      </c>
      <c r="AD1637" s="165" t="str">
        <f>IF(BetTable[O2]="","",#REF!/BetTable[TS])</f>
        <v/>
      </c>
      <c r="AE1637" s="165" t="str">
        <f>IFERROR(IF(BetTable[Sport]="","",#REF!/BetTable[TS]),"")</f>
        <v/>
      </c>
      <c r="AF1637" s="164">
        <f>IF(BetTable[Outcome]="Win",BetTable[WBA1-Commission],IF(BetTable[Outcome]="Win Half Stake",(BetTable[Stake]/2)+BetTable[WBA1-Commission]/2,IF(BetTable[Outcome]="Lose Half Stake",BetTable[Stake]/2,IF(BetTable[Outcome]="Lose",0,IF(BetTable[Outcome]="Void",BetTable[Stake],)))))</f>
        <v>0</v>
      </c>
      <c r="AG1637" s="164">
        <f>IF(BetTable[Outcome2]="Win",BetTable[WBA2-Commission],IF(BetTable[Outcome2]="Win Half Stake",(BetTable[S2]/2)+BetTable[WBA2-Commission]/2,IF(BetTable[Outcome2]="Lose Half Stake",BetTable[S2]/2,IF(BetTable[Outcome2]="Lose",0,IF(BetTable[Outcome2]="Void",BetTable[S2],)))))</f>
        <v>0</v>
      </c>
      <c r="AH1637" s="164">
        <f>IF(BetTable[Outcome3]="Win",BetTable[WBA3-Commission],IF(BetTable[Outcome3]="Win Half Stake",(BetTable[S3]/2)+BetTable[WBA3-Commission]/2,IF(BetTable[Outcome3]="Lose Half Stake",BetTable[S3]/2,IF(BetTable[Outcome3]="Lose",0,IF(BetTable[Outcome3]="Void",BetTable[S3],)))))</f>
        <v>0</v>
      </c>
      <c r="AI1637" s="168">
        <f>IF(BetTable[Outcome]="",AI1636,BetTable[Result]+AI1636)</f>
        <v>2055.4057499999981</v>
      </c>
      <c r="AJ1637" s="160"/>
    </row>
    <row r="1638" spans="1:36" x14ac:dyDescent="0.2">
      <c r="A1638" s="159"/>
      <c r="B1638" s="160"/>
      <c r="C1638" s="161"/>
      <c r="D1638" s="161"/>
      <c r="E1638" s="161"/>
      <c r="F1638" s="162"/>
      <c r="G1638" s="162"/>
      <c r="H1638" s="162"/>
      <c r="I1638" s="160"/>
      <c r="J1638" s="163"/>
      <c r="K1638" s="163"/>
      <c r="L1638" s="163"/>
      <c r="M1638" s="164"/>
      <c r="N1638" s="164"/>
      <c r="O1638" s="164"/>
      <c r="P1638" s="159"/>
      <c r="Q1638" s="159"/>
      <c r="R1638" s="159"/>
      <c r="S1638" s="165"/>
      <c r="T1638" s="166"/>
      <c r="U1638" s="166"/>
      <c r="V1638" s="166"/>
      <c r="W1638" s="167" t="str">
        <f>IF(BetTable[Sport]="","",BetTable[Stake]+BetTable[S2]+BetTable[S3])</f>
        <v/>
      </c>
      <c r="X1638" s="164" t="str">
        <f>IF(BetTable[Odds]="","",(BetTable[WBA1-Commission])-BetTable[TS])</f>
        <v/>
      </c>
      <c r="Y1638" s="168" t="str">
        <f>IF(BetTable[Outcome]="","",BetTable[WBA1]+BetTable[WBA2]+BetTable[WBA3]-BetTable[TS])</f>
        <v/>
      </c>
      <c r="Z1638" s="164">
        <f>(((BetTable[Odds]-1)*BetTable[Stake])*(1-(BetTable[Comm %]))+BetTable[Stake])</f>
        <v>0</v>
      </c>
      <c r="AA1638" s="164">
        <f>(((BetTable[O2]-1)*BetTable[S2])*(1-(BetTable[C% 2]))+BetTable[S2])</f>
        <v>0</v>
      </c>
      <c r="AB1638" s="164">
        <f>(((BetTable[O3]-1)*BetTable[S3])*(1-(BetTable[C% 3]))+BetTable[S3])</f>
        <v>0</v>
      </c>
      <c r="AC1638" s="165" t="str">
        <f>IFERROR(IF(BetTable[Sport]="","",BetTable[R1]/BetTable[TS]),"")</f>
        <v/>
      </c>
      <c r="AD1638" s="165" t="str">
        <f>IF(BetTable[O2]="","",#REF!/BetTable[TS])</f>
        <v/>
      </c>
      <c r="AE1638" s="165" t="str">
        <f>IFERROR(IF(BetTable[Sport]="","",#REF!/BetTable[TS]),"")</f>
        <v/>
      </c>
      <c r="AF1638" s="164">
        <f>IF(BetTable[Outcome]="Win",BetTable[WBA1-Commission],IF(BetTable[Outcome]="Win Half Stake",(BetTable[Stake]/2)+BetTable[WBA1-Commission]/2,IF(BetTable[Outcome]="Lose Half Stake",BetTable[Stake]/2,IF(BetTable[Outcome]="Lose",0,IF(BetTable[Outcome]="Void",BetTable[Stake],)))))</f>
        <v>0</v>
      </c>
      <c r="AG1638" s="164">
        <f>IF(BetTable[Outcome2]="Win",BetTable[WBA2-Commission],IF(BetTable[Outcome2]="Win Half Stake",(BetTable[S2]/2)+BetTable[WBA2-Commission]/2,IF(BetTable[Outcome2]="Lose Half Stake",BetTable[S2]/2,IF(BetTable[Outcome2]="Lose",0,IF(BetTable[Outcome2]="Void",BetTable[S2],)))))</f>
        <v>0</v>
      </c>
      <c r="AH1638" s="164">
        <f>IF(BetTable[Outcome3]="Win",BetTable[WBA3-Commission],IF(BetTable[Outcome3]="Win Half Stake",(BetTable[S3]/2)+BetTable[WBA3-Commission]/2,IF(BetTable[Outcome3]="Lose Half Stake",BetTable[S3]/2,IF(BetTable[Outcome3]="Lose",0,IF(BetTable[Outcome3]="Void",BetTable[S3],)))))</f>
        <v>0</v>
      </c>
      <c r="AI1638" s="168">
        <f>IF(BetTable[Outcome]="",AI1637,BetTable[Result]+AI1637)</f>
        <v>2055.4057499999981</v>
      </c>
      <c r="AJ1638" s="160"/>
    </row>
    <row r="1639" spans="1:36" x14ac:dyDescent="0.2">
      <c r="A1639" s="159"/>
      <c r="B1639" s="160"/>
      <c r="C1639" s="161"/>
      <c r="D1639" s="161"/>
      <c r="E1639" s="161"/>
      <c r="F1639" s="162"/>
      <c r="G1639" s="162"/>
      <c r="H1639" s="162"/>
      <c r="I1639" s="160"/>
      <c r="J1639" s="163"/>
      <c r="K1639" s="163"/>
      <c r="L1639" s="163"/>
      <c r="M1639" s="164"/>
      <c r="N1639" s="164"/>
      <c r="O1639" s="164"/>
      <c r="P1639" s="159"/>
      <c r="Q1639" s="159"/>
      <c r="R1639" s="159"/>
      <c r="S1639" s="165"/>
      <c r="T1639" s="166"/>
      <c r="U1639" s="166"/>
      <c r="V1639" s="166"/>
      <c r="W1639" s="167" t="str">
        <f>IF(BetTable[Sport]="","",BetTable[Stake]+BetTable[S2]+BetTable[S3])</f>
        <v/>
      </c>
      <c r="X1639" s="164" t="str">
        <f>IF(BetTable[Odds]="","",(BetTable[WBA1-Commission])-BetTable[TS])</f>
        <v/>
      </c>
      <c r="Y1639" s="168" t="str">
        <f>IF(BetTable[Outcome]="","",BetTable[WBA1]+BetTable[WBA2]+BetTable[WBA3]-BetTable[TS])</f>
        <v/>
      </c>
      <c r="Z1639" s="164">
        <f>(((BetTable[Odds]-1)*BetTable[Stake])*(1-(BetTable[Comm %]))+BetTable[Stake])</f>
        <v>0</v>
      </c>
      <c r="AA1639" s="164">
        <f>(((BetTable[O2]-1)*BetTable[S2])*(1-(BetTable[C% 2]))+BetTable[S2])</f>
        <v>0</v>
      </c>
      <c r="AB1639" s="164">
        <f>(((BetTable[O3]-1)*BetTable[S3])*(1-(BetTable[C% 3]))+BetTable[S3])</f>
        <v>0</v>
      </c>
      <c r="AC1639" s="165" t="str">
        <f>IFERROR(IF(BetTable[Sport]="","",BetTable[R1]/BetTable[TS]),"")</f>
        <v/>
      </c>
      <c r="AD1639" s="165" t="str">
        <f>IF(BetTable[O2]="","",#REF!/BetTable[TS])</f>
        <v/>
      </c>
      <c r="AE1639" s="165" t="str">
        <f>IFERROR(IF(BetTable[Sport]="","",#REF!/BetTable[TS]),"")</f>
        <v/>
      </c>
      <c r="AF1639" s="164">
        <f>IF(BetTable[Outcome]="Win",BetTable[WBA1-Commission],IF(BetTable[Outcome]="Win Half Stake",(BetTable[Stake]/2)+BetTable[WBA1-Commission]/2,IF(BetTable[Outcome]="Lose Half Stake",BetTable[Stake]/2,IF(BetTable[Outcome]="Lose",0,IF(BetTable[Outcome]="Void",BetTable[Stake],)))))</f>
        <v>0</v>
      </c>
      <c r="AG1639" s="164">
        <f>IF(BetTable[Outcome2]="Win",BetTable[WBA2-Commission],IF(BetTable[Outcome2]="Win Half Stake",(BetTable[S2]/2)+BetTable[WBA2-Commission]/2,IF(BetTable[Outcome2]="Lose Half Stake",BetTable[S2]/2,IF(BetTable[Outcome2]="Lose",0,IF(BetTable[Outcome2]="Void",BetTable[S2],)))))</f>
        <v>0</v>
      </c>
      <c r="AH1639" s="164">
        <f>IF(BetTable[Outcome3]="Win",BetTable[WBA3-Commission],IF(BetTable[Outcome3]="Win Half Stake",(BetTable[S3]/2)+BetTable[WBA3-Commission]/2,IF(BetTable[Outcome3]="Lose Half Stake",BetTable[S3]/2,IF(BetTable[Outcome3]="Lose",0,IF(BetTable[Outcome3]="Void",BetTable[S3],)))))</f>
        <v>0</v>
      </c>
      <c r="AI1639" s="168">
        <f>IF(BetTable[Outcome]="",AI1638,BetTable[Result]+AI1638)</f>
        <v>2055.4057499999981</v>
      </c>
      <c r="AJ1639" s="160"/>
    </row>
    <row r="1640" spans="1:36" x14ac:dyDescent="0.2">
      <c r="A1640" s="159"/>
      <c r="B1640" s="160"/>
      <c r="C1640" s="161"/>
      <c r="D1640" s="161"/>
      <c r="E1640" s="161"/>
      <c r="F1640" s="162"/>
      <c r="G1640" s="162"/>
      <c r="H1640" s="162"/>
      <c r="I1640" s="160"/>
      <c r="J1640" s="163"/>
      <c r="K1640" s="163"/>
      <c r="L1640" s="163"/>
      <c r="M1640" s="164"/>
      <c r="N1640" s="164"/>
      <c r="O1640" s="164"/>
      <c r="P1640" s="159"/>
      <c r="Q1640" s="159"/>
      <c r="R1640" s="159"/>
      <c r="S1640" s="165"/>
      <c r="T1640" s="166"/>
      <c r="U1640" s="166"/>
      <c r="V1640" s="166"/>
      <c r="W1640" s="167" t="str">
        <f>IF(BetTable[Sport]="","",BetTable[Stake]+BetTable[S2]+BetTable[S3])</f>
        <v/>
      </c>
      <c r="X1640" s="164" t="str">
        <f>IF(BetTable[Odds]="","",(BetTable[WBA1-Commission])-BetTable[TS])</f>
        <v/>
      </c>
      <c r="Y1640" s="168" t="str">
        <f>IF(BetTable[Outcome]="","",BetTable[WBA1]+BetTable[WBA2]+BetTable[WBA3]-BetTable[TS])</f>
        <v/>
      </c>
      <c r="Z1640" s="164">
        <f>(((BetTable[Odds]-1)*BetTable[Stake])*(1-(BetTable[Comm %]))+BetTable[Stake])</f>
        <v>0</v>
      </c>
      <c r="AA1640" s="164">
        <f>(((BetTable[O2]-1)*BetTable[S2])*(1-(BetTable[C% 2]))+BetTable[S2])</f>
        <v>0</v>
      </c>
      <c r="AB1640" s="164">
        <f>(((BetTable[O3]-1)*BetTable[S3])*(1-(BetTable[C% 3]))+BetTable[S3])</f>
        <v>0</v>
      </c>
      <c r="AC1640" s="165" t="str">
        <f>IFERROR(IF(BetTable[Sport]="","",BetTable[R1]/BetTable[TS]),"")</f>
        <v/>
      </c>
      <c r="AD1640" s="165" t="str">
        <f>IF(BetTable[O2]="","",#REF!/BetTable[TS])</f>
        <v/>
      </c>
      <c r="AE1640" s="165" t="str">
        <f>IFERROR(IF(BetTable[Sport]="","",#REF!/BetTable[TS]),"")</f>
        <v/>
      </c>
      <c r="AF1640" s="164">
        <f>IF(BetTable[Outcome]="Win",BetTable[WBA1-Commission],IF(BetTable[Outcome]="Win Half Stake",(BetTable[Stake]/2)+BetTable[WBA1-Commission]/2,IF(BetTable[Outcome]="Lose Half Stake",BetTable[Stake]/2,IF(BetTable[Outcome]="Lose",0,IF(BetTable[Outcome]="Void",BetTable[Stake],)))))</f>
        <v>0</v>
      </c>
      <c r="AG1640" s="164">
        <f>IF(BetTable[Outcome2]="Win",BetTable[WBA2-Commission],IF(BetTable[Outcome2]="Win Half Stake",(BetTable[S2]/2)+BetTable[WBA2-Commission]/2,IF(BetTable[Outcome2]="Lose Half Stake",BetTable[S2]/2,IF(BetTable[Outcome2]="Lose",0,IF(BetTable[Outcome2]="Void",BetTable[S2],)))))</f>
        <v>0</v>
      </c>
      <c r="AH1640" s="164">
        <f>IF(BetTable[Outcome3]="Win",BetTable[WBA3-Commission],IF(BetTable[Outcome3]="Win Half Stake",(BetTable[S3]/2)+BetTable[WBA3-Commission]/2,IF(BetTable[Outcome3]="Lose Half Stake",BetTable[S3]/2,IF(BetTable[Outcome3]="Lose",0,IF(BetTable[Outcome3]="Void",BetTable[S3],)))))</f>
        <v>0</v>
      </c>
      <c r="AI1640" s="168">
        <f>IF(BetTable[Outcome]="",AI1639,BetTable[Result]+AI1639)</f>
        <v>2055.4057499999981</v>
      </c>
      <c r="AJ1640" s="160"/>
    </row>
    <row r="1641" spans="1:36" x14ac:dyDescent="0.2">
      <c r="A1641" s="159"/>
      <c r="B1641" s="160"/>
      <c r="C1641" s="161"/>
      <c r="D1641" s="161"/>
      <c r="E1641" s="161"/>
      <c r="F1641" s="162"/>
      <c r="G1641" s="162"/>
      <c r="H1641" s="162"/>
      <c r="I1641" s="160"/>
      <c r="J1641" s="163"/>
      <c r="K1641" s="163"/>
      <c r="L1641" s="163"/>
      <c r="M1641" s="164"/>
      <c r="N1641" s="164"/>
      <c r="O1641" s="164"/>
      <c r="P1641" s="159"/>
      <c r="Q1641" s="159"/>
      <c r="R1641" s="159"/>
      <c r="S1641" s="165"/>
      <c r="T1641" s="166"/>
      <c r="U1641" s="166"/>
      <c r="V1641" s="166"/>
      <c r="W1641" s="167" t="str">
        <f>IF(BetTable[Sport]="","",BetTable[Stake]+BetTable[S2]+BetTable[S3])</f>
        <v/>
      </c>
      <c r="X1641" s="164" t="str">
        <f>IF(BetTable[Odds]="","",(BetTable[WBA1-Commission])-BetTable[TS])</f>
        <v/>
      </c>
      <c r="Y1641" s="168" t="str">
        <f>IF(BetTable[Outcome]="","",BetTable[WBA1]+BetTable[WBA2]+BetTable[WBA3]-BetTable[TS])</f>
        <v/>
      </c>
      <c r="Z1641" s="164">
        <f>(((BetTable[Odds]-1)*BetTable[Stake])*(1-(BetTable[Comm %]))+BetTable[Stake])</f>
        <v>0</v>
      </c>
      <c r="AA1641" s="164">
        <f>(((BetTable[O2]-1)*BetTable[S2])*(1-(BetTable[C% 2]))+BetTable[S2])</f>
        <v>0</v>
      </c>
      <c r="AB1641" s="164">
        <f>(((BetTable[O3]-1)*BetTable[S3])*(1-(BetTable[C% 3]))+BetTable[S3])</f>
        <v>0</v>
      </c>
      <c r="AC1641" s="165" t="str">
        <f>IFERROR(IF(BetTable[Sport]="","",BetTable[R1]/BetTable[TS]),"")</f>
        <v/>
      </c>
      <c r="AD1641" s="165" t="str">
        <f>IF(BetTable[O2]="","",#REF!/BetTable[TS])</f>
        <v/>
      </c>
      <c r="AE1641" s="165" t="str">
        <f>IFERROR(IF(BetTable[Sport]="","",#REF!/BetTable[TS]),"")</f>
        <v/>
      </c>
      <c r="AF1641" s="164">
        <f>IF(BetTable[Outcome]="Win",BetTable[WBA1-Commission],IF(BetTable[Outcome]="Win Half Stake",(BetTable[Stake]/2)+BetTable[WBA1-Commission]/2,IF(BetTable[Outcome]="Lose Half Stake",BetTable[Stake]/2,IF(BetTable[Outcome]="Lose",0,IF(BetTable[Outcome]="Void",BetTable[Stake],)))))</f>
        <v>0</v>
      </c>
      <c r="AG1641" s="164">
        <f>IF(BetTable[Outcome2]="Win",BetTable[WBA2-Commission],IF(BetTable[Outcome2]="Win Half Stake",(BetTable[S2]/2)+BetTable[WBA2-Commission]/2,IF(BetTable[Outcome2]="Lose Half Stake",BetTable[S2]/2,IF(BetTable[Outcome2]="Lose",0,IF(BetTable[Outcome2]="Void",BetTable[S2],)))))</f>
        <v>0</v>
      </c>
      <c r="AH1641" s="164">
        <f>IF(BetTable[Outcome3]="Win",BetTable[WBA3-Commission],IF(BetTable[Outcome3]="Win Half Stake",(BetTable[S3]/2)+BetTable[WBA3-Commission]/2,IF(BetTable[Outcome3]="Lose Half Stake",BetTable[S3]/2,IF(BetTable[Outcome3]="Lose",0,IF(BetTable[Outcome3]="Void",BetTable[S3],)))))</f>
        <v>0</v>
      </c>
      <c r="AI1641" s="168">
        <f>IF(BetTable[Outcome]="",AI1640,BetTable[Result]+AI1640)</f>
        <v>2055.4057499999981</v>
      </c>
      <c r="AJ1641" s="160"/>
    </row>
    <row r="1642" spans="1:36" x14ac:dyDescent="0.2">
      <c r="A1642" s="159"/>
      <c r="B1642" s="160"/>
      <c r="C1642" s="161"/>
      <c r="D1642" s="161"/>
      <c r="E1642" s="161"/>
      <c r="F1642" s="162"/>
      <c r="G1642" s="162"/>
      <c r="H1642" s="162"/>
      <c r="I1642" s="160"/>
      <c r="J1642" s="163"/>
      <c r="K1642" s="163"/>
      <c r="L1642" s="163"/>
      <c r="M1642" s="164"/>
      <c r="N1642" s="164"/>
      <c r="O1642" s="164"/>
      <c r="P1642" s="159"/>
      <c r="Q1642" s="159"/>
      <c r="R1642" s="159"/>
      <c r="S1642" s="165"/>
      <c r="T1642" s="166"/>
      <c r="U1642" s="166"/>
      <c r="V1642" s="166"/>
      <c r="W1642" s="167" t="str">
        <f>IF(BetTable[Sport]="","",BetTable[Stake]+BetTable[S2]+BetTable[S3])</f>
        <v/>
      </c>
      <c r="X1642" s="164" t="str">
        <f>IF(BetTable[Odds]="","",(BetTable[WBA1-Commission])-BetTable[TS])</f>
        <v/>
      </c>
      <c r="Y1642" s="168" t="str">
        <f>IF(BetTable[Outcome]="","",BetTable[WBA1]+BetTable[WBA2]+BetTable[WBA3]-BetTable[TS])</f>
        <v/>
      </c>
      <c r="Z1642" s="164">
        <f>(((BetTable[Odds]-1)*BetTable[Stake])*(1-(BetTable[Comm %]))+BetTable[Stake])</f>
        <v>0</v>
      </c>
      <c r="AA1642" s="164">
        <f>(((BetTable[O2]-1)*BetTable[S2])*(1-(BetTable[C% 2]))+BetTable[S2])</f>
        <v>0</v>
      </c>
      <c r="AB1642" s="164">
        <f>(((BetTable[O3]-1)*BetTable[S3])*(1-(BetTable[C% 3]))+BetTable[S3])</f>
        <v>0</v>
      </c>
      <c r="AC1642" s="165" t="str">
        <f>IFERROR(IF(BetTable[Sport]="","",BetTable[R1]/BetTable[TS]),"")</f>
        <v/>
      </c>
      <c r="AD1642" s="165" t="str">
        <f>IF(BetTable[O2]="","",#REF!/BetTable[TS])</f>
        <v/>
      </c>
      <c r="AE1642" s="165" t="str">
        <f>IFERROR(IF(BetTable[Sport]="","",#REF!/BetTable[TS]),"")</f>
        <v/>
      </c>
      <c r="AF1642" s="164">
        <f>IF(BetTable[Outcome]="Win",BetTable[WBA1-Commission],IF(BetTable[Outcome]="Win Half Stake",(BetTable[Stake]/2)+BetTable[WBA1-Commission]/2,IF(BetTable[Outcome]="Lose Half Stake",BetTable[Stake]/2,IF(BetTable[Outcome]="Lose",0,IF(BetTable[Outcome]="Void",BetTable[Stake],)))))</f>
        <v>0</v>
      </c>
      <c r="AG1642" s="164">
        <f>IF(BetTable[Outcome2]="Win",BetTable[WBA2-Commission],IF(BetTable[Outcome2]="Win Half Stake",(BetTable[S2]/2)+BetTable[WBA2-Commission]/2,IF(BetTable[Outcome2]="Lose Half Stake",BetTable[S2]/2,IF(BetTable[Outcome2]="Lose",0,IF(BetTable[Outcome2]="Void",BetTable[S2],)))))</f>
        <v>0</v>
      </c>
      <c r="AH1642" s="164">
        <f>IF(BetTable[Outcome3]="Win",BetTable[WBA3-Commission],IF(BetTable[Outcome3]="Win Half Stake",(BetTable[S3]/2)+BetTable[WBA3-Commission]/2,IF(BetTable[Outcome3]="Lose Half Stake",BetTable[S3]/2,IF(BetTable[Outcome3]="Lose",0,IF(BetTable[Outcome3]="Void",BetTable[S3],)))))</f>
        <v>0</v>
      </c>
      <c r="AI1642" s="168">
        <f>IF(BetTable[Outcome]="",AI1641,BetTable[Result]+AI1641)</f>
        <v>2055.4057499999981</v>
      </c>
      <c r="AJ1642" s="160"/>
    </row>
    <row r="1643" spans="1:36" x14ac:dyDescent="0.2">
      <c r="A1643" s="159"/>
      <c r="B1643" s="160"/>
      <c r="C1643" s="161"/>
      <c r="D1643" s="161"/>
      <c r="E1643" s="161"/>
      <c r="F1643" s="162"/>
      <c r="G1643" s="162"/>
      <c r="H1643" s="162"/>
      <c r="I1643" s="160"/>
      <c r="J1643" s="163"/>
      <c r="K1643" s="163"/>
      <c r="L1643" s="163"/>
      <c r="M1643" s="164"/>
      <c r="N1643" s="164"/>
      <c r="O1643" s="164"/>
      <c r="P1643" s="159"/>
      <c r="Q1643" s="159"/>
      <c r="R1643" s="159"/>
      <c r="S1643" s="165"/>
      <c r="T1643" s="166"/>
      <c r="U1643" s="166"/>
      <c r="V1643" s="166"/>
      <c r="W1643" s="167" t="str">
        <f>IF(BetTable[Sport]="","",BetTable[Stake]+BetTable[S2]+BetTable[S3])</f>
        <v/>
      </c>
      <c r="X1643" s="164" t="str">
        <f>IF(BetTable[Odds]="","",(BetTable[WBA1-Commission])-BetTable[TS])</f>
        <v/>
      </c>
      <c r="Y1643" s="168" t="str">
        <f>IF(BetTable[Outcome]="","",BetTable[WBA1]+BetTable[WBA2]+BetTable[WBA3]-BetTable[TS])</f>
        <v/>
      </c>
      <c r="Z1643" s="164">
        <f>(((BetTable[Odds]-1)*BetTable[Stake])*(1-(BetTable[Comm %]))+BetTable[Stake])</f>
        <v>0</v>
      </c>
      <c r="AA1643" s="164">
        <f>(((BetTable[O2]-1)*BetTable[S2])*(1-(BetTable[C% 2]))+BetTable[S2])</f>
        <v>0</v>
      </c>
      <c r="AB1643" s="164">
        <f>(((BetTable[O3]-1)*BetTable[S3])*(1-(BetTable[C% 3]))+BetTable[S3])</f>
        <v>0</v>
      </c>
      <c r="AC1643" s="165" t="str">
        <f>IFERROR(IF(BetTable[Sport]="","",BetTable[R1]/BetTable[TS]),"")</f>
        <v/>
      </c>
      <c r="AD1643" s="165" t="str">
        <f>IF(BetTable[O2]="","",#REF!/BetTable[TS])</f>
        <v/>
      </c>
      <c r="AE1643" s="165" t="str">
        <f>IFERROR(IF(BetTable[Sport]="","",#REF!/BetTable[TS]),"")</f>
        <v/>
      </c>
      <c r="AF1643" s="164">
        <f>IF(BetTable[Outcome]="Win",BetTable[WBA1-Commission],IF(BetTable[Outcome]="Win Half Stake",(BetTable[Stake]/2)+BetTable[WBA1-Commission]/2,IF(BetTable[Outcome]="Lose Half Stake",BetTable[Stake]/2,IF(BetTable[Outcome]="Lose",0,IF(BetTable[Outcome]="Void",BetTable[Stake],)))))</f>
        <v>0</v>
      </c>
      <c r="AG1643" s="164">
        <f>IF(BetTable[Outcome2]="Win",BetTable[WBA2-Commission],IF(BetTable[Outcome2]="Win Half Stake",(BetTable[S2]/2)+BetTable[WBA2-Commission]/2,IF(BetTable[Outcome2]="Lose Half Stake",BetTable[S2]/2,IF(BetTable[Outcome2]="Lose",0,IF(BetTable[Outcome2]="Void",BetTable[S2],)))))</f>
        <v>0</v>
      </c>
      <c r="AH1643" s="164">
        <f>IF(BetTable[Outcome3]="Win",BetTable[WBA3-Commission],IF(BetTable[Outcome3]="Win Half Stake",(BetTable[S3]/2)+BetTable[WBA3-Commission]/2,IF(BetTable[Outcome3]="Lose Half Stake",BetTable[S3]/2,IF(BetTable[Outcome3]="Lose",0,IF(BetTable[Outcome3]="Void",BetTable[S3],)))))</f>
        <v>0</v>
      </c>
      <c r="AI1643" s="168">
        <f>IF(BetTable[Outcome]="",AI1642,BetTable[Result]+AI1642)</f>
        <v>2055.4057499999981</v>
      </c>
      <c r="AJ1643" s="160"/>
    </row>
    <row r="1644" spans="1:36" x14ac:dyDescent="0.2">
      <c r="A1644" s="159"/>
      <c r="B1644" s="160"/>
      <c r="C1644" s="161"/>
      <c r="D1644" s="161"/>
      <c r="E1644" s="161"/>
      <c r="F1644" s="162"/>
      <c r="G1644" s="162"/>
      <c r="H1644" s="162"/>
      <c r="I1644" s="160"/>
      <c r="J1644" s="163"/>
      <c r="K1644" s="163"/>
      <c r="L1644" s="163"/>
      <c r="M1644" s="164"/>
      <c r="N1644" s="164"/>
      <c r="O1644" s="164"/>
      <c r="P1644" s="159"/>
      <c r="Q1644" s="159"/>
      <c r="R1644" s="159"/>
      <c r="S1644" s="165"/>
      <c r="T1644" s="166"/>
      <c r="U1644" s="166"/>
      <c r="V1644" s="166"/>
      <c r="W1644" s="167" t="str">
        <f>IF(BetTable[Sport]="","",BetTable[Stake]+BetTable[S2]+BetTable[S3])</f>
        <v/>
      </c>
      <c r="X1644" s="164" t="str">
        <f>IF(BetTable[Odds]="","",(BetTable[WBA1-Commission])-BetTable[TS])</f>
        <v/>
      </c>
      <c r="Y1644" s="168" t="str">
        <f>IF(BetTable[Outcome]="","",BetTable[WBA1]+BetTable[WBA2]+BetTable[WBA3]-BetTable[TS])</f>
        <v/>
      </c>
      <c r="Z1644" s="164">
        <f>(((BetTable[Odds]-1)*BetTable[Stake])*(1-(BetTable[Comm %]))+BetTable[Stake])</f>
        <v>0</v>
      </c>
      <c r="AA1644" s="164">
        <f>(((BetTable[O2]-1)*BetTable[S2])*(1-(BetTable[C% 2]))+BetTable[S2])</f>
        <v>0</v>
      </c>
      <c r="AB1644" s="164">
        <f>(((BetTable[O3]-1)*BetTable[S3])*(1-(BetTable[C% 3]))+BetTable[S3])</f>
        <v>0</v>
      </c>
      <c r="AC1644" s="165" t="str">
        <f>IFERROR(IF(BetTable[Sport]="","",BetTable[R1]/BetTable[TS]),"")</f>
        <v/>
      </c>
      <c r="AD1644" s="165" t="str">
        <f>IF(BetTable[O2]="","",#REF!/BetTable[TS])</f>
        <v/>
      </c>
      <c r="AE1644" s="165" t="str">
        <f>IFERROR(IF(BetTable[Sport]="","",#REF!/BetTable[TS]),"")</f>
        <v/>
      </c>
      <c r="AF1644" s="164">
        <f>IF(BetTable[Outcome]="Win",BetTable[WBA1-Commission],IF(BetTable[Outcome]="Win Half Stake",(BetTable[Stake]/2)+BetTable[WBA1-Commission]/2,IF(BetTable[Outcome]="Lose Half Stake",BetTable[Stake]/2,IF(BetTable[Outcome]="Lose",0,IF(BetTable[Outcome]="Void",BetTable[Stake],)))))</f>
        <v>0</v>
      </c>
      <c r="AG1644" s="164">
        <f>IF(BetTable[Outcome2]="Win",BetTable[WBA2-Commission],IF(BetTable[Outcome2]="Win Half Stake",(BetTable[S2]/2)+BetTable[WBA2-Commission]/2,IF(BetTable[Outcome2]="Lose Half Stake",BetTable[S2]/2,IF(BetTable[Outcome2]="Lose",0,IF(BetTable[Outcome2]="Void",BetTable[S2],)))))</f>
        <v>0</v>
      </c>
      <c r="AH1644" s="164">
        <f>IF(BetTable[Outcome3]="Win",BetTable[WBA3-Commission],IF(BetTable[Outcome3]="Win Half Stake",(BetTable[S3]/2)+BetTable[WBA3-Commission]/2,IF(BetTable[Outcome3]="Lose Half Stake",BetTable[S3]/2,IF(BetTable[Outcome3]="Lose",0,IF(BetTable[Outcome3]="Void",BetTable[S3],)))))</f>
        <v>0</v>
      </c>
      <c r="AI1644" s="168">
        <f>IF(BetTable[Outcome]="",AI1643,BetTable[Result]+AI1643)</f>
        <v>2055.4057499999981</v>
      </c>
      <c r="AJ1644" s="160"/>
    </row>
  </sheetData>
  <sheetProtection formatCells="0" formatColumns="0" formatRows="0" insertColumns="0" insertRows="0"/>
  <conditionalFormatting sqref="T2:V1644">
    <cfRule type="containsBlanks" dxfId="187" priority="4">
      <formula>LEN(TRIM(T2))=0</formula>
    </cfRule>
  </conditionalFormatting>
  <conditionalFormatting sqref="X2:AE1644">
    <cfRule type="cellIs" dxfId="186" priority="2" operator="greaterThanOrEqual">
      <formula>0</formula>
    </cfRule>
    <cfRule type="cellIs" dxfId="185" priority="3" operator="lessThan">
      <formula>0</formula>
    </cfRule>
  </conditionalFormatting>
  <conditionalFormatting sqref="V2:V1644">
    <cfRule type="expression" dxfId="184" priority="1">
      <formula>O2=""</formula>
    </cfRule>
  </conditionalFormatting>
  <dataValidations count="3">
    <dataValidation type="list" allowBlank="1" showInputMessage="1" showErrorMessage="1" sqref="T2:V1644">
      <formula1>"Win,Win Half Stake,Lose Half Stake,Lose,Void"</formula1>
    </dataValidation>
    <dataValidation type="list" allowBlank="1" showInputMessage="1" showErrorMessage="1" sqref="B2:B1644">
      <formula1>ListSports</formula1>
    </dataValidation>
    <dataValidation type="list" allowBlank="1" showInputMessage="1" showErrorMessage="1" sqref="C2:E1644">
      <formula1>ListBookies</formula1>
    </dataValidation>
  </dataValidations>
  <pageMargins left="0.7" right="0.7" top="0.75" bottom="0.75" header="0.3" footer="0.3"/>
  <pageSetup orientation="portrait" r:id="rId1"/>
  <drawing r:id="rId2"/>
  <legacyDrawing r:id="rId3"/>
  <tableParts count="1">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20"/>
  <sheetViews>
    <sheetView topLeftCell="G1" workbookViewId="0">
      <selection activeCell="L18" sqref="L18"/>
    </sheetView>
  </sheetViews>
  <sheetFormatPr defaultRowHeight="15" x14ac:dyDescent="0.25"/>
  <cols>
    <col min="1" max="1" width="0" hidden="1" customWidth="1"/>
    <col min="2" max="2" width="13.42578125" style="135" hidden="1" customWidth="1"/>
    <col min="3" max="3" width="11.28515625" style="135" hidden="1" customWidth="1"/>
    <col min="4" max="4" width="1.7109375" style="135" hidden="1" customWidth="1"/>
    <col min="5" max="5" width="0" style="135" hidden="1" customWidth="1"/>
    <col min="6" max="6" width="14.42578125" style="135" hidden="1" customWidth="1"/>
    <col min="7" max="7" width="2.7109375" style="135" customWidth="1"/>
    <col min="8" max="8" width="19.28515625" style="135" bestFit="1" customWidth="1"/>
    <col min="9" max="9" width="16.28515625" style="135" bestFit="1" customWidth="1"/>
    <col min="11" max="11" width="12.7109375" bestFit="1" customWidth="1"/>
    <col min="13" max="13" width="11.140625" customWidth="1"/>
    <col min="15" max="15" width="6.42578125" bestFit="1" customWidth="1"/>
  </cols>
  <sheetData>
    <row r="1" spans="2:15" x14ac:dyDescent="0.25">
      <c r="B1" s="134" t="s">
        <v>178</v>
      </c>
      <c r="C1" s="134">
        <f>SUM(BookieTurnoverBackBets[Turnover])</f>
        <v>59311.87</v>
      </c>
      <c r="D1" s="134"/>
      <c r="E1" s="134" t="s">
        <v>179</v>
      </c>
      <c r="F1" s="134">
        <f>SUM(BookieTurnoverLayBets[Turnover])</f>
        <v>0</v>
      </c>
      <c r="G1" s="134"/>
      <c r="H1" s="134" t="s">
        <v>180</v>
      </c>
      <c r="I1" s="134">
        <f>C1+F1</f>
        <v>59311.87</v>
      </c>
    </row>
    <row r="2" spans="2:15" x14ac:dyDescent="0.25">
      <c r="B2" s="135" t="s">
        <v>181</v>
      </c>
      <c r="E2" s="135" t="s">
        <v>182</v>
      </c>
      <c r="H2" s="135" t="s">
        <v>183</v>
      </c>
    </row>
    <row r="3" spans="2:15" x14ac:dyDescent="0.25">
      <c r="B3" s="135" t="s">
        <v>20</v>
      </c>
      <c r="C3" s="135" t="s">
        <v>59</v>
      </c>
      <c r="E3" s="135" t="s">
        <v>20</v>
      </c>
      <c r="F3" s="135" t="s">
        <v>59</v>
      </c>
      <c r="H3" s="135" t="s">
        <v>20</v>
      </c>
      <c r="I3" s="135" t="s">
        <v>58</v>
      </c>
      <c r="K3" t="s">
        <v>23</v>
      </c>
      <c r="L3" t="s">
        <v>323</v>
      </c>
      <c r="M3" t="s">
        <v>59</v>
      </c>
      <c r="N3" t="s">
        <v>324</v>
      </c>
      <c r="O3" t="s">
        <v>325</v>
      </c>
    </row>
    <row r="4" spans="2:15" x14ac:dyDescent="0.25">
      <c r="B4" s="136">
        <f>IFERROR(VLOOKUP(ROW()-3,BookieName[#Data],3,FALSE),"")</f>
        <v>0</v>
      </c>
      <c r="C4" s="136">
        <f>SUMIF(BetTable[Bookie],VLOOKUP(ROW()-3,BookieName[#Data],2,FALSE),BetTable[Stake])+SUMIF(BetTable[B2],VLOOKUP(ROW()-3,BookieName[#Data],2,FALSE),BetTable[S2])+SUMIF(BetTable[B3],VLOOKUP(ROW()-3,BookieName[#Data],2,FALSE),BetTable[S3])</f>
        <v>0</v>
      </c>
      <c r="E4" s="136">
        <f>IFERROR(VLOOKUP(ROW()-3,BookieName[#Data],3,FALSE),"")</f>
        <v>0</v>
      </c>
      <c r="F4" s="136">
        <f>SUMIF(LayTable[BackBook],VLOOKUP(ROW()-3,BookieName[#Data],2,FALSE),LayTable[BackStake])+SUMIF(LayTable[LayBook],VLOOKUP(ROW()-3,BookieName[#Data],2,FALSE),LayTable[LayLiability])</f>
        <v>0</v>
      </c>
      <c r="H4" s="136" t="str">
        <f>IFERROR(VLOOKUP(ROW()-3,BookieName[#Data],2,FALSE),"")</f>
        <v>10Bet</v>
      </c>
      <c r="I4" s="136">
        <f>BookieTurnoverBackBets[[#This Row],[Turnover]]+BookieTurnoverLayBets[[#This Row],[Turnover]]</f>
        <v>0</v>
      </c>
      <c r="K4" t="str">
        <f>BooksAndSports!D2</f>
        <v>Tennis</v>
      </c>
      <c r="L4">
        <f>COUNTIF(BetTable[Sport],K4)</f>
        <v>92</v>
      </c>
      <c r="M4">
        <f>SUMIF(BetTable[Sport],K4,BetTable[Stake])</f>
        <v>3042.5</v>
      </c>
      <c r="N4">
        <f>SUMIF(BetTable[Sport],K4,BetTable[Result])</f>
        <v>180.97599999999997</v>
      </c>
      <c r="O4">
        <f>IFERROR(Table34[[#This Row],[Profit]]/Table34[[#This Row],[Bets]],"")</f>
        <v>1.9671304347826084</v>
      </c>
    </row>
    <row r="5" spans="2:15" x14ac:dyDescent="0.25">
      <c r="B5" s="136">
        <f>IFERROR(VLOOKUP(ROW()-3,BookieName[#Data],3,FALSE),"")</f>
        <v>0</v>
      </c>
      <c r="C5" s="136">
        <f>SUMIF(BetTable[Bookie],VLOOKUP(ROW()-3,BookieName[#Data],2,FALSE),BetTable[Stake])+SUMIF(BetTable[B2],VLOOKUP(ROW()-3,BookieName[#Data],2,FALSE),BetTable[S2])+SUMIF(BetTable[B3],VLOOKUP(ROW()-3,BookieName[#Data],2,FALSE),BetTable[S3])</f>
        <v>0</v>
      </c>
      <c r="E5" s="136">
        <f>IFERROR(VLOOKUP(ROW()-3,BookieName[#Data],3,FALSE),"")</f>
        <v>0</v>
      </c>
      <c r="F5" s="136">
        <f>SUMIF(LayTable[BackBook],VLOOKUP(ROW()-3,BookieName[#Data],2,FALSE),LayTable[BackStake])+SUMIF(LayTable[LayBook],VLOOKUP(ROW()-3,BookieName[#Data],2,FALSE),LayTable[LayLiability])</f>
        <v>0</v>
      </c>
      <c r="H5" s="136" t="str">
        <f>IFERROR(VLOOKUP(ROW()-3,BookieName[#Data],2,FALSE),"")</f>
        <v>12Bet</v>
      </c>
      <c r="I5" s="136">
        <f>BookieTurnoverBackBets[[#This Row],[Turnover]]+BookieTurnoverLayBets[[#This Row],[Turnover]]</f>
        <v>0</v>
      </c>
      <c r="K5" t="str">
        <f>BooksAndSports!D3</f>
        <v>Soccer</v>
      </c>
      <c r="L5">
        <f>COUNTIF(BetTable[Sport],K5)</f>
        <v>964</v>
      </c>
      <c r="M5">
        <f>SUMIF(BetTable[Sport],K5,BetTable[Stake])</f>
        <v>34351.369999999995</v>
      </c>
      <c r="N5">
        <f>SUMIF(BetTable[Sport],K5,BetTable[Result])</f>
        <v>1195.5127500000012</v>
      </c>
      <c r="O5">
        <f>IFERROR(Table34[[#This Row],[Profit]]/Table34[[#This Row],[Bets]],"")</f>
        <v>1.2401584543568478</v>
      </c>
    </row>
    <row r="6" spans="2:15" x14ac:dyDescent="0.25">
      <c r="B6" s="136">
        <f>IFERROR(VLOOKUP(ROW()-3,BookieName[#Data],3,FALSE),"")</f>
        <v>0</v>
      </c>
      <c r="C6" s="136">
        <f>SUMIF(BetTable[Bookie],VLOOKUP(ROW()-3,BookieName[#Data],2,FALSE),BetTable[Stake])+SUMIF(BetTable[B2],VLOOKUP(ROW()-3,BookieName[#Data],2,FALSE),BetTable[S2])+SUMIF(BetTable[B3],VLOOKUP(ROW()-3,BookieName[#Data],2,FALSE),BetTable[S3])</f>
        <v>0</v>
      </c>
      <c r="E6" s="136">
        <f>IFERROR(VLOOKUP(ROW()-3,BookieName[#Data],3,FALSE),"")</f>
        <v>0</v>
      </c>
      <c r="F6" s="136">
        <f>SUMIF(LayTable[BackBook],VLOOKUP(ROW()-3,BookieName[#Data],2,FALSE),LayTable[BackStake])+SUMIF(LayTable[LayBook],VLOOKUP(ROW()-3,BookieName[#Data],2,FALSE),LayTable[LayLiability])</f>
        <v>0</v>
      </c>
      <c r="H6" s="136" t="str">
        <f>IFERROR(VLOOKUP(ROW()-3,BookieName[#Data],2,FALSE),"")</f>
        <v>12BetUK</v>
      </c>
      <c r="I6" s="136">
        <f>BookieTurnoverBackBets[[#This Row],[Turnover]]+BookieTurnoverLayBets[[#This Row],[Turnover]]</f>
        <v>0</v>
      </c>
      <c r="K6" s="5" t="str">
        <f>BooksAndSports!D4</f>
        <v>Basketball</v>
      </c>
      <c r="L6">
        <f>COUNTIF(BetTable[Sport],K6)</f>
        <v>410</v>
      </c>
      <c r="M6">
        <f>SUMIF(BetTable[Sport],K6,BetTable[Stake])</f>
        <v>16855</v>
      </c>
      <c r="N6">
        <f>SUMIF(BetTable[Sport],K6,BetTable[Result])</f>
        <v>119.11199999999974</v>
      </c>
      <c r="O6">
        <f>IFERROR(Table34[[#This Row],[Profit]]/Table34[[#This Row],[Bets]],"")</f>
        <v>0.29051707317073105</v>
      </c>
    </row>
    <row r="7" spans="2:15" x14ac:dyDescent="0.25">
      <c r="B7" s="136">
        <f>IFERROR(VLOOKUP(ROW()-3,BookieName[#Data],3,FALSE),"")</f>
        <v>0</v>
      </c>
      <c r="C7" s="136">
        <f>SUMIF(BetTable[Bookie],VLOOKUP(ROW()-3,BookieName[#Data],2,FALSE),BetTable[Stake])+SUMIF(BetTable[B2],VLOOKUP(ROW()-3,BookieName[#Data],2,FALSE),BetTable[S2])+SUMIF(BetTable[B3],VLOOKUP(ROW()-3,BookieName[#Data],2,FALSE),BetTable[S3])</f>
        <v>0</v>
      </c>
      <c r="E7" s="136">
        <f>IFERROR(VLOOKUP(ROW()-3,BookieName[#Data],3,FALSE),"")</f>
        <v>0</v>
      </c>
      <c r="F7" s="136">
        <f>SUMIF(LayTable[BackBook],VLOOKUP(ROW()-3,BookieName[#Data],2,FALSE),LayTable[BackStake])+SUMIF(LayTable[LayBook],VLOOKUP(ROW()-3,BookieName[#Data],2,FALSE),LayTable[LayLiability])</f>
        <v>0</v>
      </c>
      <c r="H7" s="136">
        <f>IFERROR(VLOOKUP(ROW()-3,BookieName[#Data],2,FALSE),"")</f>
        <v>138</v>
      </c>
      <c r="I7" s="136">
        <f>BookieTurnoverBackBets[[#This Row],[Turnover]]+BookieTurnoverLayBets[[#This Row],[Turnover]]</f>
        <v>0</v>
      </c>
      <c r="K7" t="str">
        <f>BooksAndSports!D5</f>
        <v>AMFootball</v>
      </c>
      <c r="L7">
        <f>COUNTIF(BetTable[Sport],K7)</f>
        <v>47</v>
      </c>
      <c r="M7">
        <f>SUMIF(BetTable[Sport],K7,BetTable[Stake])</f>
        <v>1545</v>
      </c>
      <c r="N7">
        <f>SUMIF(BetTable[Sport],K7,BetTable[Result])</f>
        <v>139.79500000000002</v>
      </c>
      <c r="O7">
        <f>IFERROR(Table34[[#This Row],[Profit]]/Table34[[#This Row],[Bets]],"")</f>
        <v>2.97436170212766</v>
      </c>
    </row>
    <row r="8" spans="2:15" x14ac:dyDescent="0.25">
      <c r="B8" s="136">
        <f>IFERROR(VLOOKUP(ROW()-3,BookieName[#Data],3,FALSE),"")</f>
        <v>0</v>
      </c>
      <c r="C8" s="136">
        <f>SUMIF(BetTable[Bookie],VLOOKUP(ROW()-3,BookieName[#Data],2,FALSE),BetTable[Stake])+SUMIF(BetTable[B2],VLOOKUP(ROW()-3,BookieName[#Data],2,FALSE),BetTable[S2])+SUMIF(BetTable[B3],VLOOKUP(ROW()-3,BookieName[#Data],2,FALSE),BetTable[S3])</f>
        <v>0</v>
      </c>
      <c r="E8" s="136">
        <f>IFERROR(VLOOKUP(ROW()-3,BookieName[#Data],3,FALSE),"")</f>
        <v>0</v>
      </c>
      <c r="F8" s="136">
        <f>SUMIF(LayTable[BackBook],VLOOKUP(ROW()-3,BookieName[#Data],2,FALSE),LayTable[BackStake])+SUMIF(LayTable[LayBook],VLOOKUP(ROW()-3,BookieName[#Data],2,FALSE),LayTable[LayLiability])</f>
        <v>0</v>
      </c>
      <c r="H8" s="136" t="str">
        <f>IFERROR(VLOOKUP(ROW()-3,BookieName[#Data],2,FALSE),"")</f>
        <v>188Bet</v>
      </c>
      <c r="I8" s="136">
        <f>BookieTurnoverBackBets[[#This Row],[Turnover]]+BookieTurnoverLayBets[[#This Row],[Turnover]]</f>
        <v>0</v>
      </c>
      <c r="K8" t="str">
        <f>BooksAndSports!D6</f>
        <v>Hockey</v>
      </c>
      <c r="L8">
        <f>COUNTIF(BetTable[Sport],K8)</f>
        <v>86</v>
      </c>
      <c r="M8">
        <f>SUMIF(BetTable[Sport],K8,BetTable[Stake])</f>
        <v>2956</v>
      </c>
      <c r="N8">
        <f>SUMIF(BetTable[Sport],K8,BetTable[Result])</f>
        <v>320.7999999999999</v>
      </c>
      <c r="O8">
        <f>IFERROR(Table34[[#This Row],[Profit]]/Table34[[#This Row],[Bets]],"")</f>
        <v>3.7302325581395337</v>
      </c>
    </row>
    <row r="9" spans="2:15" x14ac:dyDescent="0.25">
      <c r="B9" s="136">
        <f>IFERROR(VLOOKUP(ROW()-3,BookieName[#Data],3,FALSE),"")</f>
        <v>0</v>
      </c>
      <c r="C9" s="136">
        <f>SUMIF(BetTable[Bookie],VLOOKUP(ROW()-3,BookieName[#Data],2,FALSE),BetTable[Stake])+SUMIF(BetTable[B2],VLOOKUP(ROW()-3,BookieName[#Data],2,FALSE),BetTable[S2])+SUMIF(BetTable[B3],VLOOKUP(ROW()-3,BookieName[#Data],2,FALSE),BetTable[S3])</f>
        <v>0</v>
      </c>
      <c r="E9" s="136">
        <f>IFERROR(VLOOKUP(ROW()-3,BookieName[#Data],3,FALSE),"")</f>
        <v>0</v>
      </c>
      <c r="F9" s="136">
        <f>SUMIF(LayTable[BackBook],VLOOKUP(ROW()-3,BookieName[#Data],2,FALSE),LayTable[BackStake])+SUMIF(LayTable[LayBook],VLOOKUP(ROW()-3,BookieName[#Data],2,FALSE),LayTable[LayLiability])</f>
        <v>0</v>
      </c>
      <c r="H9" s="136" t="str">
        <f>IFERROR(VLOOKUP(ROW()-3,BookieName[#Data],2,FALSE),"")</f>
        <v>18bet</v>
      </c>
      <c r="I9" s="136">
        <f>BookieTurnoverBackBets[[#This Row],[Turnover]]+BookieTurnoverLayBets[[#This Row],[Turnover]]</f>
        <v>0</v>
      </c>
      <c r="K9" t="str">
        <f>BooksAndSports!D7</f>
        <v>RugbyUnion</v>
      </c>
      <c r="L9">
        <f>COUNTIF(BetTable[Sport],K9)</f>
        <v>0</v>
      </c>
      <c r="M9">
        <f>SUMIF(BetTable[Sport],K9,BetTable[Stake])</f>
        <v>0</v>
      </c>
      <c r="N9">
        <f>SUMIF(BetTable[Sport],K9,BetTable[Result])</f>
        <v>0</v>
      </c>
      <c r="O9" t="str">
        <f>IFERROR(Table34[[#This Row],[Profit]]/Table34[[#This Row],[Bets]],"")</f>
        <v/>
      </c>
    </row>
    <row r="10" spans="2:15" x14ac:dyDescent="0.25">
      <c r="B10" s="136">
        <f>IFERROR(VLOOKUP(ROW()-3,BookieName[#Data],3,FALSE),"")</f>
        <v>0</v>
      </c>
      <c r="C10" s="136">
        <f>SUMIF(BetTable[Bookie],VLOOKUP(ROW()-3,BookieName[#Data],2,FALSE),BetTable[Stake])+SUMIF(BetTable[B2],VLOOKUP(ROW()-3,BookieName[#Data],2,FALSE),BetTable[S2])+SUMIF(BetTable[B3],VLOOKUP(ROW()-3,BookieName[#Data],2,FALSE),BetTable[S3])</f>
        <v>0</v>
      </c>
      <c r="E10" s="136">
        <f>IFERROR(VLOOKUP(ROW()-3,BookieName[#Data],3,FALSE),"")</f>
        <v>0</v>
      </c>
      <c r="F10" s="136">
        <f>SUMIF(LayTable[BackBook],VLOOKUP(ROW()-3,BookieName[#Data],2,FALSE),LayTable[BackStake])+SUMIF(LayTable[LayBook],VLOOKUP(ROW()-3,BookieName[#Data],2,FALSE),LayTable[LayLiability])</f>
        <v>0</v>
      </c>
      <c r="H10" s="136" t="str">
        <f>IFERROR(VLOOKUP(ROW()-3,BookieName[#Data],2,FALSE),"")</f>
        <v>1xBet</v>
      </c>
      <c r="I10" s="136">
        <f>BookieTurnoverBackBets[[#This Row],[Turnover]]+BookieTurnoverLayBets[[#This Row],[Turnover]]</f>
        <v>0</v>
      </c>
      <c r="K10" t="str">
        <f>BooksAndSports!D8</f>
        <v>RugbyLeague</v>
      </c>
      <c r="L10">
        <f>COUNTIF(BetTable[Sport],K10)</f>
        <v>0</v>
      </c>
      <c r="M10">
        <f>SUMIF(BetTable[Sport],K10,BetTable[Stake])</f>
        <v>0</v>
      </c>
      <c r="N10">
        <f>SUMIF(BetTable[Sport],K10,BetTable[Result])</f>
        <v>0</v>
      </c>
      <c r="O10" t="str">
        <f>IFERROR(Table34[[#This Row],[Profit]]/Table34[[#This Row],[Bets]],"")</f>
        <v/>
      </c>
    </row>
    <row r="11" spans="2:15" x14ac:dyDescent="0.25">
      <c r="B11" s="136">
        <f>IFERROR(VLOOKUP(ROW()-3,BookieName[#Data],3,FALSE),"")</f>
        <v>0</v>
      </c>
      <c r="C11" s="136">
        <f>SUMIF(BetTable[Bookie],VLOOKUP(ROW()-3,BookieName[#Data],2,FALSE),BetTable[Stake])+SUMIF(BetTable[B2],VLOOKUP(ROW()-3,BookieName[#Data],2,FALSE),BetTable[S2])+SUMIF(BetTable[B3],VLOOKUP(ROW()-3,BookieName[#Data],2,FALSE),BetTable[S3])</f>
        <v>0</v>
      </c>
      <c r="E11" s="136">
        <f>IFERROR(VLOOKUP(ROW()-3,BookieName[#Data],3,FALSE),"")</f>
        <v>0</v>
      </c>
      <c r="F11" s="136">
        <f>SUMIF(LayTable[BackBook],VLOOKUP(ROW()-3,BookieName[#Data],2,FALSE),LayTable[BackStake])+SUMIF(LayTable[LayBook],VLOOKUP(ROW()-3,BookieName[#Data],2,FALSE),LayTable[LayLiability])</f>
        <v>0</v>
      </c>
      <c r="H11" s="136" t="str">
        <f>IFERROR(VLOOKUP(ROW()-3,BookieName[#Data],2,FALSE),"")</f>
        <v>21Bet</v>
      </c>
      <c r="I11" s="136">
        <f>BookieTurnoverBackBets[[#This Row],[Turnover]]+BookieTurnoverLayBets[[#This Row],[Turnover]]</f>
        <v>0</v>
      </c>
      <c r="K11" t="str">
        <f>BooksAndSports!D9</f>
        <v>AussieRules</v>
      </c>
      <c r="L11">
        <f>COUNTIF(BetTable[Sport],K11)</f>
        <v>0</v>
      </c>
      <c r="M11">
        <f>SUMIF(BetTable[Sport],K11,BetTable[Stake])</f>
        <v>0</v>
      </c>
      <c r="N11">
        <f>SUMIF(BetTable[Sport],K11,BetTable[Result])</f>
        <v>0</v>
      </c>
      <c r="O11" t="str">
        <f>IFERROR(Table34[[#This Row],[Profit]]/Table34[[#This Row],[Bets]],"")</f>
        <v/>
      </c>
    </row>
    <row r="12" spans="2:15" x14ac:dyDescent="0.25">
      <c r="B12" s="136">
        <f>IFERROR(VLOOKUP(ROW()-3,BookieName[#Data],3,FALSE),"")</f>
        <v>0</v>
      </c>
      <c r="C12" s="136">
        <f>SUMIF(BetTable[Bookie],VLOOKUP(ROW()-3,BookieName[#Data],2,FALSE),BetTable[Stake])+SUMIF(BetTable[B2],VLOOKUP(ROW()-3,BookieName[#Data],2,FALSE),BetTable[S2])+SUMIF(BetTable[B3],VLOOKUP(ROW()-3,BookieName[#Data],2,FALSE),BetTable[S3])</f>
        <v>0</v>
      </c>
      <c r="E12" s="136">
        <f>IFERROR(VLOOKUP(ROW()-3,BookieName[#Data],3,FALSE),"")</f>
        <v>0</v>
      </c>
      <c r="F12" s="136">
        <f>SUMIF(LayTable[BackBook],VLOOKUP(ROW()-3,BookieName[#Data],2,FALSE),LayTable[BackStake])+SUMIF(LayTable[LayBook],VLOOKUP(ROW()-3,BookieName[#Data],2,FALSE),LayTable[LayLiability])</f>
        <v>0</v>
      </c>
      <c r="H12" s="136" t="str">
        <f>IFERROR(VLOOKUP(ROW()-3,BookieName[#Data],2,FALSE),"")</f>
        <v>32Red</v>
      </c>
      <c r="I12" s="136">
        <f>BookieTurnoverBackBets[[#This Row],[Turnover]]+BookieTurnoverLayBets[[#This Row],[Turnover]]</f>
        <v>0</v>
      </c>
      <c r="K12" t="str">
        <f>BooksAndSports!D10</f>
        <v>Baseball</v>
      </c>
      <c r="L12">
        <f>COUNTIF(BetTable[Sport],K12)</f>
        <v>12</v>
      </c>
      <c r="M12">
        <f>SUMIF(BetTable[Sport],K12,BetTable[Stake])</f>
        <v>562</v>
      </c>
      <c r="N12">
        <f>SUMIF(BetTable[Sport],K12,BetTable[Result])</f>
        <v>99.20999999999998</v>
      </c>
      <c r="O12">
        <f>IFERROR(Table34[[#This Row],[Profit]]/Table34[[#This Row],[Bets]],"")</f>
        <v>8.2674999999999983</v>
      </c>
    </row>
    <row r="13" spans="2:15" x14ac:dyDescent="0.25">
      <c r="B13" s="136">
        <f>IFERROR(VLOOKUP(ROW()-3,BookieName[#Data],3,FALSE),"")</f>
        <v>0</v>
      </c>
      <c r="C13" s="136">
        <f>SUMIF(BetTable[Bookie],VLOOKUP(ROW()-3,BookieName[#Data],2,FALSE),BetTable[Stake])+SUMIF(BetTable[B2],VLOOKUP(ROW()-3,BookieName[#Data],2,FALSE),BetTable[S2])+SUMIF(BetTable[B3],VLOOKUP(ROW()-3,BookieName[#Data],2,FALSE),BetTable[S3])</f>
        <v>0</v>
      </c>
      <c r="E13" s="136">
        <f>IFERROR(VLOOKUP(ROW()-3,BookieName[#Data],3,FALSE),"")</f>
        <v>0</v>
      </c>
      <c r="F13" s="136">
        <f>SUMIF(LayTable[BackBook],VLOOKUP(ROW()-3,BookieName[#Data],2,FALSE),LayTable[BackStake])+SUMIF(LayTable[LayBook],VLOOKUP(ROW()-3,BookieName[#Data],2,FALSE),LayTable[LayLiability])</f>
        <v>0</v>
      </c>
      <c r="H13" s="136" t="str">
        <f>IFERROR(VLOOKUP(ROW()-3,BookieName[#Data],2,FALSE),"")</f>
        <v>3et</v>
      </c>
      <c r="I13" s="136">
        <f>BookieTurnoverBackBets[[#This Row],[Turnover]]+BookieTurnoverLayBets[[#This Row],[Turnover]]</f>
        <v>0</v>
      </c>
      <c r="K13" t="str">
        <f>BooksAndSports!D11</f>
        <v>Politics</v>
      </c>
      <c r="L13">
        <f>COUNTIF(BetTable[Sport],K13)</f>
        <v>0</v>
      </c>
      <c r="M13">
        <f>SUMIF(BetTable[Sport],K13,BetTable[Stake])</f>
        <v>0</v>
      </c>
      <c r="N13">
        <f>SUMIF(BetTable[Sport],K13,BetTable[Result])</f>
        <v>0</v>
      </c>
      <c r="O13" t="str">
        <f>IFERROR(Table34[[#This Row],[Profit]]/Table34[[#This Row],[Bets]],"")</f>
        <v/>
      </c>
    </row>
    <row r="14" spans="2:15" x14ac:dyDescent="0.25">
      <c r="B14" s="136">
        <f>IFERROR(VLOOKUP(ROW()-3,BookieName[#Data],3,FALSE),"")</f>
        <v>0</v>
      </c>
      <c r="C14" s="136">
        <f>SUMIF(BetTable[Bookie],VLOOKUP(ROW()-3,BookieName[#Data],2,FALSE),BetTable[Stake])+SUMIF(BetTable[B2],VLOOKUP(ROW()-3,BookieName[#Data],2,FALSE),BetTable[S2])+SUMIF(BetTable[B3],VLOOKUP(ROW()-3,BookieName[#Data],2,FALSE),BetTable[S3])</f>
        <v>8885.5</v>
      </c>
      <c r="E14" s="136">
        <f>IFERROR(VLOOKUP(ROW()-3,BookieName[#Data],3,FALSE),"")</f>
        <v>0</v>
      </c>
      <c r="F14" s="136">
        <f>SUMIF(LayTable[BackBook],VLOOKUP(ROW()-3,BookieName[#Data],2,FALSE),LayTable[BackStake])+SUMIF(LayTable[LayBook],VLOOKUP(ROW()-3,BookieName[#Data],2,FALSE),LayTable[LayLiability])</f>
        <v>0</v>
      </c>
      <c r="H14" s="136" t="str">
        <f>IFERROR(VLOOKUP(ROW()-3,BookieName[#Data],2,FALSE),"")</f>
        <v>5Dimes</v>
      </c>
      <c r="I14" s="136">
        <f>BookieTurnoverBackBets[[#This Row],[Turnover]]+BookieTurnoverLayBets[[#This Row],[Turnover]]</f>
        <v>8885.5</v>
      </c>
      <c r="K14" t="str">
        <f>BooksAndSports!D12</f>
        <v>HorseRacing</v>
      </c>
      <c r="L14">
        <f>COUNTIF(BetTable[Sport],K14)</f>
        <v>0</v>
      </c>
      <c r="M14">
        <f>SUMIF(BetTable[Sport],K14,BetTable[Stake])</f>
        <v>0</v>
      </c>
      <c r="N14">
        <f>SUMIF(BetTable[Sport],K14,BetTable[Result])</f>
        <v>0</v>
      </c>
      <c r="O14" t="str">
        <f>IFERROR(Table34[[#This Row],[Profit]]/Table34[[#This Row],[Bets]],"")</f>
        <v/>
      </c>
    </row>
    <row r="15" spans="2:15" x14ac:dyDescent="0.25">
      <c r="B15" s="136">
        <f>IFERROR(VLOOKUP(ROW()-3,BookieName[#Data],3,FALSE),"")</f>
        <v>0</v>
      </c>
      <c r="C15" s="136">
        <f>SUMIF(BetTable[Bookie],VLOOKUP(ROW()-3,BookieName[#Data],2,FALSE),BetTable[Stake])+SUMIF(BetTable[B2],VLOOKUP(ROW()-3,BookieName[#Data],2,FALSE),BetTable[S2])+SUMIF(BetTable[B3],VLOOKUP(ROW()-3,BookieName[#Data],2,FALSE),BetTable[S3])</f>
        <v>44</v>
      </c>
      <c r="E15" s="136">
        <f>IFERROR(VLOOKUP(ROW()-3,BookieName[#Data],3,FALSE),"")</f>
        <v>0</v>
      </c>
      <c r="F15" s="136">
        <f>SUMIF(LayTable[BackBook],VLOOKUP(ROW()-3,BookieName[#Data],2,FALSE),LayTable[BackStake])+SUMIF(LayTable[LayBook],VLOOKUP(ROW()-3,BookieName[#Data],2,FALSE),LayTable[LayLiability])</f>
        <v>0</v>
      </c>
      <c r="H15" s="136" t="str">
        <f>IFERROR(VLOOKUP(ROW()-3,BookieName[#Data],2,FALSE),"")</f>
        <v>888sport</v>
      </c>
      <c r="I15" s="136">
        <f>BookieTurnoverBackBets[[#This Row],[Turnover]]+BookieTurnoverLayBets[[#This Row],[Turnover]]</f>
        <v>44</v>
      </c>
      <c r="K15" t="str">
        <f>BooksAndSports!D13</f>
        <v>NewSport</v>
      </c>
      <c r="L15">
        <f>COUNTIF(BetTable[Sport],K15)</f>
        <v>0</v>
      </c>
      <c r="M15">
        <f>SUMIF(BetTable[Sport],K15,BetTable[Stake])</f>
        <v>0</v>
      </c>
      <c r="N15">
        <f>SUMIF(BetTable[Sport],K15,BetTable[Result])</f>
        <v>0</v>
      </c>
      <c r="O15" t="str">
        <f>IFERROR(Table34[[#This Row],[Profit]]/Table34[[#This Row],[Bets]],"")</f>
        <v/>
      </c>
    </row>
    <row r="16" spans="2:15" x14ac:dyDescent="0.25">
      <c r="B16" s="136">
        <f>IFERROR(VLOOKUP(ROW()-3,BookieName[#Data],3,FALSE),"")</f>
        <v>0</v>
      </c>
      <c r="C16" s="136">
        <f>SUMIF(BetTable[Bookie],VLOOKUP(ROW()-3,BookieName[#Data],2,FALSE),BetTable[Stake])+SUMIF(BetTable[B2],VLOOKUP(ROW()-3,BookieName[#Data],2,FALSE),BetTable[S2])+SUMIF(BetTable[B3],VLOOKUP(ROW()-3,BookieName[#Data],2,FALSE),BetTable[S3])</f>
        <v>0</v>
      </c>
      <c r="E16" s="136">
        <f>IFERROR(VLOOKUP(ROW()-3,BookieName[#Data],3,FALSE),"")</f>
        <v>0</v>
      </c>
      <c r="F16" s="136">
        <f>SUMIF(LayTable[BackBook],VLOOKUP(ROW()-3,BookieName[#Data],2,FALSE),LayTable[BackStake])+SUMIF(LayTable[LayBook],VLOOKUP(ROW()-3,BookieName[#Data],2,FALSE),LayTable[LayLiability])</f>
        <v>0</v>
      </c>
      <c r="H16" s="136" t="str">
        <f>IFERROR(VLOOKUP(ROW()-3,BookieName[#Data],2,FALSE),"")</f>
        <v>AdmiralAt</v>
      </c>
      <c r="I16" s="136">
        <f>BookieTurnoverBackBets[[#This Row],[Turnover]]+BookieTurnoverLayBets[[#This Row],[Turnover]]</f>
        <v>0</v>
      </c>
      <c r="K16" s="154" t="s">
        <v>326</v>
      </c>
      <c r="L16" s="154">
        <f>SUBTOTAL(109,Table34[Bets])</f>
        <v>1611</v>
      </c>
      <c r="M16" s="154">
        <f>SUBTOTAL(109,Table34[Turnover])</f>
        <v>59311.869999999995</v>
      </c>
      <c r="N16" s="154">
        <f>SUBTOTAL(109,Table34[Profit])</f>
        <v>2055.4057500000008</v>
      </c>
      <c r="O16" s="154">
        <f>SUBTOTAL(103,Table34[P/B])</f>
        <v>12</v>
      </c>
    </row>
    <row r="17" spans="2:9" x14ac:dyDescent="0.25">
      <c r="B17" s="136">
        <f>IFERROR(VLOOKUP(ROW()-3,BookieName[#Data],3,FALSE),"")</f>
        <v>0</v>
      </c>
      <c r="C17" s="136">
        <f>SUMIF(BetTable[Bookie],VLOOKUP(ROW()-3,BookieName[#Data],2,FALSE),BetTable[Stake])+SUMIF(BetTable[B2],VLOOKUP(ROW()-3,BookieName[#Data],2,FALSE),BetTable[S2])+SUMIF(BetTable[B3],VLOOKUP(ROW()-3,BookieName[#Data],2,FALSE),BetTable[S3])</f>
        <v>591.09</v>
      </c>
      <c r="E17" s="136">
        <f>IFERROR(VLOOKUP(ROW()-3,BookieName[#Data],3,FALSE),"")</f>
        <v>0</v>
      </c>
      <c r="F17" s="136">
        <f>SUMIF(LayTable[BackBook],VLOOKUP(ROW()-3,BookieName[#Data],2,FALSE),LayTable[BackStake])+SUMIF(LayTable[LayBook],VLOOKUP(ROW()-3,BookieName[#Data],2,FALSE),LayTable[LayLiability])</f>
        <v>0</v>
      </c>
      <c r="H17" s="136" t="str">
        <f>IFERROR(VLOOKUP(ROW()-3,BookieName[#Data],2,FALSE),"")</f>
        <v>Bet365</v>
      </c>
      <c r="I17" s="136">
        <f>BookieTurnoverBackBets[[#This Row],[Turnover]]+BookieTurnoverLayBets[[#This Row],[Turnover]]</f>
        <v>591.09</v>
      </c>
    </row>
    <row r="18" spans="2:9" x14ac:dyDescent="0.25">
      <c r="B18" s="136">
        <f>IFERROR(VLOOKUP(ROW()-3,BookieName[#Data],3,FALSE),"")</f>
        <v>0</v>
      </c>
      <c r="C18" s="136">
        <f>SUMIF(BetTable[Bookie],VLOOKUP(ROW()-3,BookieName[#Data],2,FALSE),BetTable[Stake])+SUMIF(BetTable[B2],VLOOKUP(ROW()-3,BookieName[#Data],2,FALSE),BetTable[S2])+SUMIF(BetTable[B3],VLOOKUP(ROW()-3,BookieName[#Data],2,FALSE),BetTable[S3])</f>
        <v>0</v>
      </c>
      <c r="E18" s="136">
        <f>IFERROR(VLOOKUP(ROW()-3,BookieName[#Data],3,FALSE),"")</f>
        <v>0</v>
      </c>
      <c r="F18" s="136">
        <f>SUMIF(LayTable[BackBook],VLOOKUP(ROW()-3,BookieName[#Data],2,FALSE),LayTable[BackStake])+SUMIF(LayTable[LayBook],VLOOKUP(ROW()-3,BookieName[#Data],2,FALSE),LayTable[LayLiability])</f>
        <v>0</v>
      </c>
      <c r="H18" s="136" t="str">
        <f>IFERROR(VLOOKUP(ROW()-3,BookieName[#Data],2,FALSE),"")</f>
        <v>Bet9ja</v>
      </c>
      <c r="I18" s="136">
        <f>BookieTurnoverBackBets[[#This Row],[Turnover]]+BookieTurnoverLayBets[[#This Row],[Turnover]]</f>
        <v>0</v>
      </c>
    </row>
    <row r="19" spans="2:9" x14ac:dyDescent="0.25">
      <c r="B19" s="136">
        <f>IFERROR(VLOOKUP(ROW()-3,BookieName[#Data],3,FALSE),"")</f>
        <v>0</v>
      </c>
      <c r="C19" s="136">
        <f>SUMIF(BetTable[Bookie],VLOOKUP(ROW()-3,BookieName[#Data],2,FALSE),BetTable[Stake])+SUMIF(BetTable[B2],VLOOKUP(ROW()-3,BookieName[#Data],2,FALSE),BetTable[S2])+SUMIF(BetTable[B3],VLOOKUP(ROW()-3,BookieName[#Data],2,FALSE),BetTable[S3])</f>
        <v>0</v>
      </c>
      <c r="E19" s="136">
        <f>IFERROR(VLOOKUP(ROW()-3,BookieName[#Data],3,FALSE),"")</f>
        <v>0</v>
      </c>
      <c r="F19" s="136">
        <f>SUMIF(LayTable[BackBook],VLOOKUP(ROW()-3,BookieName[#Data],2,FALSE),LayTable[BackStake])+SUMIF(LayTable[LayBook],VLOOKUP(ROW()-3,BookieName[#Data],2,FALSE),LayTable[LayLiability])</f>
        <v>0</v>
      </c>
      <c r="H19" s="136" t="str">
        <f>IFERROR(VLOOKUP(ROW()-3,BookieName[#Data],2,FALSE),"")</f>
        <v>BetAtHome</v>
      </c>
      <c r="I19" s="136">
        <f>BookieTurnoverBackBets[[#This Row],[Turnover]]+BookieTurnoverLayBets[[#This Row],[Turnover]]</f>
        <v>0</v>
      </c>
    </row>
    <row r="20" spans="2:9" x14ac:dyDescent="0.25">
      <c r="B20" s="136">
        <f>IFERROR(VLOOKUP(ROW()-3,BookieName[#Data],3,FALSE),"")</f>
        <v>0</v>
      </c>
      <c r="C20" s="136">
        <f>SUMIF(BetTable[Bookie],VLOOKUP(ROW()-3,BookieName[#Data],2,FALSE),BetTable[Stake])+SUMIF(BetTable[B2],VLOOKUP(ROW()-3,BookieName[#Data],2,FALSE),BetTable[S2])+SUMIF(BetTable[B3],VLOOKUP(ROW()-3,BookieName[#Data],2,FALSE),BetTable[S3])</f>
        <v>0</v>
      </c>
      <c r="E20" s="136">
        <f>IFERROR(VLOOKUP(ROW()-3,BookieName[#Data],3,FALSE),"")</f>
        <v>0</v>
      </c>
      <c r="F20" s="136">
        <f>SUMIF(LayTable[BackBook],VLOOKUP(ROW()-3,BookieName[#Data],2,FALSE),LayTable[BackStake])+SUMIF(LayTable[LayBook],VLOOKUP(ROW()-3,BookieName[#Data],2,FALSE),LayTable[LayLiability])</f>
        <v>0</v>
      </c>
      <c r="H20" s="136" t="str">
        <f>IFERROR(VLOOKUP(ROW()-3,BookieName[#Data],2,FALSE),"")</f>
        <v>BetClic</v>
      </c>
      <c r="I20" s="136">
        <f>BookieTurnoverBackBets[[#This Row],[Turnover]]+BookieTurnoverLayBets[[#This Row],[Turnover]]</f>
        <v>0</v>
      </c>
    </row>
    <row r="21" spans="2:9" x14ac:dyDescent="0.25">
      <c r="B21" s="136">
        <f>IFERROR(VLOOKUP(ROW()-3,BookieName[#Data],3,FALSE),"")</f>
        <v>0</v>
      </c>
      <c r="C21" s="136">
        <f>SUMIF(BetTable[Bookie],VLOOKUP(ROW()-3,BookieName[#Data],2,FALSE),BetTable[Stake])+SUMIF(BetTable[B2],VLOOKUP(ROW()-3,BookieName[#Data],2,FALSE),BetTable[S2])+SUMIF(BetTable[B3],VLOOKUP(ROW()-3,BookieName[#Data],2,FALSE),BetTable[S3])</f>
        <v>0</v>
      </c>
      <c r="E21" s="136">
        <f>IFERROR(VLOOKUP(ROW()-3,BookieName[#Data],3,FALSE),"")</f>
        <v>0</v>
      </c>
      <c r="F21" s="136">
        <f>SUMIF(LayTable[BackBook],VLOOKUP(ROW()-3,BookieName[#Data],2,FALSE),LayTable[BackStake])+SUMIF(LayTable[LayBook],VLOOKUP(ROW()-3,BookieName[#Data],2,FALSE),LayTable[LayLiability])</f>
        <v>0</v>
      </c>
      <c r="H21" s="136" t="str">
        <f>IFERROR(VLOOKUP(ROW()-3,BookieName[#Data],2,FALSE),"")</f>
        <v>BetCRIS</v>
      </c>
      <c r="I21" s="136">
        <f>BookieTurnoverBackBets[[#This Row],[Turnover]]+BookieTurnoverLayBets[[#This Row],[Turnover]]</f>
        <v>0</v>
      </c>
    </row>
    <row r="22" spans="2:9" x14ac:dyDescent="0.25">
      <c r="B22" s="136">
        <f>IFERROR(VLOOKUP(ROW()-3,BookieName[#Data],3,FALSE),"")</f>
        <v>0</v>
      </c>
      <c r="C22" s="136">
        <f>SUMIF(BetTable[Bookie],VLOOKUP(ROW()-3,BookieName[#Data],2,FALSE),BetTable[Stake])+SUMIF(BetTable[B2],VLOOKUP(ROW()-3,BookieName[#Data],2,FALSE),BetTable[S2])+SUMIF(BetTable[B3],VLOOKUP(ROW()-3,BookieName[#Data],2,FALSE),BetTable[S3])</f>
        <v>0</v>
      </c>
      <c r="E22" s="136">
        <f>IFERROR(VLOOKUP(ROW()-3,BookieName[#Data],3,FALSE),"")</f>
        <v>0</v>
      </c>
      <c r="F22" s="136">
        <f>SUMIF(LayTable[BackBook],VLOOKUP(ROW()-3,BookieName[#Data],2,FALSE),LayTable[BackStake])+SUMIF(LayTable[LayBook],VLOOKUP(ROW()-3,BookieName[#Data],2,FALSE),LayTable[LayLiability])</f>
        <v>0</v>
      </c>
      <c r="H22" s="136" t="str">
        <f>IFERROR(VLOOKUP(ROW()-3,BookieName[#Data],2,FALSE),"")</f>
        <v>BetDaq</v>
      </c>
      <c r="I22" s="136">
        <f>BookieTurnoverBackBets[[#This Row],[Turnover]]+BookieTurnoverLayBets[[#This Row],[Turnover]]</f>
        <v>0</v>
      </c>
    </row>
    <row r="23" spans="2:9" x14ac:dyDescent="0.25">
      <c r="B23" s="136">
        <f>IFERROR(VLOOKUP(ROW()-3,BookieName[#Data],3,FALSE),"")</f>
        <v>0</v>
      </c>
      <c r="C23" s="136">
        <f>SUMIF(BetTable[Bookie],VLOOKUP(ROW()-3,BookieName[#Data],2,FALSE),BetTable[Stake])+SUMIF(BetTable[B2],VLOOKUP(ROW()-3,BookieName[#Data],2,FALSE),BetTable[S2])+SUMIF(BetTable[B3],VLOOKUP(ROW()-3,BookieName[#Data],2,FALSE),BetTable[S3])</f>
        <v>44.28</v>
      </c>
      <c r="E23" s="136">
        <f>IFERROR(VLOOKUP(ROW()-3,BookieName[#Data],3,FALSE),"")</f>
        <v>0</v>
      </c>
      <c r="F23" s="136">
        <f>SUMIF(LayTable[BackBook],VLOOKUP(ROW()-3,BookieName[#Data],2,FALSE),LayTable[BackStake])+SUMIF(LayTable[LayBook],VLOOKUP(ROW()-3,BookieName[#Data],2,FALSE),LayTable[LayLiability])</f>
        <v>0</v>
      </c>
      <c r="H23" s="136" t="str">
        <f>IFERROR(VLOOKUP(ROW()-3,BookieName[#Data],2,FALSE),"")</f>
        <v>Betfair</v>
      </c>
      <c r="I23" s="136">
        <f>BookieTurnoverBackBets[[#This Row],[Turnover]]+BookieTurnoverLayBets[[#This Row],[Turnover]]</f>
        <v>44.28</v>
      </c>
    </row>
    <row r="24" spans="2:9" x14ac:dyDescent="0.25">
      <c r="B24" s="136">
        <f>IFERROR(VLOOKUP(ROW()-3,BookieName[#Data],3,FALSE),"")</f>
        <v>0</v>
      </c>
      <c r="C24" s="136">
        <f>SUMIF(BetTable[Bookie],VLOOKUP(ROW()-3,BookieName[#Data],2,FALSE),BetTable[Stake])+SUMIF(BetTable[B2],VLOOKUP(ROW()-3,BookieName[#Data],2,FALSE),BetTable[S2])+SUMIF(BetTable[B3],VLOOKUP(ROW()-3,BookieName[#Data],2,FALSE),BetTable[S3])</f>
        <v>0</v>
      </c>
      <c r="E24" s="136">
        <f>IFERROR(VLOOKUP(ROW()-3,BookieName[#Data],3,FALSE),"")</f>
        <v>0</v>
      </c>
      <c r="F24" s="136">
        <f>SUMIF(LayTable[BackBook],VLOOKUP(ROW()-3,BookieName[#Data],2,FALSE),LayTable[BackStake])+SUMIF(LayTable[LayBook],VLOOKUP(ROW()-3,BookieName[#Data],2,FALSE),LayTable[LayLiability])</f>
        <v>0</v>
      </c>
      <c r="H24" s="136" t="str">
        <f>IFERROR(VLOOKUP(ROW()-3,BookieName[#Data],2,FALSE),"")</f>
        <v>Betfred</v>
      </c>
      <c r="I24" s="136">
        <f>BookieTurnoverBackBets[[#This Row],[Turnover]]+BookieTurnoverLayBets[[#This Row],[Turnover]]</f>
        <v>0</v>
      </c>
    </row>
    <row r="25" spans="2:9" x14ac:dyDescent="0.25">
      <c r="B25" s="136">
        <f>IFERROR(VLOOKUP(ROW()-3,BookieName[#Data],3,FALSE),"")</f>
        <v>0</v>
      </c>
      <c r="C25" s="136">
        <f>SUMIF(BetTable[Bookie],VLOOKUP(ROW()-3,BookieName[#Data],2,FALSE),BetTable[Stake])+SUMIF(BetTable[B2],VLOOKUP(ROW()-3,BookieName[#Data],2,FALSE),BetTable[S2])+SUMIF(BetTable[B3],VLOOKUP(ROW()-3,BookieName[#Data],2,FALSE),BetTable[S3])</f>
        <v>0</v>
      </c>
      <c r="E25" s="136">
        <f>IFERROR(VLOOKUP(ROW()-3,BookieName[#Data],3,FALSE),"")</f>
        <v>0</v>
      </c>
      <c r="F25" s="136">
        <f>SUMIF(LayTable[BackBook],VLOOKUP(ROW()-3,BookieName[#Data],2,FALSE),LayTable[BackStake])+SUMIF(LayTable[LayBook],VLOOKUP(ROW()-3,BookieName[#Data],2,FALSE),LayTable[LayLiability])</f>
        <v>0</v>
      </c>
      <c r="H25" s="136" t="str">
        <f>IFERROR(VLOOKUP(ROW()-3,BookieName[#Data],2,FALSE),"")</f>
        <v>Bethard</v>
      </c>
      <c r="I25" s="136">
        <f>BookieTurnoverBackBets[[#This Row],[Turnover]]+BookieTurnoverLayBets[[#This Row],[Turnover]]</f>
        <v>0</v>
      </c>
    </row>
    <row r="26" spans="2:9" x14ac:dyDescent="0.25">
      <c r="B26" s="136">
        <f>IFERROR(VLOOKUP(ROW()-3,BookieName[#Data],3,FALSE),"")</f>
        <v>0</v>
      </c>
      <c r="C26" s="136">
        <f>SUMIF(BetTable[Bookie],VLOOKUP(ROW()-3,BookieName[#Data],2,FALSE),BetTable[Stake])+SUMIF(BetTable[B2],VLOOKUP(ROW()-3,BookieName[#Data],2,FALSE),BetTable[S2])+SUMIF(BetTable[B3],VLOOKUP(ROW()-3,BookieName[#Data],2,FALSE),BetTable[S3])</f>
        <v>0</v>
      </c>
      <c r="E26" s="136">
        <f>IFERROR(VLOOKUP(ROW()-3,BookieName[#Data],3,FALSE),"")</f>
        <v>0</v>
      </c>
      <c r="F26" s="136">
        <f>SUMIF(LayTable[BackBook],VLOOKUP(ROW()-3,BookieName[#Data],2,FALSE),LayTable[BackStake])+SUMIF(LayTable[LayBook],VLOOKUP(ROW()-3,BookieName[#Data],2,FALSE),LayTable[LayLiability])</f>
        <v>0</v>
      </c>
      <c r="H26" s="136" t="str">
        <f>IFERROR(VLOOKUP(ROW()-3,BookieName[#Data],2,FALSE),"")</f>
        <v>BetOlimp</v>
      </c>
      <c r="I26" s="136">
        <f>BookieTurnoverBackBets[[#This Row],[Turnover]]+BookieTurnoverLayBets[[#This Row],[Turnover]]</f>
        <v>0</v>
      </c>
    </row>
    <row r="27" spans="2:9" x14ac:dyDescent="0.25">
      <c r="B27" s="136">
        <f>IFERROR(VLOOKUP(ROW()-3,BookieName[#Data],3,FALSE),"")</f>
        <v>0</v>
      </c>
      <c r="C27" s="136">
        <f>SUMIF(BetTable[Bookie],VLOOKUP(ROW()-3,BookieName[#Data],2,FALSE),BetTable[Stake])+SUMIF(BetTable[B2],VLOOKUP(ROW()-3,BookieName[#Data],2,FALSE),BetTable[S2])+SUMIF(BetTable[B3],VLOOKUP(ROW()-3,BookieName[#Data],2,FALSE),BetTable[S3])</f>
        <v>0</v>
      </c>
      <c r="E27" s="136">
        <f>IFERROR(VLOOKUP(ROW()-3,BookieName[#Data],3,FALSE),"")</f>
        <v>0</v>
      </c>
      <c r="F27" s="136">
        <f>SUMIF(LayTable[BackBook],VLOOKUP(ROW()-3,BookieName[#Data],2,FALSE),LayTable[BackStake])+SUMIF(LayTable[LayBook],VLOOKUP(ROW()-3,BookieName[#Data],2,FALSE),LayTable[LayLiability])</f>
        <v>0</v>
      </c>
      <c r="H27" s="136" t="str">
        <f>IFERROR(VLOOKUP(ROW()-3,BookieName[#Data],2,FALSE),"")</f>
        <v>BetOnline</v>
      </c>
      <c r="I27" s="136">
        <f>BookieTurnoverBackBets[[#This Row],[Turnover]]+BookieTurnoverLayBets[[#This Row],[Turnover]]</f>
        <v>0</v>
      </c>
    </row>
    <row r="28" spans="2:9" x14ac:dyDescent="0.25">
      <c r="B28" s="136">
        <f>IFERROR(VLOOKUP(ROW()-3,BookieName[#Data],3,FALSE),"")</f>
        <v>0</v>
      </c>
      <c r="C28" s="136">
        <f>SUMIF(BetTable[Bookie],VLOOKUP(ROW()-3,BookieName[#Data],2,FALSE),BetTable[Stake])+SUMIF(BetTable[B2],VLOOKUP(ROW()-3,BookieName[#Data],2,FALSE),BetTable[S2])+SUMIF(BetTable[B3],VLOOKUP(ROW()-3,BookieName[#Data],2,FALSE),BetTable[S3])</f>
        <v>0</v>
      </c>
      <c r="E28" s="136">
        <f>IFERROR(VLOOKUP(ROW()-3,BookieName[#Data],3,FALSE),"")</f>
        <v>0</v>
      </c>
      <c r="F28" s="136">
        <f>SUMIF(LayTable[BackBook],VLOOKUP(ROW()-3,BookieName[#Data],2,FALSE),LayTable[BackStake])+SUMIF(LayTable[LayBook],VLOOKUP(ROW()-3,BookieName[#Data],2,FALSE),LayTable[LayLiability])</f>
        <v>0</v>
      </c>
      <c r="H28" s="136" t="str">
        <f>IFERROR(VLOOKUP(ROW()-3,BookieName[#Data],2,FALSE),"")</f>
        <v>Betrally</v>
      </c>
      <c r="I28" s="136">
        <f>BookieTurnoverBackBets[[#This Row],[Turnover]]+BookieTurnoverLayBets[[#This Row],[Turnover]]</f>
        <v>0</v>
      </c>
    </row>
    <row r="29" spans="2:9" x14ac:dyDescent="0.25">
      <c r="B29" s="136">
        <f>IFERROR(VLOOKUP(ROW()-3,BookieName[#Data],3,FALSE),"")</f>
        <v>0</v>
      </c>
      <c r="C29" s="136">
        <f>SUMIF(BetTable[Bookie],VLOOKUP(ROW()-3,BookieName[#Data],2,FALSE),BetTable[Stake])+SUMIF(BetTable[B2],VLOOKUP(ROW()-3,BookieName[#Data],2,FALSE),BetTable[S2])+SUMIF(BetTable[B3],VLOOKUP(ROW()-3,BookieName[#Data],2,FALSE),BetTable[S3])</f>
        <v>0</v>
      </c>
      <c r="E29" s="136">
        <f>IFERROR(VLOOKUP(ROW()-3,BookieName[#Data],3,FALSE),"")</f>
        <v>0</v>
      </c>
      <c r="F29" s="136">
        <f>SUMIF(LayTable[BackBook],VLOOKUP(ROW()-3,BookieName[#Data],2,FALSE),LayTable[BackStake])+SUMIF(LayTable[LayBook],VLOOKUP(ROW()-3,BookieName[#Data],2,FALSE),LayTable[LayLiability])</f>
        <v>0</v>
      </c>
      <c r="H29" s="136" t="str">
        <f>IFERROR(VLOOKUP(ROW()-3,BookieName[#Data],2,FALSE),"")</f>
        <v>Bets10</v>
      </c>
      <c r="I29" s="136">
        <f>BookieTurnoverBackBets[[#This Row],[Turnover]]+BookieTurnoverLayBets[[#This Row],[Turnover]]</f>
        <v>0</v>
      </c>
    </row>
    <row r="30" spans="2:9" x14ac:dyDescent="0.25">
      <c r="B30" s="136">
        <f>IFERROR(VLOOKUP(ROW()-3,BookieName[#Data],3,FALSE),"")</f>
        <v>0</v>
      </c>
      <c r="C30" s="136">
        <f>SUMIF(BetTable[Bookie],VLOOKUP(ROW()-3,BookieName[#Data],2,FALSE),BetTable[Stake])+SUMIF(BetTable[B2],VLOOKUP(ROW()-3,BookieName[#Data],2,FALSE),BetTable[S2])+SUMIF(BetTable[B3],VLOOKUP(ROW()-3,BookieName[#Data],2,FALSE),BetTable[S3])</f>
        <v>0</v>
      </c>
      <c r="E30" s="136">
        <f>IFERROR(VLOOKUP(ROW()-3,BookieName[#Data],3,FALSE),"")</f>
        <v>0</v>
      </c>
      <c r="F30" s="136">
        <f>SUMIF(LayTable[BackBook],VLOOKUP(ROW()-3,BookieName[#Data],2,FALSE),LayTable[BackStake])+SUMIF(LayTable[LayBook],VLOOKUP(ROW()-3,BookieName[#Data],2,FALSE),LayTable[LayLiability])</f>
        <v>0</v>
      </c>
      <c r="H30" s="136" t="str">
        <f>IFERROR(VLOOKUP(ROW()-3,BookieName[#Data],2,FALSE),"")</f>
        <v>BetSafe</v>
      </c>
      <c r="I30" s="136">
        <f>BookieTurnoverBackBets[[#This Row],[Turnover]]+BookieTurnoverLayBets[[#This Row],[Turnover]]</f>
        <v>0</v>
      </c>
    </row>
    <row r="31" spans="2:9" x14ac:dyDescent="0.25">
      <c r="B31" s="136">
        <f>IFERROR(VLOOKUP(ROW()-3,BookieName[#Data],3,FALSE),"")</f>
        <v>0</v>
      </c>
      <c r="C31" s="136">
        <f>SUMIF(BetTable[Bookie],VLOOKUP(ROW()-3,BookieName[#Data],2,FALSE),BetTable[Stake])+SUMIF(BetTable[B2],VLOOKUP(ROW()-3,BookieName[#Data],2,FALSE),BetTable[S2])+SUMIF(BetTable[B3],VLOOKUP(ROW()-3,BookieName[#Data],2,FALSE),BetTable[S3])</f>
        <v>0</v>
      </c>
      <c r="E31" s="136">
        <f>IFERROR(VLOOKUP(ROW()-3,BookieName[#Data],3,FALSE),"")</f>
        <v>0</v>
      </c>
      <c r="F31" s="136">
        <f>SUMIF(LayTable[BackBook],VLOOKUP(ROW()-3,BookieName[#Data],2,FALSE),LayTable[BackStake])+SUMIF(LayTable[LayBook],VLOOKUP(ROW()-3,BookieName[#Data],2,FALSE),LayTable[LayLiability])</f>
        <v>0</v>
      </c>
      <c r="H31" s="136" t="str">
        <f>IFERROR(VLOOKUP(ROW()-3,BookieName[#Data],2,FALSE),"")</f>
        <v>Betshop</v>
      </c>
      <c r="I31" s="136">
        <f>BookieTurnoverBackBets[[#This Row],[Turnover]]+BookieTurnoverLayBets[[#This Row],[Turnover]]</f>
        <v>0</v>
      </c>
    </row>
    <row r="32" spans="2:9" x14ac:dyDescent="0.25">
      <c r="B32" s="136">
        <f>IFERROR(VLOOKUP(ROW()-3,BookieName[#Data],3,FALSE),"")</f>
        <v>0</v>
      </c>
      <c r="C32" s="136">
        <f>SUMIF(BetTable[Bookie],VLOOKUP(ROW()-3,BookieName[#Data],2,FALSE),BetTable[Stake])+SUMIF(BetTable[B2],VLOOKUP(ROW()-3,BookieName[#Data],2,FALSE),BetTable[S2])+SUMIF(BetTable[B3],VLOOKUP(ROW()-3,BookieName[#Data],2,FALSE),BetTable[S3])</f>
        <v>0</v>
      </c>
      <c r="E32" s="136">
        <f>IFERROR(VLOOKUP(ROW()-3,BookieName[#Data],3,FALSE),"")</f>
        <v>0</v>
      </c>
      <c r="F32" s="136">
        <f>SUMIF(LayTable[BackBook],VLOOKUP(ROW()-3,BookieName[#Data],2,FALSE),LayTable[BackStake])+SUMIF(LayTable[LayBook],VLOOKUP(ROW()-3,BookieName[#Data],2,FALSE),LayTable[LayLiability])</f>
        <v>0</v>
      </c>
      <c r="H32" s="136" t="str">
        <f>IFERROR(VLOOKUP(ROW()-3,BookieName[#Data],2,FALSE),"")</f>
        <v>Betsson</v>
      </c>
      <c r="I32" s="136">
        <f>BookieTurnoverBackBets[[#This Row],[Turnover]]+BookieTurnoverLayBets[[#This Row],[Turnover]]</f>
        <v>0</v>
      </c>
    </row>
    <row r="33" spans="2:9" x14ac:dyDescent="0.25">
      <c r="B33" s="136">
        <f>IFERROR(VLOOKUP(ROW()-3,BookieName[#Data],3,FALSE),"")</f>
        <v>0</v>
      </c>
      <c r="C33" s="136">
        <f>SUMIF(BetTable[Bookie],VLOOKUP(ROW()-3,BookieName[#Data],2,FALSE),BetTable[Stake])+SUMIF(BetTable[B2],VLOOKUP(ROW()-3,BookieName[#Data],2,FALSE),BetTable[S2])+SUMIF(BetTable[B3],VLOOKUP(ROW()-3,BookieName[#Data],2,FALSE),BetTable[S3])</f>
        <v>0</v>
      </c>
      <c r="E33" s="136">
        <f>IFERROR(VLOOKUP(ROW()-3,BookieName[#Data],3,FALSE),"")</f>
        <v>0</v>
      </c>
      <c r="F33" s="136">
        <f>SUMIF(LayTable[BackBook],VLOOKUP(ROW()-3,BookieName[#Data],2,FALSE),LayTable[BackStake])+SUMIF(LayTable[LayBook],VLOOKUP(ROW()-3,BookieName[#Data],2,FALSE),LayTable[LayLiability])</f>
        <v>0</v>
      </c>
      <c r="H33" s="136" t="str">
        <f>IFERROR(VLOOKUP(ROW()-3,BookieName[#Data],2,FALSE),"")</f>
        <v>Betstar</v>
      </c>
      <c r="I33" s="136">
        <f>BookieTurnoverBackBets[[#This Row],[Turnover]]+BookieTurnoverLayBets[[#This Row],[Turnover]]</f>
        <v>0</v>
      </c>
    </row>
    <row r="34" spans="2:9" x14ac:dyDescent="0.25">
      <c r="B34" s="136">
        <f>IFERROR(VLOOKUP(ROW()-3,BookieName[#Data],3,FALSE),"")</f>
        <v>0</v>
      </c>
      <c r="C34" s="136">
        <f>SUMIF(BetTable[Bookie],VLOOKUP(ROW()-3,BookieName[#Data],2,FALSE),BetTable[Stake])+SUMIF(BetTable[B2],VLOOKUP(ROW()-3,BookieName[#Data],2,FALSE),BetTable[S2])+SUMIF(BetTable[B3],VLOOKUP(ROW()-3,BookieName[#Data],2,FALSE),BetTable[S3])</f>
        <v>0</v>
      </c>
      <c r="E34" s="136">
        <f>IFERROR(VLOOKUP(ROW()-3,BookieName[#Data],3,FALSE),"")</f>
        <v>0</v>
      </c>
      <c r="F34" s="136">
        <f>SUMIF(LayTable[BackBook],VLOOKUP(ROW()-3,BookieName[#Data],2,FALSE),LayTable[BackStake])+SUMIF(LayTable[LayBook],VLOOKUP(ROW()-3,BookieName[#Data],2,FALSE),LayTable[LayLiability])</f>
        <v>0</v>
      </c>
      <c r="H34" s="136" t="str">
        <f>IFERROR(VLOOKUP(ROW()-3,BookieName[#Data],2,FALSE),"")</f>
        <v>BookmakerEu</v>
      </c>
      <c r="I34" s="136">
        <f>BookieTurnoverBackBets[[#This Row],[Turnover]]+BookieTurnoverLayBets[[#This Row],[Turnover]]</f>
        <v>0</v>
      </c>
    </row>
    <row r="35" spans="2:9" x14ac:dyDescent="0.25">
      <c r="B35" s="136">
        <f>IFERROR(VLOOKUP(ROW()-3,BookieName[#Data],3,FALSE),"")</f>
        <v>0</v>
      </c>
      <c r="C35" s="136">
        <f>SUMIF(BetTable[Bookie],VLOOKUP(ROW()-3,BookieName[#Data],2,FALSE),BetTable[Stake])+SUMIF(BetTable[B2],VLOOKUP(ROW()-3,BookieName[#Data],2,FALSE),BetTable[S2])+SUMIF(BetTable[B3],VLOOKUP(ROW()-3,BookieName[#Data],2,FALSE),BetTable[S3])</f>
        <v>0</v>
      </c>
      <c r="E35" s="136">
        <f>IFERROR(VLOOKUP(ROW()-3,BookieName[#Data],3,FALSE),"")</f>
        <v>0</v>
      </c>
      <c r="F35" s="136">
        <f>SUMIF(LayTable[BackBook],VLOOKUP(ROW()-3,BookieName[#Data],2,FALSE),LayTable[BackStake])+SUMIF(LayTable[LayBook],VLOOKUP(ROW()-3,BookieName[#Data],2,FALSE),LayTable[LayLiability])</f>
        <v>0</v>
      </c>
      <c r="H35" s="136" t="str">
        <f>IFERROR(VLOOKUP(ROW()-3,BookieName[#Data],2,FALSE),"")</f>
        <v>BoyleSports</v>
      </c>
      <c r="I35" s="136">
        <f>BookieTurnoverBackBets[[#This Row],[Turnover]]+BookieTurnoverLayBets[[#This Row],[Turnover]]</f>
        <v>0</v>
      </c>
    </row>
    <row r="36" spans="2:9" x14ac:dyDescent="0.25">
      <c r="B36" s="136">
        <f>IFERROR(VLOOKUP(ROW()-3,BookieName[#Data],3,FALSE),"")</f>
        <v>0</v>
      </c>
      <c r="C36" s="136">
        <f>SUMIF(BetTable[Bookie],VLOOKUP(ROW()-3,BookieName[#Data],2,FALSE),BetTable[Stake])+SUMIF(BetTable[B2],VLOOKUP(ROW()-3,BookieName[#Data],2,FALSE),BetTable[S2])+SUMIF(BetTable[B3],VLOOKUP(ROW()-3,BookieName[#Data],2,FALSE),BetTable[S3])</f>
        <v>0</v>
      </c>
      <c r="E36" s="136">
        <f>IFERROR(VLOOKUP(ROW()-3,BookieName[#Data],3,FALSE),"")</f>
        <v>0</v>
      </c>
      <c r="F36" s="136">
        <f>SUMIF(LayTable[BackBook],VLOOKUP(ROW()-3,BookieName[#Data],2,FALSE),LayTable[BackStake])+SUMIF(LayTable[LayBook],VLOOKUP(ROW()-3,BookieName[#Data],2,FALSE),LayTable[LayLiability])</f>
        <v>0</v>
      </c>
      <c r="H36" s="136" t="str">
        <f>IFERROR(VLOOKUP(ROW()-3,BookieName[#Data],2,FALSE),"")</f>
        <v>BWin</v>
      </c>
      <c r="I36" s="136">
        <f>BookieTurnoverBackBets[[#This Row],[Turnover]]+BookieTurnoverLayBets[[#This Row],[Turnover]]</f>
        <v>0</v>
      </c>
    </row>
    <row r="37" spans="2:9" x14ac:dyDescent="0.25">
      <c r="B37" s="136">
        <f>IFERROR(VLOOKUP(ROW()-3,BookieName[#Data],3,FALSE),"")</f>
        <v>0</v>
      </c>
      <c r="C37" s="136">
        <f>SUMIF(BetTable[Bookie],VLOOKUP(ROW()-3,BookieName[#Data],2,FALSE),BetTable[Stake])+SUMIF(BetTable[B2],VLOOKUP(ROW()-3,BookieName[#Data],2,FALSE),BetTable[S2])+SUMIF(BetTable[B3],VLOOKUP(ROW()-3,BookieName[#Data],2,FALSE),BetTable[S3])</f>
        <v>0</v>
      </c>
      <c r="E37" s="136">
        <f>IFERROR(VLOOKUP(ROW()-3,BookieName[#Data],3,FALSE),"")</f>
        <v>0</v>
      </c>
      <c r="F37" s="136">
        <f>SUMIF(LayTable[BackBook],VLOOKUP(ROW()-3,BookieName[#Data],2,FALSE),LayTable[BackStake])+SUMIF(LayTable[LayBook],VLOOKUP(ROW()-3,BookieName[#Data],2,FALSE),LayTable[LayLiability])</f>
        <v>0</v>
      </c>
      <c r="H37" s="136" t="str">
        <f>IFERROR(VLOOKUP(ROW()-3,BookieName[#Data],2,FALSE),"")</f>
        <v>Cashpoint</v>
      </c>
      <c r="I37" s="136">
        <f>BookieTurnoverBackBets[[#This Row],[Turnover]]+BookieTurnoverLayBets[[#This Row],[Turnover]]</f>
        <v>0</v>
      </c>
    </row>
    <row r="38" spans="2:9" x14ac:dyDescent="0.25">
      <c r="B38" s="136">
        <f>IFERROR(VLOOKUP(ROW()-3,BookieName[#Data],3,FALSE),"")</f>
        <v>0</v>
      </c>
      <c r="C38" s="136">
        <f>SUMIF(BetTable[Bookie],VLOOKUP(ROW()-3,BookieName[#Data],2,FALSE),BetTable[Stake])+SUMIF(BetTable[B2],VLOOKUP(ROW()-3,BookieName[#Data],2,FALSE),BetTable[S2])+SUMIF(BetTable[B3],VLOOKUP(ROW()-3,BookieName[#Data],2,FALSE),BetTable[S3])</f>
        <v>0</v>
      </c>
      <c r="E38" s="136">
        <f>IFERROR(VLOOKUP(ROW()-3,BookieName[#Data],3,FALSE),"")</f>
        <v>0</v>
      </c>
      <c r="F38" s="136">
        <f>SUMIF(LayTable[BackBook],VLOOKUP(ROW()-3,BookieName[#Data],2,FALSE),LayTable[BackStake])+SUMIF(LayTable[LayBook],VLOOKUP(ROW()-3,BookieName[#Data],2,FALSE),LayTable[LayLiability])</f>
        <v>0</v>
      </c>
      <c r="H38" s="136" t="str">
        <f>IFERROR(VLOOKUP(ROW()-3,BookieName[#Data],2,FALSE),"")</f>
        <v>Centrebet</v>
      </c>
      <c r="I38" s="136">
        <f>BookieTurnoverBackBets[[#This Row],[Turnover]]+BookieTurnoverLayBets[[#This Row],[Turnover]]</f>
        <v>0</v>
      </c>
    </row>
    <row r="39" spans="2:9" x14ac:dyDescent="0.25">
      <c r="B39" s="136">
        <f>IFERROR(VLOOKUP(ROW()-3,BookieName[#Data],3,FALSE),"")</f>
        <v>0</v>
      </c>
      <c r="C39" s="136">
        <f>SUMIF(BetTable[Bookie],VLOOKUP(ROW()-3,BookieName[#Data],2,FALSE),BetTable[Stake])+SUMIF(BetTable[B2],VLOOKUP(ROW()-3,BookieName[#Data],2,FALSE),BetTable[S2])+SUMIF(BetTable[B3],VLOOKUP(ROW()-3,BookieName[#Data],2,FALSE),BetTable[S3])</f>
        <v>0</v>
      </c>
      <c r="E39" s="136">
        <f>IFERROR(VLOOKUP(ROW()-3,BookieName[#Data],3,FALSE),"")</f>
        <v>0</v>
      </c>
      <c r="F39" s="136">
        <f>SUMIF(LayTable[BackBook],VLOOKUP(ROW()-3,BookieName[#Data],2,FALSE),LayTable[BackStake])+SUMIF(LayTable[LayBook],VLOOKUP(ROW()-3,BookieName[#Data],2,FALSE),LayTable[LayLiability])</f>
        <v>0</v>
      </c>
      <c r="H39" s="136" t="str">
        <f>IFERROR(VLOOKUP(ROW()-3,BookieName[#Data],2,FALSE),"")</f>
        <v>Comeon</v>
      </c>
      <c r="I39" s="136">
        <f>BookieTurnoverBackBets[[#This Row],[Turnover]]+BookieTurnoverLayBets[[#This Row],[Turnover]]</f>
        <v>0</v>
      </c>
    </row>
    <row r="40" spans="2:9" x14ac:dyDescent="0.25">
      <c r="B40" s="136">
        <f>IFERROR(VLOOKUP(ROW()-3,BookieName[#Data],3,FALSE),"")</f>
        <v>0</v>
      </c>
      <c r="C40" s="136">
        <f>SUMIF(BetTable[Bookie],VLOOKUP(ROW()-3,BookieName[#Data],2,FALSE),BetTable[Stake])+SUMIF(BetTable[B2],VLOOKUP(ROW()-3,BookieName[#Data],2,FALSE),BetTable[S2])+SUMIF(BetTable[B3],VLOOKUP(ROW()-3,BookieName[#Data],2,FALSE),BetTable[S3])</f>
        <v>0</v>
      </c>
      <c r="E40" s="136">
        <f>IFERROR(VLOOKUP(ROW()-3,BookieName[#Data],3,FALSE),"")</f>
        <v>0</v>
      </c>
      <c r="F40" s="136">
        <f>SUMIF(LayTable[BackBook],VLOOKUP(ROW()-3,BookieName[#Data],2,FALSE),LayTable[BackStake])+SUMIF(LayTable[LayBook],VLOOKUP(ROW()-3,BookieName[#Data],2,FALSE),LayTable[LayLiability])</f>
        <v>0</v>
      </c>
      <c r="H40" s="136" t="str">
        <f>IFERROR(VLOOKUP(ROW()-3,BookieName[#Data],2,FALSE),"")</f>
        <v>Coral</v>
      </c>
      <c r="I40" s="136">
        <f>BookieTurnoverBackBets[[#This Row],[Turnover]]+BookieTurnoverLayBets[[#This Row],[Turnover]]</f>
        <v>0</v>
      </c>
    </row>
    <row r="41" spans="2:9" x14ac:dyDescent="0.25">
      <c r="B41" s="136">
        <f>IFERROR(VLOOKUP(ROW()-3,BookieName[#Data],3,FALSE),"")</f>
        <v>0</v>
      </c>
      <c r="C41" s="136">
        <f>SUMIF(BetTable[Bookie],VLOOKUP(ROW()-3,BookieName[#Data],2,FALSE),BetTable[Stake])+SUMIF(BetTable[B2],VLOOKUP(ROW()-3,BookieName[#Data],2,FALSE),BetTable[S2])+SUMIF(BetTable[B3],VLOOKUP(ROW()-3,BookieName[#Data],2,FALSE),BetTable[S3])</f>
        <v>3501</v>
      </c>
      <c r="E41" s="136">
        <f>IFERROR(VLOOKUP(ROW()-3,BookieName[#Data],3,FALSE),"")</f>
        <v>0</v>
      </c>
      <c r="F41" s="136">
        <f>SUMIF(LayTable[BackBook],VLOOKUP(ROW()-3,BookieName[#Data],2,FALSE),LayTable[BackStake])+SUMIF(LayTable[LayBook],VLOOKUP(ROW()-3,BookieName[#Data],2,FALSE),LayTable[LayLiability])</f>
        <v>0</v>
      </c>
      <c r="H41" s="136" t="str">
        <f>IFERROR(VLOOKUP(ROW()-3,BookieName[#Data],2,FALSE),"")</f>
        <v>Dafabet</v>
      </c>
      <c r="I41" s="136">
        <f>BookieTurnoverBackBets[[#This Row],[Turnover]]+BookieTurnoverLayBets[[#This Row],[Turnover]]</f>
        <v>3501</v>
      </c>
    </row>
    <row r="42" spans="2:9" x14ac:dyDescent="0.25">
      <c r="B42" s="136">
        <f>IFERROR(VLOOKUP(ROW()-3,BookieName[#Data],3,FALSE),"")</f>
        <v>0</v>
      </c>
      <c r="C42" s="136">
        <f>SUMIF(BetTable[Bookie],VLOOKUP(ROW()-3,BookieName[#Data],2,FALSE),BetTable[Stake])+SUMIF(BetTable[B2],VLOOKUP(ROW()-3,BookieName[#Data],2,FALSE),BetTable[S2])+SUMIF(BetTable[B3],VLOOKUP(ROW()-3,BookieName[#Data],2,FALSE),BetTable[S3])</f>
        <v>0</v>
      </c>
      <c r="E42" s="136">
        <f>IFERROR(VLOOKUP(ROW()-3,BookieName[#Data],3,FALSE),"")</f>
        <v>0</v>
      </c>
      <c r="F42" s="136">
        <f>SUMIF(LayTable[BackBook],VLOOKUP(ROW()-3,BookieName[#Data],2,FALSE),LayTable[BackStake])+SUMIF(LayTable[LayBook],VLOOKUP(ROW()-3,BookieName[#Data],2,FALSE),LayTable[LayLiability])</f>
        <v>0</v>
      </c>
      <c r="H42" s="136" t="str">
        <f>IFERROR(VLOOKUP(ROW()-3,BookieName[#Data],2,FALSE),"")</f>
        <v>DanskeSpil</v>
      </c>
      <c r="I42" s="136">
        <f>BookieTurnoverBackBets[[#This Row],[Turnover]]+BookieTurnoverLayBets[[#This Row],[Turnover]]</f>
        <v>0</v>
      </c>
    </row>
    <row r="43" spans="2:9" x14ac:dyDescent="0.25">
      <c r="B43" s="136">
        <f>IFERROR(VLOOKUP(ROW()-3,BookieName[#Data],3,FALSE),"")</f>
        <v>0</v>
      </c>
      <c r="C43" s="136">
        <f>SUMIF(BetTable[Bookie],VLOOKUP(ROW()-3,BookieName[#Data],2,FALSE),BetTable[Stake])+SUMIF(BetTable[B2],VLOOKUP(ROW()-3,BookieName[#Data],2,FALSE),BetTable[S2])+SUMIF(BetTable[B3],VLOOKUP(ROW()-3,BookieName[#Data],2,FALSE),BetTable[S3])</f>
        <v>0</v>
      </c>
      <c r="E43" s="136">
        <f>IFERROR(VLOOKUP(ROW()-3,BookieName[#Data],3,FALSE),"")</f>
        <v>0</v>
      </c>
      <c r="F43" s="136">
        <f>SUMIF(LayTable[BackBook],VLOOKUP(ROW()-3,BookieName[#Data],2,FALSE),LayTable[BackStake])+SUMIF(LayTable[LayBook],VLOOKUP(ROW()-3,BookieName[#Data],2,FALSE),LayTable[LayLiability])</f>
        <v>0</v>
      </c>
      <c r="H43" s="136" t="str">
        <f>IFERROR(VLOOKUP(ROW()-3,BookieName[#Data],2,FALSE),"")</f>
        <v>DiamondSB</v>
      </c>
      <c r="I43" s="136">
        <f>BookieTurnoverBackBets[[#This Row],[Turnover]]+BookieTurnoverLayBets[[#This Row],[Turnover]]</f>
        <v>0</v>
      </c>
    </row>
    <row r="44" spans="2:9" x14ac:dyDescent="0.25">
      <c r="B44" s="136">
        <f>IFERROR(VLOOKUP(ROW()-3,BookieName[#Data],3,FALSE),"")</f>
        <v>0</v>
      </c>
      <c r="C44" s="136">
        <f>SUMIF(BetTable[Bookie],VLOOKUP(ROW()-3,BookieName[#Data],2,FALSE),BetTable[Stake])+SUMIF(BetTable[B2],VLOOKUP(ROW()-3,BookieName[#Data],2,FALSE),BetTable[S2])+SUMIF(BetTable[B3],VLOOKUP(ROW()-3,BookieName[#Data],2,FALSE),BetTable[S3])</f>
        <v>0</v>
      </c>
      <c r="E44" s="136">
        <f>IFERROR(VLOOKUP(ROW()-3,BookieName[#Data],3,FALSE),"")</f>
        <v>0</v>
      </c>
      <c r="F44" s="136">
        <f>SUMIF(LayTable[BackBook],VLOOKUP(ROW()-3,BookieName[#Data],2,FALSE),LayTable[BackStake])+SUMIF(LayTable[LayBook],VLOOKUP(ROW()-3,BookieName[#Data],2,FALSE),LayTable[LayLiability])</f>
        <v>0</v>
      </c>
      <c r="H44" s="136" t="str">
        <f>IFERROR(VLOOKUP(ROW()-3,BookieName[#Data],2,FALSE),"")</f>
        <v>Etoto</v>
      </c>
      <c r="I44" s="136">
        <f>BookieTurnoverBackBets[[#This Row],[Turnover]]+BookieTurnoverLayBets[[#This Row],[Turnover]]</f>
        <v>0</v>
      </c>
    </row>
    <row r="45" spans="2:9" x14ac:dyDescent="0.25">
      <c r="B45" s="136">
        <f>IFERROR(VLOOKUP(ROW()-3,BookieName[#Data],3,FALSE),"")</f>
        <v>0</v>
      </c>
      <c r="C45" s="136">
        <f>SUMIF(BetTable[Bookie],VLOOKUP(ROW()-3,BookieName[#Data],2,FALSE),BetTable[Stake])+SUMIF(BetTable[B2],VLOOKUP(ROW()-3,BookieName[#Data],2,FALSE),BetTable[S2])+SUMIF(BetTable[B3],VLOOKUP(ROW()-3,BookieName[#Data],2,FALSE),BetTable[S3])</f>
        <v>0</v>
      </c>
      <c r="E45" s="136">
        <f>IFERROR(VLOOKUP(ROW()-3,BookieName[#Data],3,FALSE),"")</f>
        <v>0</v>
      </c>
      <c r="F45" s="136">
        <f>SUMIF(LayTable[BackBook],VLOOKUP(ROW()-3,BookieName[#Data],2,FALSE),LayTable[BackStake])+SUMIF(LayTable[LayBook],VLOOKUP(ROW()-3,BookieName[#Data],2,FALSE),LayTable[LayLiability])</f>
        <v>0</v>
      </c>
      <c r="H45" s="136" t="str">
        <f>IFERROR(VLOOKUP(ROW()-3,BookieName[#Data],2,FALSE),"")</f>
        <v>Expekt</v>
      </c>
      <c r="I45" s="136">
        <f>BookieTurnoverBackBets[[#This Row],[Turnover]]+BookieTurnoverLayBets[[#This Row],[Turnover]]</f>
        <v>0</v>
      </c>
    </row>
    <row r="46" spans="2:9" x14ac:dyDescent="0.25">
      <c r="B46" s="136">
        <f>IFERROR(VLOOKUP(ROW()-3,BookieName[#Data],3,FALSE),"")</f>
        <v>0</v>
      </c>
      <c r="C46" s="136">
        <f>SUMIF(BetTable[Bookie],VLOOKUP(ROW()-3,BookieName[#Data],2,FALSE),BetTable[Stake])+SUMIF(BetTable[B2],VLOOKUP(ROW()-3,BookieName[#Data],2,FALSE),BetTable[S2])+SUMIF(BetTable[B3],VLOOKUP(ROW()-3,BookieName[#Data],2,FALSE),BetTable[S3])</f>
        <v>0</v>
      </c>
      <c r="E46" s="136">
        <f>IFERROR(VLOOKUP(ROW()-3,BookieName[#Data],3,FALSE),"")</f>
        <v>0</v>
      </c>
      <c r="F46" s="136">
        <f>SUMIF(LayTable[BackBook],VLOOKUP(ROW()-3,BookieName[#Data],2,FALSE),LayTable[BackStake])+SUMIF(LayTable[LayBook],VLOOKUP(ROW()-3,BookieName[#Data],2,FALSE),LayTable[LayLiability])</f>
        <v>0</v>
      </c>
      <c r="H46" s="136" t="str">
        <f>IFERROR(VLOOKUP(ROW()-3,BookieName[#Data],2,FALSE),"")</f>
        <v>Fun88</v>
      </c>
      <c r="I46" s="136">
        <f>BookieTurnoverBackBets[[#This Row],[Turnover]]+BookieTurnoverLayBets[[#This Row],[Turnover]]</f>
        <v>0</v>
      </c>
    </row>
    <row r="47" spans="2:9" x14ac:dyDescent="0.25">
      <c r="B47" s="136">
        <f>IFERROR(VLOOKUP(ROW()-3,BookieName[#Data],3,FALSE),"")</f>
        <v>0</v>
      </c>
      <c r="C47" s="136">
        <f>SUMIF(BetTable[Bookie],VLOOKUP(ROW()-3,BookieName[#Data],2,FALSE),BetTable[Stake])+SUMIF(BetTable[B2],VLOOKUP(ROW()-3,BookieName[#Data],2,FALSE),BetTable[S2])+SUMIF(BetTable[B3],VLOOKUP(ROW()-3,BookieName[#Data],2,FALSE),BetTable[S3])</f>
        <v>0</v>
      </c>
      <c r="E47" s="136">
        <f>IFERROR(VLOOKUP(ROW()-3,BookieName[#Data],3,FALSE),"")</f>
        <v>0</v>
      </c>
      <c r="F47" s="136">
        <f>SUMIF(LayTable[BackBook],VLOOKUP(ROW()-3,BookieName[#Data],2,FALSE),LayTable[BackStake])+SUMIF(LayTable[LayBook],VLOOKUP(ROW()-3,BookieName[#Data],2,FALSE),LayTable[LayLiability])</f>
        <v>0</v>
      </c>
      <c r="H47" s="136" t="str">
        <f>IFERROR(VLOOKUP(ROW()-3,BookieName[#Data],2,FALSE),"")</f>
        <v>Fun88UK</v>
      </c>
      <c r="I47" s="136">
        <f>BookieTurnoverBackBets[[#This Row],[Turnover]]+BookieTurnoverLayBets[[#This Row],[Turnover]]</f>
        <v>0</v>
      </c>
    </row>
    <row r="48" spans="2:9" x14ac:dyDescent="0.25">
      <c r="B48" s="136">
        <f>IFERROR(VLOOKUP(ROW()-3,BookieName[#Data],3,FALSE),"")</f>
        <v>0</v>
      </c>
      <c r="C48" s="136">
        <f>SUMIF(BetTable[Bookie],VLOOKUP(ROW()-3,BookieName[#Data],2,FALSE),BetTable[Stake])+SUMIF(BetTable[B2],VLOOKUP(ROW()-3,BookieName[#Data],2,FALSE),BetTable[S2])+SUMIF(BetTable[B3],VLOOKUP(ROW()-3,BookieName[#Data],2,FALSE),BetTable[S3])</f>
        <v>0</v>
      </c>
      <c r="E48" s="136">
        <f>IFERROR(VLOOKUP(ROW()-3,BookieName[#Data],3,FALSE),"")</f>
        <v>0</v>
      </c>
      <c r="F48" s="136">
        <f>SUMIF(LayTable[BackBook],VLOOKUP(ROW()-3,BookieName[#Data],2,FALSE),LayTable[BackStake])+SUMIF(LayTable[LayBook],VLOOKUP(ROW()-3,BookieName[#Data],2,FALSE),LayTable[LayLiability])</f>
        <v>0</v>
      </c>
      <c r="H48" s="136" t="str">
        <f>IFERROR(VLOOKUP(ROW()-3,BookieName[#Data],2,FALSE),"")</f>
        <v>Gamebookers</v>
      </c>
      <c r="I48" s="136">
        <f>BookieTurnoverBackBets[[#This Row],[Turnover]]+BookieTurnoverLayBets[[#This Row],[Turnover]]</f>
        <v>0</v>
      </c>
    </row>
    <row r="49" spans="2:9" x14ac:dyDescent="0.25">
      <c r="B49" s="136">
        <f>IFERROR(VLOOKUP(ROW()-3,BookieName[#Data],3,FALSE),"")</f>
        <v>0</v>
      </c>
      <c r="C49" s="136">
        <f>SUMIF(BetTable[Bookie],VLOOKUP(ROW()-3,BookieName[#Data],2,FALSE),BetTable[Stake])+SUMIF(BetTable[B2],VLOOKUP(ROW()-3,BookieName[#Data],2,FALSE),BetTable[S2])+SUMIF(BetTable[B3],VLOOKUP(ROW()-3,BookieName[#Data],2,FALSE),BetTable[S3])</f>
        <v>0</v>
      </c>
      <c r="E49" s="136">
        <f>IFERROR(VLOOKUP(ROW()-3,BookieName[#Data],3,FALSE),"")</f>
        <v>0</v>
      </c>
      <c r="F49" s="136">
        <f>SUMIF(LayTable[BackBook],VLOOKUP(ROW()-3,BookieName[#Data],2,FALSE),LayTable[BackStake])+SUMIF(LayTable[LayBook],VLOOKUP(ROW()-3,BookieName[#Data],2,FALSE),LayTable[LayLiability])</f>
        <v>0</v>
      </c>
      <c r="H49" s="136" t="str">
        <f>IFERROR(VLOOKUP(ROW()-3,BookieName[#Data],2,FALSE),"")</f>
        <v>GiocoDigitale</v>
      </c>
      <c r="I49" s="136">
        <f>BookieTurnoverBackBets[[#This Row],[Turnover]]+BookieTurnoverLayBets[[#This Row],[Turnover]]</f>
        <v>0</v>
      </c>
    </row>
    <row r="50" spans="2:9" x14ac:dyDescent="0.25">
      <c r="B50" s="136">
        <f>IFERROR(VLOOKUP(ROW()-3,BookieName[#Data],3,FALSE),"")</f>
        <v>0</v>
      </c>
      <c r="C50" s="136">
        <f>SUMIF(BetTable[Bookie],VLOOKUP(ROW()-3,BookieName[#Data],2,FALSE),BetTable[Stake])+SUMIF(BetTable[B2],VLOOKUP(ROW()-3,BookieName[#Data],2,FALSE),BetTable[S2])+SUMIF(BetTable[B3],VLOOKUP(ROW()-3,BookieName[#Data],2,FALSE),BetTable[S3])</f>
        <v>0</v>
      </c>
      <c r="E50" s="136">
        <f>IFERROR(VLOOKUP(ROW()-3,BookieName[#Data],3,FALSE),"")</f>
        <v>0</v>
      </c>
      <c r="F50" s="136">
        <f>SUMIF(LayTable[BackBook],VLOOKUP(ROW()-3,BookieName[#Data],2,FALSE),LayTable[BackStake])+SUMIF(LayTable[LayBook],VLOOKUP(ROW()-3,BookieName[#Data],2,FALSE),LayTable[LayLiability])</f>
        <v>0</v>
      </c>
      <c r="H50" s="136" t="str">
        <f>IFERROR(VLOOKUP(ROW()-3,BookieName[#Data],2,FALSE),"")</f>
        <v>Intertops</v>
      </c>
      <c r="I50" s="136">
        <f>BookieTurnoverBackBets[[#This Row],[Turnover]]+BookieTurnoverLayBets[[#This Row],[Turnover]]</f>
        <v>0</v>
      </c>
    </row>
    <row r="51" spans="2:9" x14ac:dyDescent="0.25">
      <c r="B51" s="136">
        <f>IFERROR(VLOOKUP(ROW()-3,BookieName[#Data],3,FALSE),"")</f>
        <v>0</v>
      </c>
      <c r="C51" s="136">
        <f>SUMIF(BetTable[Bookie],VLOOKUP(ROW()-3,BookieName[#Data],2,FALSE),BetTable[Stake])+SUMIF(BetTable[B2],VLOOKUP(ROW()-3,BookieName[#Data],2,FALSE),BetTable[S2])+SUMIF(BetTable[B3],VLOOKUP(ROW()-3,BookieName[#Data],2,FALSE),BetTable[S3])</f>
        <v>0</v>
      </c>
      <c r="E51" s="136">
        <f>IFERROR(VLOOKUP(ROW()-3,BookieName[#Data],3,FALSE),"")</f>
        <v>0</v>
      </c>
      <c r="F51" s="136">
        <f>SUMIF(LayTable[BackBook],VLOOKUP(ROW()-3,BookieName[#Data],2,FALSE),LayTable[BackStake])+SUMIF(LayTable[LayBook],VLOOKUP(ROW()-3,BookieName[#Data],2,FALSE),LayTable[LayLiability])</f>
        <v>0</v>
      </c>
      <c r="H51" s="136" t="str">
        <f>IFERROR(VLOOKUP(ROW()-3,BookieName[#Data],2,FALSE),"")</f>
        <v>Interwetten</v>
      </c>
      <c r="I51" s="136">
        <f>BookieTurnoverBackBets[[#This Row],[Turnover]]+BookieTurnoverLayBets[[#This Row],[Turnover]]</f>
        <v>0</v>
      </c>
    </row>
    <row r="52" spans="2:9" x14ac:dyDescent="0.25">
      <c r="B52" s="136">
        <f>IFERROR(VLOOKUP(ROW()-3,BookieName[#Data],3,FALSE),"")</f>
        <v>0</v>
      </c>
      <c r="C52" s="136">
        <f>SUMIF(BetTable[Bookie],VLOOKUP(ROW()-3,BookieName[#Data],2,FALSE),BetTable[Stake])+SUMIF(BetTable[B2],VLOOKUP(ROW()-3,BookieName[#Data],2,FALSE),BetTable[S2])+SUMIF(BetTable[B3],VLOOKUP(ROW()-3,BookieName[#Data],2,FALSE),BetTable[S3])</f>
        <v>0</v>
      </c>
      <c r="E52" s="136">
        <f>IFERROR(VLOOKUP(ROW()-3,BookieName[#Data],3,FALSE),"")</f>
        <v>0</v>
      </c>
      <c r="F52" s="136">
        <f>SUMIF(LayTable[BackBook],VLOOKUP(ROW()-3,BookieName[#Data],2,FALSE),LayTable[BackStake])+SUMIF(LayTable[LayBook],VLOOKUP(ROW()-3,BookieName[#Data],2,FALSE),LayTable[LayLiability])</f>
        <v>0</v>
      </c>
      <c r="H52" s="136" t="str">
        <f>IFERROR(VLOOKUP(ROW()-3,BookieName[#Data],2,FALSE),"")</f>
        <v>JenningsBet</v>
      </c>
      <c r="I52" s="136">
        <f>BookieTurnoverBackBets[[#This Row],[Turnover]]+BookieTurnoverLayBets[[#This Row],[Turnover]]</f>
        <v>0</v>
      </c>
    </row>
    <row r="53" spans="2:9" x14ac:dyDescent="0.25">
      <c r="B53" s="136">
        <f>IFERROR(VLOOKUP(ROW()-3,BookieName[#Data],3,FALSE),"")</f>
        <v>0</v>
      </c>
      <c r="C53" s="136">
        <f>SUMIF(BetTable[Bookie],VLOOKUP(ROW()-3,BookieName[#Data],2,FALSE),BetTable[Stake])+SUMIF(BetTable[B2],VLOOKUP(ROW()-3,BookieName[#Data],2,FALSE),BetTable[S2])+SUMIF(BetTable[B3],VLOOKUP(ROW()-3,BookieName[#Data],2,FALSE),BetTable[S3])</f>
        <v>0</v>
      </c>
      <c r="E53" s="136">
        <f>IFERROR(VLOOKUP(ROW()-3,BookieName[#Data],3,FALSE),"")</f>
        <v>0</v>
      </c>
      <c r="F53" s="136">
        <f>SUMIF(LayTable[BackBook],VLOOKUP(ROW()-3,BookieName[#Data],2,FALSE),LayTable[BackStake])+SUMIF(LayTable[LayBook],VLOOKUP(ROW()-3,BookieName[#Data],2,FALSE),LayTable[LayLiability])</f>
        <v>0</v>
      </c>
      <c r="H53" s="136" t="str">
        <f>IFERROR(VLOOKUP(ROW()-3,BookieName[#Data],2,FALSE),"")</f>
        <v>Jetbull</v>
      </c>
      <c r="I53" s="136">
        <f>BookieTurnoverBackBets[[#This Row],[Turnover]]+BookieTurnoverLayBets[[#This Row],[Turnover]]</f>
        <v>0</v>
      </c>
    </row>
    <row r="54" spans="2:9" x14ac:dyDescent="0.25">
      <c r="B54" s="136">
        <f>IFERROR(VLOOKUP(ROW()-3,BookieName[#Data],3,FALSE),"")</f>
        <v>0</v>
      </c>
      <c r="C54" s="136">
        <f>SUMIF(BetTable[Bookie],VLOOKUP(ROW()-3,BookieName[#Data],2,FALSE),BetTable[Stake])+SUMIF(BetTable[B2],VLOOKUP(ROW()-3,BookieName[#Data],2,FALSE),BetTable[S2])+SUMIF(BetTable[B3],VLOOKUP(ROW()-3,BookieName[#Data],2,FALSE),BetTable[S3])</f>
        <v>0</v>
      </c>
      <c r="E54" s="136">
        <f>IFERROR(VLOOKUP(ROW()-3,BookieName[#Data],3,FALSE),"")</f>
        <v>0</v>
      </c>
      <c r="F54" s="136">
        <f>SUMIF(LayTable[BackBook],VLOOKUP(ROW()-3,BookieName[#Data],2,FALSE),LayTable[BackStake])+SUMIF(LayTable[LayBook],VLOOKUP(ROW()-3,BookieName[#Data],2,FALSE),LayTable[LayLiability])</f>
        <v>0</v>
      </c>
      <c r="H54" s="136" t="str">
        <f>IFERROR(VLOOKUP(ROW()-3,BookieName[#Data],2,FALSE),"")</f>
        <v>Ladbrokes</v>
      </c>
      <c r="I54" s="136">
        <f>BookieTurnoverBackBets[[#This Row],[Turnover]]+BookieTurnoverLayBets[[#This Row],[Turnover]]</f>
        <v>0</v>
      </c>
    </row>
    <row r="55" spans="2:9" x14ac:dyDescent="0.25">
      <c r="B55" s="136">
        <f>IFERROR(VLOOKUP(ROW()-3,BookieName[#Data],3,FALSE),"")</f>
        <v>0</v>
      </c>
      <c r="C55" s="136">
        <f>SUMIF(BetTable[Bookie],VLOOKUP(ROW()-3,BookieName[#Data],2,FALSE),BetTable[Stake])+SUMIF(BetTable[B2],VLOOKUP(ROW()-3,BookieName[#Data],2,FALSE),BetTable[S2])+SUMIF(BetTable[B3],VLOOKUP(ROW()-3,BookieName[#Data],2,FALSE),BetTable[S3])</f>
        <v>0</v>
      </c>
      <c r="E55" s="136">
        <f>IFERROR(VLOOKUP(ROW()-3,BookieName[#Data],3,FALSE),"")</f>
        <v>0</v>
      </c>
      <c r="F55" s="136">
        <f>SUMIF(LayTable[BackBook],VLOOKUP(ROW()-3,BookieName[#Data],2,FALSE),LayTable[BackStake])+SUMIF(LayTable[LayBook],VLOOKUP(ROW()-3,BookieName[#Data],2,FALSE),LayTable[LayLiability])</f>
        <v>0</v>
      </c>
      <c r="H55" s="136" t="str">
        <f>IFERROR(VLOOKUP(ROW()-3,BookieName[#Data],2,FALSE),"")</f>
        <v>LadbrokesAU</v>
      </c>
      <c r="I55" s="136">
        <f>BookieTurnoverBackBets[[#This Row],[Turnover]]+BookieTurnoverLayBets[[#This Row],[Turnover]]</f>
        <v>0</v>
      </c>
    </row>
    <row r="56" spans="2:9" x14ac:dyDescent="0.25">
      <c r="B56" s="136">
        <f>IFERROR(VLOOKUP(ROW()-3,BookieName[#Data],3,FALSE),"")</f>
        <v>0</v>
      </c>
      <c r="C56" s="136">
        <f>SUMIF(BetTable[Bookie],VLOOKUP(ROW()-3,BookieName[#Data],2,FALSE),BetTable[Stake])+SUMIF(BetTable[B2],VLOOKUP(ROW()-3,BookieName[#Data],2,FALSE),BetTable[S2])+SUMIF(BetTable[B3],VLOOKUP(ROW()-3,BookieName[#Data],2,FALSE),BetTable[S3])</f>
        <v>0</v>
      </c>
      <c r="E56" s="136">
        <f>IFERROR(VLOOKUP(ROW()-3,BookieName[#Data],3,FALSE),"")</f>
        <v>0</v>
      </c>
      <c r="F56" s="136">
        <f>SUMIF(LayTable[BackBook],VLOOKUP(ROW()-3,BookieName[#Data],2,FALSE),LayTable[BackStake])+SUMIF(LayTable[LayBook],VLOOKUP(ROW()-3,BookieName[#Data],2,FALSE),LayTable[LayLiability])</f>
        <v>0</v>
      </c>
      <c r="H56" s="136" t="str">
        <f>IFERROR(VLOOKUP(ROW()-3,BookieName[#Data],2,FALSE),"")</f>
        <v>LeoVegas</v>
      </c>
      <c r="I56" s="136">
        <f>BookieTurnoverBackBets[[#This Row],[Turnover]]+BookieTurnoverLayBets[[#This Row],[Turnover]]</f>
        <v>0</v>
      </c>
    </row>
    <row r="57" spans="2:9" x14ac:dyDescent="0.25">
      <c r="B57" s="136">
        <f>IFERROR(VLOOKUP(ROW()-3,BookieName[#Data],3,FALSE),"")</f>
        <v>0</v>
      </c>
      <c r="C57" s="136">
        <f>SUMIF(BetTable[Bookie],VLOOKUP(ROW()-3,BookieName[#Data],2,FALSE),BetTable[Stake])+SUMIF(BetTable[B2],VLOOKUP(ROW()-3,BookieName[#Data],2,FALSE),BetTable[S2])+SUMIF(BetTable[B3],VLOOKUP(ROW()-3,BookieName[#Data],2,FALSE),BetTable[S3])</f>
        <v>0</v>
      </c>
      <c r="E57" s="136">
        <f>IFERROR(VLOOKUP(ROW()-3,BookieName[#Data],3,FALSE),"")</f>
        <v>0</v>
      </c>
      <c r="F57" s="136">
        <f>SUMIF(LayTable[BackBook],VLOOKUP(ROW()-3,BookieName[#Data],2,FALSE),LayTable[BackStake])+SUMIF(LayTable[LayBook],VLOOKUP(ROW()-3,BookieName[#Data],2,FALSE),LayTable[LayLiability])</f>
        <v>0</v>
      </c>
      <c r="H57" s="136" t="str">
        <f>IFERROR(VLOOKUP(ROW()-3,BookieName[#Data],2,FALSE),"")</f>
        <v>Marathonbet</v>
      </c>
      <c r="I57" s="136">
        <f>BookieTurnoverBackBets[[#This Row],[Turnover]]+BookieTurnoverLayBets[[#This Row],[Turnover]]</f>
        <v>0</v>
      </c>
    </row>
    <row r="58" spans="2:9" x14ac:dyDescent="0.25">
      <c r="B58" s="136">
        <f>IFERROR(VLOOKUP(ROW()-3,BookieName[#Data],3,FALSE),"")</f>
        <v>0</v>
      </c>
      <c r="C58" s="136">
        <f>SUMIF(BetTable[Bookie],VLOOKUP(ROW()-3,BookieName[#Data],2,FALSE),BetTable[Stake])+SUMIF(BetTable[B2],VLOOKUP(ROW()-3,BookieName[#Data],2,FALSE),BetTable[S2])+SUMIF(BetTable[B3],VLOOKUP(ROW()-3,BookieName[#Data],2,FALSE),BetTable[S3])</f>
        <v>0</v>
      </c>
      <c r="E58" s="136">
        <f>IFERROR(VLOOKUP(ROW()-3,BookieName[#Data],3,FALSE),"")</f>
        <v>0</v>
      </c>
      <c r="F58" s="136">
        <f>SUMIF(LayTable[BackBook],VLOOKUP(ROW()-3,BookieName[#Data],2,FALSE),LayTable[BackStake])+SUMIF(LayTable[LayBook],VLOOKUP(ROW()-3,BookieName[#Data],2,FALSE),LayTable[LayLiability])</f>
        <v>0</v>
      </c>
      <c r="H58" s="136" t="str">
        <f>IFERROR(VLOOKUP(ROW()-3,BookieName[#Data],2,FALSE),"")</f>
        <v>Marathonbet.co.uk</v>
      </c>
      <c r="I58" s="136">
        <f>BookieTurnoverBackBets[[#This Row],[Turnover]]+BookieTurnoverLayBets[[#This Row],[Turnover]]</f>
        <v>0</v>
      </c>
    </row>
    <row r="59" spans="2:9" x14ac:dyDescent="0.25">
      <c r="B59" s="136">
        <f>IFERROR(VLOOKUP(ROW()-3,BookieName[#Data],3,FALSE),"")</f>
        <v>0</v>
      </c>
      <c r="C59" s="136">
        <f>SUMIF(BetTable[Bookie],VLOOKUP(ROW()-3,BookieName[#Data],2,FALSE),BetTable[Stake])+SUMIF(BetTable[B2],VLOOKUP(ROW()-3,BookieName[#Data],2,FALSE),BetTable[S2])+SUMIF(BetTable[B3],VLOOKUP(ROW()-3,BookieName[#Data],2,FALSE),BetTable[S3])</f>
        <v>0</v>
      </c>
      <c r="E59" s="136">
        <f>IFERROR(VLOOKUP(ROW()-3,BookieName[#Data],3,FALSE),"")</f>
        <v>0</v>
      </c>
      <c r="F59" s="136">
        <f>SUMIF(LayTable[BackBook],VLOOKUP(ROW()-3,BookieName[#Data],2,FALSE),LayTable[BackStake])+SUMIF(LayTable[LayBook],VLOOKUP(ROW()-3,BookieName[#Data],2,FALSE),LayTable[LayLiability])</f>
        <v>0</v>
      </c>
      <c r="H59" s="136" t="str">
        <f>IFERROR(VLOOKUP(ROW()-3,BookieName[#Data],2,FALSE),"")</f>
        <v>MatchBook</v>
      </c>
      <c r="I59" s="136">
        <f>BookieTurnoverBackBets[[#This Row],[Turnover]]+BookieTurnoverLayBets[[#This Row],[Turnover]]</f>
        <v>0</v>
      </c>
    </row>
    <row r="60" spans="2:9" x14ac:dyDescent="0.25">
      <c r="B60" s="136">
        <f>IFERROR(VLOOKUP(ROW()-3,BookieName[#Data],3,FALSE),"")</f>
        <v>0</v>
      </c>
      <c r="C60" s="136">
        <f>SUMIF(BetTable[Bookie],VLOOKUP(ROW()-3,BookieName[#Data],2,FALSE),BetTable[Stake])+SUMIF(BetTable[B2],VLOOKUP(ROW()-3,BookieName[#Data],2,FALSE),BetTable[S2])+SUMIF(BetTable[B3],VLOOKUP(ROW()-3,BookieName[#Data],2,FALSE),BetTable[S3])</f>
        <v>0</v>
      </c>
      <c r="E60" s="136">
        <f>IFERROR(VLOOKUP(ROW()-3,BookieName[#Data],3,FALSE),"")</f>
        <v>0</v>
      </c>
      <c r="F60" s="136">
        <f>SUMIF(LayTable[BackBook],VLOOKUP(ROW()-3,BookieName[#Data],2,FALSE),LayTable[BackStake])+SUMIF(LayTable[LayBook],VLOOKUP(ROW()-3,BookieName[#Data],2,FALSE),LayTable[LayLiability])</f>
        <v>0</v>
      </c>
      <c r="H60" s="136" t="str">
        <f>IFERROR(VLOOKUP(ROW()-3,BookieName[#Data],2,FALSE),"")</f>
        <v>Meridianbet</v>
      </c>
      <c r="I60" s="136">
        <f>BookieTurnoverBackBets[[#This Row],[Turnover]]+BookieTurnoverLayBets[[#This Row],[Turnover]]</f>
        <v>0</v>
      </c>
    </row>
    <row r="61" spans="2:9" x14ac:dyDescent="0.25">
      <c r="B61" s="136">
        <f>IFERROR(VLOOKUP(ROW()-3,BookieName[#Data],3,FALSE),"")</f>
        <v>0</v>
      </c>
      <c r="C61" s="136">
        <f>SUMIF(BetTable[Bookie],VLOOKUP(ROW()-3,BookieName[#Data],2,FALSE),BetTable[Stake])+SUMIF(BetTable[B2],VLOOKUP(ROW()-3,BookieName[#Data],2,FALSE),BetTable[S2])+SUMIF(BetTable[B3],VLOOKUP(ROW()-3,BookieName[#Data],2,FALSE),BetTable[S3])</f>
        <v>0</v>
      </c>
      <c r="E61" s="136">
        <f>IFERROR(VLOOKUP(ROW()-3,BookieName[#Data],3,FALSE),"")</f>
        <v>0</v>
      </c>
      <c r="F61" s="136">
        <f>SUMIF(LayTable[BackBook],VLOOKUP(ROW()-3,BookieName[#Data],2,FALSE),LayTable[BackStake])+SUMIF(LayTable[LayBook],VLOOKUP(ROW()-3,BookieName[#Data],2,FALSE),LayTable[LayLiability])</f>
        <v>0</v>
      </c>
      <c r="H61" s="136" t="str">
        <f>IFERROR(VLOOKUP(ROW()-3,BookieName[#Data],2,FALSE),"")</f>
        <v>Merrybet</v>
      </c>
      <c r="I61" s="136">
        <f>BookieTurnoverBackBets[[#This Row],[Turnover]]+BookieTurnoverLayBets[[#This Row],[Turnover]]</f>
        <v>0</v>
      </c>
    </row>
    <row r="62" spans="2:9" x14ac:dyDescent="0.25">
      <c r="B62" s="136">
        <f>IFERROR(VLOOKUP(ROW()-3,BookieName[#Data],3,FALSE),"")</f>
        <v>0</v>
      </c>
      <c r="C62" s="136">
        <f>SUMIF(BetTable[Bookie],VLOOKUP(ROW()-3,BookieName[#Data],2,FALSE),BetTable[Stake])+SUMIF(BetTable[B2],VLOOKUP(ROW()-3,BookieName[#Data],2,FALSE),BetTable[S2])+SUMIF(BetTable[B3],VLOOKUP(ROW()-3,BookieName[#Data],2,FALSE),BetTable[S3])</f>
        <v>0</v>
      </c>
      <c r="E62" s="136">
        <f>IFERROR(VLOOKUP(ROW()-3,BookieName[#Data],3,FALSE),"")</f>
        <v>0</v>
      </c>
      <c r="F62" s="136">
        <f>SUMIF(LayTable[BackBook],VLOOKUP(ROW()-3,BookieName[#Data],2,FALSE),LayTable[BackStake])+SUMIF(LayTable[LayBook],VLOOKUP(ROW()-3,BookieName[#Data],2,FALSE),LayTable[LayLiability])</f>
        <v>0</v>
      </c>
      <c r="H62" s="136" t="str">
        <f>IFERROR(VLOOKUP(ROW()-3,BookieName[#Data],2,FALSE),"")</f>
        <v>Mobilbet</v>
      </c>
      <c r="I62" s="136">
        <f>BookieTurnoverBackBets[[#This Row],[Turnover]]+BookieTurnoverLayBets[[#This Row],[Turnover]]</f>
        <v>0</v>
      </c>
    </row>
    <row r="63" spans="2:9" x14ac:dyDescent="0.25">
      <c r="B63" s="136">
        <f>IFERROR(VLOOKUP(ROW()-3,BookieName[#Data],3,FALSE),"")</f>
        <v>0</v>
      </c>
      <c r="C63" s="136">
        <f>SUMIF(BetTable[Bookie],VLOOKUP(ROW()-3,BookieName[#Data],2,FALSE),BetTable[Stake])+SUMIF(BetTable[B2],VLOOKUP(ROW()-3,BookieName[#Data],2,FALSE),BetTable[S2])+SUMIF(BetTable[B3],VLOOKUP(ROW()-3,BookieName[#Data],2,FALSE),BetTable[S3])</f>
        <v>0</v>
      </c>
      <c r="E63" s="136">
        <f>IFERROR(VLOOKUP(ROW()-3,BookieName[#Data],3,FALSE),"")</f>
        <v>0</v>
      </c>
      <c r="F63" s="136">
        <f>SUMIF(LayTable[BackBook],VLOOKUP(ROW()-3,BookieName[#Data],2,FALSE),LayTable[BackStake])+SUMIF(LayTable[LayBook],VLOOKUP(ROW()-3,BookieName[#Data],2,FALSE),LayTable[LayLiability])</f>
        <v>0</v>
      </c>
      <c r="H63" s="136" t="str">
        <f>IFERROR(VLOOKUP(ROW()-3,BookieName[#Data],2,FALSE),"")</f>
        <v>Mybet</v>
      </c>
      <c r="I63" s="136">
        <f>BookieTurnoverBackBets[[#This Row],[Turnover]]+BookieTurnoverLayBets[[#This Row],[Turnover]]</f>
        <v>0</v>
      </c>
    </row>
    <row r="64" spans="2:9" x14ac:dyDescent="0.25">
      <c r="B64" s="136">
        <f>IFERROR(VLOOKUP(ROW()-3,BookieName[#Data],3,FALSE),"")</f>
        <v>0</v>
      </c>
      <c r="C64" s="136">
        <f>SUMIF(BetTable[Bookie],VLOOKUP(ROW()-3,BookieName[#Data],2,FALSE),BetTable[Stake])+SUMIF(BetTable[B2],VLOOKUP(ROW()-3,BookieName[#Data],2,FALSE),BetTable[S2])+SUMIF(BetTable[B3],VLOOKUP(ROW()-3,BookieName[#Data],2,FALSE),BetTable[S3])</f>
        <v>0</v>
      </c>
      <c r="E64" s="136">
        <f>IFERROR(VLOOKUP(ROW()-3,BookieName[#Data],3,FALSE),"")</f>
        <v>0</v>
      </c>
      <c r="F64" s="136">
        <f>SUMIF(LayTable[BackBook],VLOOKUP(ROW()-3,BookieName[#Data],2,FALSE),LayTable[BackStake])+SUMIF(LayTable[LayBook],VLOOKUP(ROW()-3,BookieName[#Data],2,FALSE),LayTable[LayLiability])</f>
        <v>0</v>
      </c>
      <c r="H64" s="136" t="str">
        <f>IFERROR(VLOOKUP(ROW()-3,BookieName[#Data],2,FALSE),"")</f>
        <v>NairaBET</v>
      </c>
      <c r="I64" s="136">
        <f>BookieTurnoverBackBets[[#This Row],[Turnover]]+BookieTurnoverLayBets[[#This Row],[Turnover]]</f>
        <v>0</v>
      </c>
    </row>
    <row r="65" spans="2:9" x14ac:dyDescent="0.25">
      <c r="B65" s="136">
        <f>IFERROR(VLOOKUP(ROW()-3,BookieName[#Data],3,FALSE),"")</f>
        <v>0</v>
      </c>
      <c r="C65" s="136">
        <f>SUMIF(BetTable[Bookie],VLOOKUP(ROW()-3,BookieName[#Data],2,FALSE),BetTable[Stake])+SUMIF(BetTable[B2],VLOOKUP(ROW()-3,BookieName[#Data],2,FALSE),BetTable[S2])+SUMIF(BetTable[B3],VLOOKUP(ROW()-3,BookieName[#Data],2,FALSE),BetTable[S3])</f>
        <v>0</v>
      </c>
      <c r="E65" s="136">
        <f>IFERROR(VLOOKUP(ROW()-3,BookieName[#Data],3,FALSE),"")</f>
        <v>0</v>
      </c>
      <c r="F65" s="136">
        <f>SUMIF(LayTable[BackBook],VLOOKUP(ROW()-3,BookieName[#Data],2,FALSE),LayTable[BackStake])+SUMIF(LayTable[LayBook],VLOOKUP(ROW()-3,BookieName[#Data],2,FALSE),LayTable[LayLiability])</f>
        <v>0</v>
      </c>
      <c r="H65" s="136" t="str">
        <f>IFERROR(VLOOKUP(ROW()-3,BookieName[#Data],2,FALSE),"")</f>
        <v>NapoleonGames</v>
      </c>
      <c r="I65" s="136">
        <f>BookieTurnoverBackBets[[#This Row],[Turnover]]+BookieTurnoverLayBets[[#This Row],[Turnover]]</f>
        <v>0</v>
      </c>
    </row>
    <row r="66" spans="2:9" x14ac:dyDescent="0.25">
      <c r="B66" s="136">
        <f>IFERROR(VLOOKUP(ROW()-3,BookieName[#Data],3,FALSE),"")</f>
        <v>0</v>
      </c>
      <c r="C66" s="136">
        <f>SUMIF(BetTable[Bookie],VLOOKUP(ROW()-3,BookieName[#Data],2,FALSE),BetTable[Stake])+SUMIF(BetTable[B2],VLOOKUP(ROW()-3,BookieName[#Data],2,FALSE),BetTable[S2])+SUMIF(BetTable[B3],VLOOKUP(ROW()-3,BookieName[#Data],2,FALSE),BetTable[S3])</f>
        <v>0</v>
      </c>
      <c r="E66" s="136">
        <f>IFERROR(VLOOKUP(ROW()-3,BookieName[#Data],3,FALSE),"")</f>
        <v>0</v>
      </c>
      <c r="F66" s="136">
        <f>SUMIF(LayTable[BackBook],VLOOKUP(ROW()-3,BookieName[#Data],2,FALSE),LayTable[BackStake])+SUMIF(LayTable[LayBook],VLOOKUP(ROW()-3,BookieName[#Data],2,FALSE),LayTable[LayLiability])</f>
        <v>0</v>
      </c>
      <c r="H66" s="136" t="str">
        <f>IFERROR(VLOOKUP(ROW()-3,BookieName[#Data],2,FALSE),"")</f>
        <v>Netbet</v>
      </c>
      <c r="I66" s="136">
        <f>BookieTurnoverBackBets[[#This Row],[Turnover]]+BookieTurnoverLayBets[[#This Row],[Turnover]]</f>
        <v>0</v>
      </c>
    </row>
    <row r="67" spans="2:9" x14ac:dyDescent="0.25">
      <c r="B67" s="136">
        <f>IFERROR(VLOOKUP(ROW()-3,BookieName[#Data],3,FALSE),"")</f>
        <v>0</v>
      </c>
      <c r="C67" s="136">
        <f>SUMIF(BetTable[Bookie],VLOOKUP(ROW()-3,BookieName[#Data],2,FALSE),BetTable[Stake])+SUMIF(BetTable[B2],VLOOKUP(ROW()-3,BookieName[#Data],2,FALSE),BetTable[S2])+SUMIF(BetTable[B3],VLOOKUP(ROW()-3,BookieName[#Data],2,FALSE),BetTable[S3])</f>
        <v>0</v>
      </c>
      <c r="E67" s="136">
        <f>IFERROR(VLOOKUP(ROW()-3,BookieName[#Data],3,FALSE),"")</f>
        <v>0</v>
      </c>
      <c r="F67" s="136">
        <f>SUMIF(LayTable[BackBook],VLOOKUP(ROW()-3,BookieName[#Data],2,FALSE),LayTable[BackStake])+SUMIF(LayTable[LayBook],VLOOKUP(ROW()-3,BookieName[#Data],2,FALSE),LayTable[LayLiability])</f>
        <v>0</v>
      </c>
      <c r="H67" s="136" t="str">
        <f>IFERROR(VLOOKUP(ROW()-3,BookieName[#Data],2,FALSE),"")</f>
        <v>NordicBet</v>
      </c>
      <c r="I67" s="136">
        <f>BookieTurnoverBackBets[[#This Row],[Turnover]]+BookieTurnoverLayBets[[#This Row],[Turnover]]</f>
        <v>0</v>
      </c>
    </row>
    <row r="68" spans="2:9" x14ac:dyDescent="0.25">
      <c r="B68" s="136">
        <f>IFERROR(VLOOKUP(ROW()-3,BookieName[#Data],3,FALSE),"")</f>
        <v>0</v>
      </c>
      <c r="C68" s="136">
        <f>SUMIF(BetTable[Bookie],VLOOKUP(ROW()-3,BookieName[#Data],2,FALSE),BetTable[Stake])+SUMIF(BetTable[B2],VLOOKUP(ROW()-3,BookieName[#Data],2,FALSE),BetTable[S2])+SUMIF(BetTable[B3],VLOOKUP(ROW()-3,BookieName[#Data],2,FALSE),BetTable[S3])</f>
        <v>0</v>
      </c>
      <c r="E68" s="136">
        <f>IFERROR(VLOOKUP(ROW()-3,BookieName[#Data],3,FALSE),"")</f>
        <v>0</v>
      </c>
      <c r="F68" s="136">
        <f>SUMIF(LayTable[BackBook],VLOOKUP(ROW()-3,BookieName[#Data],2,FALSE),LayTable[BackStake])+SUMIF(LayTable[LayBook],VLOOKUP(ROW()-3,BookieName[#Data],2,FALSE),LayTable[LayLiability])</f>
        <v>0</v>
      </c>
      <c r="H68" s="136" t="str">
        <f>IFERROR(VLOOKUP(ROW()-3,BookieName[#Data],2,FALSE),"")</f>
        <v>Novibet</v>
      </c>
      <c r="I68" s="136">
        <f>BookieTurnoverBackBets[[#This Row],[Turnover]]+BookieTurnoverLayBets[[#This Row],[Turnover]]</f>
        <v>0</v>
      </c>
    </row>
    <row r="69" spans="2:9" x14ac:dyDescent="0.25">
      <c r="B69" s="136">
        <f>IFERROR(VLOOKUP(ROW()-3,BookieName[#Data],3,FALSE),"")</f>
        <v>0</v>
      </c>
      <c r="C69" s="136">
        <f>SUMIF(BetTable[Bookie],VLOOKUP(ROW()-3,BookieName[#Data],2,FALSE),BetTable[Stake])+SUMIF(BetTable[B2],VLOOKUP(ROW()-3,BookieName[#Data],2,FALSE),BetTable[S2])+SUMIF(BetTable[B3],VLOOKUP(ROW()-3,BookieName[#Data],2,FALSE),BetTable[S3])</f>
        <v>0</v>
      </c>
      <c r="E69" s="136">
        <f>IFERROR(VLOOKUP(ROW()-3,BookieName[#Data],3,FALSE),"")</f>
        <v>0</v>
      </c>
      <c r="F69" s="136">
        <f>SUMIF(LayTable[BackBook],VLOOKUP(ROW()-3,BookieName[#Data],2,FALSE),LayTable[BackStake])+SUMIF(LayTable[LayBook],VLOOKUP(ROW()-3,BookieName[#Data],2,FALSE),LayTable[LayLiability])</f>
        <v>0</v>
      </c>
      <c r="H69" s="136" t="str">
        <f>IFERROR(VLOOKUP(ROW()-3,BookieName[#Data],2,FALSE),"")</f>
        <v>Noxwin</v>
      </c>
      <c r="I69" s="136">
        <f>BookieTurnoverBackBets[[#This Row],[Turnover]]+BookieTurnoverLayBets[[#This Row],[Turnover]]</f>
        <v>0</v>
      </c>
    </row>
    <row r="70" spans="2:9" x14ac:dyDescent="0.25">
      <c r="B70" s="136">
        <f>IFERROR(VLOOKUP(ROW()-3,BookieName[#Data],3,FALSE),"")</f>
        <v>0</v>
      </c>
      <c r="C70" s="136">
        <f>SUMIF(BetTable[Bookie],VLOOKUP(ROW()-3,BookieName[#Data],2,FALSE),BetTable[Stake])+SUMIF(BetTable[B2],VLOOKUP(ROW()-3,BookieName[#Data],2,FALSE),BetTable[S2])+SUMIF(BetTable[B3],VLOOKUP(ROW()-3,BookieName[#Data],2,FALSE),BetTable[S3])</f>
        <v>0</v>
      </c>
      <c r="E70" s="136">
        <f>IFERROR(VLOOKUP(ROW()-3,BookieName[#Data],3,FALSE),"")</f>
        <v>0</v>
      </c>
      <c r="F70" s="136">
        <f>SUMIF(LayTable[BackBook],VLOOKUP(ROW()-3,BookieName[#Data],2,FALSE),LayTable[BackStake])+SUMIF(LayTable[LayBook],VLOOKUP(ROW()-3,BookieName[#Data],2,FALSE),LayTable[LayLiability])</f>
        <v>0</v>
      </c>
      <c r="H70" s="136" t="str">
        <f>IFERROR(VLOOKUP(ROW()-3,BookieName[#Data],2,FALSE),"")</f>
        <v>PaddyPower</v>
      </c>
      <c r="I70" s="136">
        <f>BookieTurnoverBackBets[[#This Row],[Turnover]]+BookieTurnoverLayBets[[#This Row],[Turnover]]</f>
        <v>0</v>
      </c>
    </row>
    <row r="71" spans="2:9" x14ac:dyDescent="0.25">
      <c r="B71" s="136">
        <f>IFERROR(VLOOKUP(ROW()-3,BookieName[#Data],3,FALSE),"")</f>
        <v>0</v>
      </c>
      <c r="C71" s="136">
        <f>SUMIF(BetTable[Bookie],VLOOKUP(ROW()-3,BookieName[#Data],2,FALSE),BetTable[Stake])+SUMIF(BetTable[B2],VLOOKUP(ROW()-3,BookieName[#Data],2,FALSE),BetTable[S2])+SUMIF(BetTable[B3],VLOOKUP(ROW()-3,BookieName[#Data],2,FALSE),BetTable[S3])</f>
        <v>0</v>
      </c>
      <c r="E71" s="136">
        <f>IFERROR(VLOOKUP(ROW()-3,BookieName[#Data],3,FALSE),"")</f>
        <v>0</v>
      </c>
      <c r="F71" s="136">
        <f>SUMIF(LayTable[BackBook],VLOOKUP(ROW()-3,BookieName[#Data],2,FALSE),LayTable[BackStake])+SUMIF(LayTable[LayBook],VLOOKUP(ROW()-3,BookieName[#Data],2,FALSE),LayTable[LayLiability])</f>
        <v>0</v>
      </c>
      <c r="H71" s="136" t="str">
        <f>IFERROR(VLOOKUP(ROW()-3,BookieName[#Data],2,FALSE),"")</f>
        <v>Paf</v>
      </c>
      <c r="I71" s="136">
        <f>BookieTurnoverBackBets[[#This Row],[Turnover]]+BookieTurnoverLayBets[[#This Row],[Turnover]]</f>
        <v>0</v>
      </c>
    </row>
    <row r="72" spans="2:9" x14ac:dyDescent="0.25">
      <c r="B72" s="136">
        <f>IFERROR(VLOOKUP(ROW()-3,BookieName[#Data],3,FALSE),"")</f>
        <v>0</v>
      </c>
      <c r="C72" s="136">
        <f>SUMIF(BetTable[Bookie],VLOOKUP(ROW()-3,BookieName[#Data],2,FALSE),BetTable[Stake])+SUMIF(BetTable[B2],VLOOKUP(ROW()-3,BookieName[#Data],2,FALSE),BetTable[S2])+SUMIF(BetTable[B3],VLOOKUP(ROW()-3,BookieName[#Data],2,FALSE),BetTable[S3])</f>
        <v>0</v>
      </c>
      <c r="E72" s="136">
        <f>IFERROR(VLOOKUP(ROW()-3,BookieName[#Data],3,FALSE),"")</f>
        <v>0</v>
      </c>
      <c r="F72" s="136">
        <f>SUMIF(LayTable[BackBook],VLOOKUP(ROW()-3,BookieName[#Data],2,FALSE),LayTable[BackStake])+SUMIF(LayTable[LayBook],VLOOKUP(ROW()-3,BookieName[#Data],2,FALSE),LayTable[LayLiability])</f>
        <v>0</v>
      </c>
      <c r="H72" s="136" t="str">
        <f>IFERROR(VLOOKUP(ROW()-3,BookieName[#Data],2,FALSE),"")</f>
        <v>PartyPoker</v>
      </c>
      <c r="I72" s="136">
        <f>BookieTurnoverBackBets[[#This Row],[Turnover]]+BookieTurnoverLayBets[[#This Row],[Turnover]]</f>
        <v>0</v>
      </c>
    </row>
    <row r="73" spans="2:9" x14ac:dyDescent="0.25">
      <c r="B73" s="136">
        <f>IFERROR(VLOOKUP(ROW()-3,BookieName[#Data],3,FALSE),"")</f>
        <v>0</v>
      </c>
      <c r="C73" s="136">
        <f>SUMIF(BetTable[Bookie],VLOOKUP(ROW()-3,BookieName[#Data],2,FALSE),BetTable[Stake])+SUMIF(BetTable[B2],VLOOKUP(ROW()-3,BookieName[#Data],2,FALSE),BetTable[S2])+SUMIF(BetTable[B3],VLOOKUP(ROW()-3,BookieName[#Data],2,FALSE),BetTable[S3])</f>
        <v>0</v>
      </c>
      <c r="E73" s="136">
        <f>IFERROR(VLOOKUP(ROW()-3,BookieName[#Data],3,FALSE),"")</f>
        <v>0</v>
      </c>
      <c r="F73" s="136">
        <f>SUMIF(LayTable[BackBook],VLOOKUP(ROW()-3,BookieName[#Data],2,FALSE),LayTable[BackStake])+SUMIF(LayTable[LayBook],VLOOKUP(ROW()-3,BookieName[#Data],2,FALSE),LayTable[LayLiability])</f>
        <v>0</v>
      </c>
      <c r="H73" s="136" t="str">
        <f>IFERROR(VLOOKUP(ROW()-3,BookieName[#Data],2,FALSE),"")</f>
        <v>Pinnacle</v>
      </c>
      <c r="I73" s="136">
        <f>BookieTurnoverBackBets[[#This Row],[Turnover]]+BookieTurnoverLayBets[[#This Row],[Turnover]]</f>
        <v>0</v>
      </c>
    </row>
    <row r="74" spans="2:9" x14ac:dyDescent="0.25">
      <c r="B74" s="136">
        <f>IFERROR(VLOOKUP(ROW()-3,BookieName[#Data],3,FALSE),"")</f>
        <v>0</v>
      </c>
      <c r="C74" s="136">
        <f>SUMIF(BetTable[Bookie],VLOOKUP(ROW()-3,BookieName[#Data],2,FALSE),BetTable[Stake])+SUMIF(BetTable[B2],VLOOKUP(ROW()-3,BookieName[#Data],2,FALSE),BetTable[S2])+SUMIF(BetTable[B3],VLOOKUP(ROW()-3,BookieName[#Data],2,FALSE),BetTable[S3])</f>
        <v>0</v>
      </c>
      <c r="E74" s="136">
        <f>IFERROR(VLOOKUP(ROW()-3,BookieName[#Data],3,FALSE),"")</f>
        <v>0</v>
      </c>
      <c r="F74" s="136">
        <f>SUMIF(LayTable[BackBook],VLOOKUP(ROW()-3,BookieName[#Data],2,FALSE),LayTable[BackStake])+SUMIF(LayTable[LayBook],VLOOKUP(ROW()-3,BookieName[#Data],2,FALSE),LayTable[LayLiability])</f>
        <v>0</v>
      </c>
      <c r="H74" s="136" t="str">
        <f>IFERROR(VLOOKUP(ROW()-3,BookieName[#Data],2,FALSE),"")</f>
        <v>PlanetWin365</v>
      </c>
      <c r="I74" s="136">
        <f>BookieTurnoverBackBets[[#This Row],[Turnover]]+BookieTurnoverLayBets[[#This Row],[Turnover]]</f>
        <v>0</v>
      </c>
    </row>
    <row r="75" spans="2:9" x14ac:dyDescent="0.25">
      <c r="B75" s="136">
        <f>IFERROR(VLOOKUP(ROW()-3,BookieName[#Data],3,FALSE),"")</f>
        <v>0</v>
      </c>
      <c r="C75" s="136">
        <f>SUMIF(BetTable[Bookie],VLOOKUP(ROW()-3,BookieName[#Data],2,FALSE),BetTable[Stake])+SUMIF(BetTable[B2],VLOOKUP(ROW()-3,BookieName[#Data],2,FALSE),BetTable[S2])+SUMIF(BetTable[B3],VLOOKUP(ROW()-3,BookieName[#Data],2,FALSE),BetTable[S3])</f>
        <v>0</v>
      </c>
      <c r="E75" s="136">
        <f>IFERROR(VLOOKUP(ROW()-3,BookieName[#Data],3,FALSE),"")</f>
        <v>0</v>
      </c>
      <c r="F75" s="136">
        <f>SUMIF(LayTable[BackBook],VLOOKUP(ROW()-3,BookieName[#Data],2,FALSE),LayTable[BackStake])+SUMIF(LayTable[LayBook],VLOOKUP(ROW()-3,BookieName[#Data],2,FALSE),LayTable[LayLiability])</f>
        <v>0</v>
      </c>
      <c r="H75" s="136" t="str">
        <f>IFERROR(VLOOKUP(ROW()-3,BookieName[#Data],2,FALSE),"")</f>
        <v>Rivalo</v>
      </c>
      <c r="I75" s="136">
        <f>BookieTurnoverBackBets[[#This Row],[Turnover]]+BookieTurnoverLayBets[[#This Row],[Turnover]]</f>
        <v>0</v>
      </c>
    </row>
    <row r="76" spans="2:9" x14ac:dyDescent="0.25">
      <c r="B76" s="136">
        <f>IFERROR(VLOOKUP(ROW()-3,BookieName[#Data],3,FALSE),"")</f>
        <v>0</v>
      </c>
      <c r="C76" s="136">
        <f>SUMIF(BetTable[Bookie],VLOOKUP(ROW()-3,BookieName[#Data],2,FALSE),BetTable[Stake])+SUMIF(BetTable[B2],VLOOKUP(ROW()-3,BookieName[#Data],2,FALSE),BetTable[S2])+SUMIF(BetTable[B3],VLOOKUP(ROW()-3,BookieName[#Data],2,FALSE),BetTable[S3])</f>
        <v>18263</v>
      </c>
      <c r="E76" s="136">
        <f>IFERROR(VLOOKUP(ROW()-3,BookieName[#Data],3,FALSE),"")</f>
        <v>0</v>
      </c>
      <c r="F76" s="136">
        <f>SUMIF(LayTable[BackBook],VLOOKUP(ROW()-3,BookieName[#Data],2,FALSE),LayTable[BackStake])+SUMIF(LayTable[LayBook],VLOOKUP(ROW()-3,BookieName[#Data],2,FALSE),LayTable[LayLiability])</f>
        <v>0</v>
      </c>
      <c r="H76" s="136" t="str">
        <f>IFERROR(VLOOKUP(ROW()-3,BookieName[#Data],2,FALSE),"")</f>
        <v>SBO</v>
      </c>
      <c r="I76" s="136">
        <f>BookieTurnoverBackBets[[#This Row],[Turnover]]+BookieTurnoverLayBets[[#This Row],[Turnover]]</f>
        <v>18263</v>
      </c>
    </row>
    <row r="77" spans="2:9" x14ac:dyDescent="0.25">
      <c r="B77" s="136">
        <f>IFERROR(VLOOKUP(ROW()-3,BookieName[#Data],3,FALSE),"")</f>
        <v>0</v>
      </c>
      <c r="C77" s="136">
        <f>SUMIF(BetTable[Bookie],VLOOKUP(ROW()-3,BookieName[#Data],2,FALSE),BetTable[Stake])+SUMIF(BetTable[B2],VLOOKUP(ROW()-3,BookieName[#Data],2,FALSE),BetTable[S2])+SUMIF(BetTable[B3],VLOOKUP(ROW()-3,BookieName[#Data],2,FALSE),BetTable[S3])</f>
        <v>0</v>
      </c>
      <c r="E77" s="136">
        <f>IFERROR(VLOOKUP(ROW()-3,BookieName[#Data],3,FALSE),"")</f>
        <v>0</v>
      </c>
      <c r="F77" s="136">
        <f>SUMIF(LayTable[BackBook],VLOOKUP(ROW()-3,BookieName[#Data],2,FALSE),LayTable[BackStake])+SUMIF(LayTable[LayBook],VLOOKUP(ROW()-3,BookieName[#Data],2,FALSE),LayTable[LayLiability])</f>
        <v>0</v>
      </c>
      <c r="H77" s="136" t="str">
        <f>IFERROR(VLOOKUP(ROW()-3,BookieName[#Data],2,FALSE),"")</f>
        <v>Smarkets</v>
      </c>
      <c r="I77" s="136">
        <f>BookieTurnoverBackBets[[#This Row],[Turnover]]+BookieTurnoverLayBets[[#This Row],[Turnover]]</f>
        <v>0</v>
      </c>
    </row>
    <row r="78" spans="2:9" x14ac:dyDescent="0.25">
      <c r="B78" s="136">
        <f>IFERROR(VLOOKUP(ROW()-3,BookieName[#Data],3,FALSE),"")</f>
        <v>0</v>
      </c>
      <c r="C78" s="136">
        <f>SUMIF(BetTable[Bookie],VLOOKUP(ROW()-3,BookieName[#Data],2,FALSE),BetTable[Stake])+SUMIF(BetTable[B2],VLOOKUP(ROW()-3,BookieName[#Data],2,FALSE),BetTable[S2])+SUMIF(BetTable[B3],VLOOKUP(ROW()-3,BookieName[#Data],2,FALSE),BetTable[S3])</f>
        <v>0</v>
      </c>
      <c r="E78" s="136">
        <f>IFERROR(VLOOKUP(ROW()-3,BookieName[#Data],3,FALSE),"")</f>
        <v>0</v>
      </c>
      <c r="F78" s="136">
        <f>SUMIF(LayTable[BackBook],VLOOKUP(ROW()-3,BookieName[#Data],2,FALSE),LayTable[BackStake])+SUMIF(LayTable[LayBook],VLOOKUP(ROW()-3,BookieName[#Data],2,FALSE),LayTable[LayLiability])</f>
        <v>0</v>
      </c>
      <c r="H78" s="136" t="str">
        <f>IFERROR(VLOOKUP(ROW()-3,BookieName[#Data],2,FALSE),"")</f>
        <v>Sportingbet</v>
      </c>
      <c r="I78" s="136">
        <f>BookieTurnoverBackBets[[#This Row],[Turnover]]+BookieTurnoverLayBets[[#This Row],[Turnover]]</f>
        <v>0</v>
      </c>
    </row>
    <row r="79" spans="2:9" x14ac:dyDescent="0.25">
      <c r="B79" s="136">
        <f>IFERROR(VLOOKUP(ROW()-3,BookieName[#Data],3,FALSE),"")</f>
        <v>0</v>
      </c>
      <c r="C79" s="136">
        <f>SUMIF(BetTable[Bookie],VLOOKUP(ROW()-3,BookieName[#Data],2,FALSE),BetTable[Stake])+SUMIF(BetTable[B2],VLOOKUP(ROW()-3,BookieName[#Data],2,FALSE),BetTable[S2])+SUMIF(BetTable[B3],VLOOKUP(ROW()-3,BookieName[#Data],2,FALSE),BetTable[S3])</f>
        <v>0</v>
      </c>
      <c r="E79" s="136">
        <f>IFERROR(VLOOKUP(ROW()-3,BookieName[#Data],3,FALSE),"")</f>
        <v>0</v>
      </c>
      <c r="F79" s="136">
        <f>SUMIF(LayTable[BackBook],VLOOKUP(ROW()-3,BookieName[#Data],2,FALSE),LayTable[BackStake])+SUMIF(LayTable[LayBook],VLOOKUP(ROW()-3,BookieName[#Data],2,FALSE),LayTable[LayLiability])</f>
        <v>0</v>
      </c>
      <c r="H79" s="136" t="str">
        <f>IFERROR(VLOOKUP(ROW()-3,BookieName[#Data],2,FALSE),"")</f>
        <v>Sportsbetting</v>
      </c>
      <c r="I79" s="136">
        <f>BookieTurnoverBackBets[[#This Row],[Turnover]]+BookieTurnoverLayBets[[#This Row],[Turnover]]</f>
        <v>0</v>
      </c>
    </row>
    <row r="80" spans="2:9" x14ac:dyDescent="0.25">
      <c r="B80" s="136">
        <f>IFERROR(VLOOKUP(ROW()-3,BookieName[#Data],3,FALSE),"")</f>
        <v>0</v>
      </c>
      <c r="C80" s="136">
        <f>SUMIF(BetTable[Bookie],VLOOKUP(ROW()-3,BookieName[#Data],2,FALSE),BetTable[Stake])+SUMIF(BetTable[B2],VLOOKUP(ROW()-3,BookieName[#Data],2,FALSE),BetTable[S2])+SUMIF(BetTable[B3],VLOOKUP(ROW()-3,BookieName[#Data],2,FALSE),BetTable[S3])</f>
        <v>0</v>
      </c>
      <c r="E80" s="136">
        <f>IFERROR(VLOOKUP(ROW()-3,BookieName[#Data],3,FALSE),"")</f>
        <v>0</v>
      </c>
      <c r="F80" s="136">
        <f>SUMIF(LayTable[BackBook],VLOOKUP(ROW()-3,BookieName[#Data],2,FALSE),LayTable[BackStake])+SUMIF(LayTable[LayBook],VLOOKUP(ROW()-3,BookieName[#Data],2,FALSE),LayTable[LayLiability])</f>
        <v>0</v>
      </c>
      <c r="H80" s="136" t="str">
        <f>IFERROR(VLOOKUP(ROW()-3,BookieName[#Data],2,FALSE),"")</f>
        <v>StanleybetDK</v>
      </c>
      <c r="I80" s="136">
        <f>BookieTurnoverBackBets[[#This Row],[Turnover]]+BookieTurnoverLayBets[[#This Row],[Turnover]]</f>
        <v>0</v>
      </c>
    </row>
    <row r="81" spans="2:9" x14ac:dyDescent="0.25">
      <c r="B81" s="136">
        <f>IFERROR(VLOOKUP(ROW()-3,BookieName[#Data],3,FALSE),"")</f>
        <v>0</v>
      </c>
      <c r="C81" s="136">
        <f>SUMIF(BetTable[Bookie],VLOOKUP(ROW()-3,BookieName[#Data],2,FALSE),BetTable[Stake])+SUMIF(BetTable[B2],VLOOKUP(ROW()-3,BookieName[#Data],2,FALSE),BetTable[S2])+SUMIF(BetTable[B3],VLOOKUP(ROW()-3,BookieName[#Data],2,FALSE),BetTable[S3])</f>
        <v>0</v>
      </c>
      <c r="E81" s="136">
        <f>IFERROR(VLOOKUP(ROW()-3,BookieName[#Data],3,FALSE),"")</f>
        <v>0</v>
      </c>
      <c r="F81" s="136">
        <f>SUMIF(LayTable[BackBook],VLOOKUP(ROW()-3,BookieName[#Data],2,FALSE),LayTable[BackStake])+SUMIF(LayTable[LayBook],VLOOKUP(ROW()-3,BookieName[#Data],2,FALSE),LayTable[LayLiability])</f>
        <v>0</v>
      </c>
      <c r="H81" s="136" t="str">
        <f>IFERROR(VLOOKUP(ROW()-3,BookieName[#Data],2,FALSE),"")</f>
        <v>Stoiximan</v>
      </c>
      <c r="I81" s="136">
        <f>BookieTurnoverBackBets[[#This Row],[Turnover]]+BookieTurnoverLayBets[[#This Row],[Turnover]]</f>
        <v>0</v>
      </c>
    </row>
    <row r="82" spans="2:9" x14ac:dyDescent="0.25">
      <c r="B82" s="136">
        <f>IFERROR(VLOOKUP(ROW()-3,BookieName[#Data],3,FALSE),"")</f>
        <v>0</v>
      </c>
      <c r="C82" s="136">
        <f>SUMIF(BetTable[Bookie],VLOOKUP(ROW()-3,BookieName[#Data],2,FALSE),BetTable[Stake])+SUMIF(BetTable[B2],VLOOKUP(ROW()-3,BookieName[#Data],2,FALSE),BetTable[S2])+SUMIF(BetTable[B3],VLOOKUP(ROW()-3,BookieName[#Data],2,FALSE),BetTable[S3])</f>
        <v>0</v>
      </c>
      <c r="E82" s="136">
        <f>IFERROR(VLOOKUP(ROW()-3,BookieName[#Data],3,FALSE),"")</f>
        <v>0</v>
      </c>
      <c r="F82" s="136">
        <f>SUMIF(LayTable[BackBook],VLOOKUP(ROW()-3,BookieName[#Data],2,FALSE),LayTable[BackStake])+SUMIF(LayTable[LayBook],VLOOKUP(ROW()-3,BookieName[#Data],2,FALSE),LayTable[LayLiability])</f>
        <v>0</v>
      </c>
      <c r="H82" s="136" t="str">
        <f>IFERROR(VLOOKUP(ROW()-3,BookieName[#Data],2,FALSE),"")</f>
        <v>TabAU</v>
      </c>
      <c r="I82" s="136">
        <f>BookieTurnoverBackBets[[#This Row],[Turnover]]+BookieTurnoverLayBets[[#This Row],[Turnover]]</f>
        <v>0</v>
      </c>
    </row>
    <row r="83" spans="2:9" x14ac:dyDescent="0.25">
      <c r="B83" s="136">
        <f>IFERROR(VLOOKUP(ROW()-3,BookieName[#Data],3,FALSE),"")</f>
        <v>0</v>
      </c>
      <c r="C83" s="136">
        <f>SUMIF(BetTable[Bookie],VLOOKUP(ROW()-3,BookieName[#Data],2,FALSE),BetTable[Stake])+SUMIF(BetTable[B2],VLOOKUP(ROW()-3,BookieName[#Data],2,FALSE),BetTable[S2])+SUMIF(BetTable[B3],VLOOKUP(ROW()-3,BookieName[#Data],2,FALSE),BetTable[S3])</f>
        <v>0</v>
      </c>
      <c r="E83" s="136">
        <f>IFERROR(VLOOKUP(ROW()-3,BookieName[#Data],3,FALSE),"")</f>
        <v>0</v>
      </c>
      <c r="F83" s="136">
        <f>SUMIF(LayTable[BackBook],VLOOKUP(ROW()-3,BookieName[#Data],2,FALSE),LayTable[BackStake])+SUMIF(LayTable[LayBook],VLOOKUP(ROW()-3,BookieName[#Data],2,FALSE),LayTable[LayLiability])</f>
        <v>0</v>
      </c>
      <c r="H83" s="136" t="str">
        <f>IFERROR(VLOOKUP(ROW()-3,BookieName[#Data],2,FALSE),"")</f>
        <v>Tatts</v>
      </c>
      <c r="I83" s="136">
        <f>BookieTurnoverBackBets[[#This Row],[Turnover]]+BookieTurnoverLayBets[[#This Row],[Turnover]]</f>
        <v>0</v>
      </c>
    </row>
    <row r="84" spans="2:9" x14ac:dyDescent="0.25">
      <c r="B84" s="136">
        <f>IFERROR(VLOOKUP(ROW()-3,BookieName[#Data],3,FALSE),"")</f>
        <v>0</v>
      </c>
      <c r="C84" s="136">
        <f>SUMIF(BetTable[Bookie],VLOOKUP(ROW()-3,BookieName[#Data],2,FALSE),BetTable[Stake])+SUMIF(BetTable[B2],VLOOKUP(ROW()-3,BookieName[#Data],2,FALSE),BetTable[S2])+SUMIF(BetTable[B3],VLOOKUP(ROW()-3,BookieName[#Data],2,FALSE),BetTable[S3])</f>
        <v>0</v>
      </c>
      <c r="E84" s="136">
        <f>IFERROR(VLOOKUP(ROW()-3,BookieName[#Data],3,FALSE),"")</f>
        <v>0</v>
      </c>
      <c r="F84" s="136">
        <f>SUMIF(LayTable[BackBook],VLOOKUP(ROW()-3,BookieName[#Data],2,FALSE),LayTable[BackStake])+SUMIF(LayTable[LayBook],VLOOKUP(ROW()-3,BookieName[#Data],2,FALSE),LayTable[LayLiability])</f>
        <v>0</v>
      </c>
      <c r="H84" s="136" t="str">
        <f>IFERROR(VLOOKUP(ROW()-3,BookieName[#Data],2,FALSE),"")</f>
        <v>TheGreek</v>
      </c>
      <c r="I84" s="136">
        <f>BookieTurnoverBackBets[[#This Row],[Turnover]]+BookieTurnoverLayBets[[#This Row],[Turnover]]</f>
        <v>0</v>
      </c>
    </row>
    <row r="85" spans="2:9" x14ac:dyDescent="0.25">
      <c r="B85" s="136">
        <f>IFERROR(VLOOKUP(ROW()-3,BookieName[#Data],3,FALSE),"")</f>
        <v>0</v>
      </c>
      <c r="C85" s="136">
        <f>SUMIF(BetTable[Bookie],VLOOKUP(ROW()-3,BookieName[#Data],2,FALSE),BetTable[Stake])+SUMIF(BetTable[B2],VLOOKUP(ROW()-3,BookieName[#Data],2,FALSE),BetTable[S2])+SUMIF(BetTable[B3],VLOOKUP(ROW()-3,BookieName[#Data],2,FALSE),BetTable[S3])</f>
        <v>0</v>
      </c>
      <c r="E85" s="136">
        <f>IFERROR(VLOOKUP(ROW()-3,BookieName[#Data],3,FALSE),"")</f>
        <v>0</v>
      </c>
      <c r="F85" s="136">
        <f>SUMIF(LayTable[BackBook],VLOOKUP(ROW()-3,BookieName[#Data],2,FALSE),LayTable[BackStake])+SUMIF(LayTable[LayBook],VLOOKUP(ROW()-3,BookieName[#Data],2,FALSE),LayTable[LayLiability])</f>
        <v>0</v>
      </c>
      <c r="H85" s="136" t="str">
        <f>IFERROR(VLOOKUP(ROW()-3,BookieName[#Data],2,FALSE),"")</f>
        <v>Tipico</v>
      </c>
      <c r="I85" s="136">
        <f>BookieTurnoverBackBets[[#This Row],[Turnover]]+BookieTurnoverLayBets[[#This Row],[Turnover]]</f>
        <v>0</v>
      </c>
    </row>
    <row r="86" spans="2:9" x14ac:dyDescent="0.25">
      <c r="B86" s="136">
        <f>IFERROR(VLOOKUP(ROW()-3,BookieName[#Data],3,FALSE),"")</f>
        <v>0</v>
      </c>
      <c r="C86" s="136">
        <f>SUMIF(BetTable[Bookie],VLOOKUP(ROW()-3,BookieName[#Data],2,FALSE),BetTable[Stake])+SUMIF(BetTable[B2],VLOOKUP(ROW()-3,BookieName[#Data],2,FALSE),BetTable[S2])+SUMIF(BetTable[B3],VLOOKUP(ROW()-3,BookieName[#Data],2,FALSE),BetTable[S3])</f>
        <v>0</v>
      </c>
      <c r="E86" s="136">
        <f>IFERROR(VLOOKUP(ROW()-3,BookieName[#Data],3,FALSE),"")</f>
        <v>0</v>
      </c>
      <c r="F86" s="136">
        <f>SUMIF(LayTable[BackBook],VLOOKUP(ROW()-3,BookieName[#Data],2,FALSE),LayTable[BackStake])+SUMIF(LayTable[LayBook],VLOOKUP(ROW()-3,BookieName[#Data],2,FALSE),LayTable[LayLiability])</f>
        <v>0</v>
      </c>
      <c r="H86" s="136" t="str">
        <f>IFERROR(VLOOKUP(ROW()-3,BookieName[#Data],2,FALSE),"")</f>
        <v>TitanBet</v>
      </c>
      <c r="I86" s="136">
        <f>BookieTurnoverBackBets[[#This Row],[Turnover]]+BookieTurnoverLayBets[[#This Row],[Turnover]]</f>
        <v>0</v>
      </c>
    </row>
    <row r="87" spans="2:9" x14ac:dyDescent="0.25">
      <c r="B87" s="136">
        <f>IFERROR(VLOOKUP(ROW()-3,BookieName[#Data],3,FALSE),"")</f>
        <v>0</v>
      </c>
      <c r="C87" s="136">
        <f>SUMIF(BetTable[Bookie],VLOOKUP(ROW()-3,BookieName[#Data],2,FALSE),BetTable[Stake])+SUMIF(BetTable[B2],VLOOKUP(ROW()-3,BookieName[#Data],2,FALSE),BetTable[S2])+SUMIF(BetTable[B3],VLOOKUP(ROW()-3,BookieName[#Data],2,FALSE),BetTable[S3])</f>
        <v>0</v>
      </c>
      <c r="E87" s="136">
        <f>IFERROR(VLOOKUP(ROW()-3,BookieName[#Data],3,FALSE),"")</f>
        <v>0</v>
      </c>
      <c r="F87" s="136">
        <f>SUMIF(LayTable[BackBook],VLOOKUP(ROW()-3,BookieName[#Data],2,FALSE),LayTable[BackStake])+SUMIF(LayTable[LayBook],VLOOKUP(ROW()-3,BookieName[#Data],2,FALSE),LayTable[LayLiability])</f>
        <v>0</v>
      </c>
      <c r="H87" s="136" t="str">
        <f>IFERROR(VLOOKUP(ROW()-3,BookieName[#Data],2,FALSE),"")</f>
        <v>TLCBet</v>
      </c>
      <c r="I87" s="136">
        <f>BookieTurnoverBackBets[[#This Row],[Turnover]]+BookieTurnoverLayBets[[#This Row],[Turnover]]</f>
        <v>0</v>
      </c>
    </row>
    <row r="88" spans="2:9" x14ac:dyDescent="0.25">
      <c r="B88" s="136">
        <f>IFERROR(VLOOKUP(ROW()-3,BookieName[#Data],3,FALSE),"")</f>
        <v>0</v>
      </c>
      <c r="C88" s="136">
        <f>SUMIF(BetTable[Bookie],VLOOKUP(ROW()-3,BookieName[#Data],2,FALSE),BetTable[Stake])+SUMIF(BetTable[B2],VLOOKUP(ROW()-3,BookieName[#Data],2,FALSE),BetTable[S2])+SUMIF(BetTable[B3],VLOOKUP(ROW()-3,BookieName[#Data],2,FALSE),BetTable[S3])</f>
        <v>0</v>
      </c>
      <c r="E88" s="136">
        <f>IFERROR(VLOOKUP(ROW()-3,BookieName[#Data],3,FALSE),"")</f>
        <v>0</v>
      </c>
      <c r="F88" s="136">
        <f>SUMIF(LayTable[BackBook],VLOOKUP(ROW()-3,BookieName[#Data],2,FALSE),LayTable[BackStake])+SUMIF(LayTable[LayBook],VLOOKUP(ROW()-3,BookieName[#Data],2,FALSE),LayTable[LayLiability])</f>
        <v>0</v>
      </c>
      <c r="H88" s="136" t="str">
        <f>IFERROR(VLOOKUP(ROW()-3,BookieName[#Data],2,FALSE),"")</f>
        <v>TLCBetUK</v>
      </c>
      <c r="I88" s="136">
        <f>BookieTurnoverBackBets[[#This Row],[Turnover]]+BookieTurnoverLayBets[[#This Row],[Turnover]]</f>
        <v>0</v>
      </c>
    </row>
    <row r="89" spans="2:9" x14ac:dyDescent="0.25">
      <c r="B89" s="136">
        <f>IFERROR(VLOOKUP(ROW()-3,BookieName[#Data],3,FALSE),"")</f>
        <v>0</v>
      </c>
      <c r="C89" s="136">
        <f>SUMIF(BetTable[Bookie],VLOOKUP(ROW()-3,BookieName[#Data],2,FALSE),BetTable[Stake])+SUMIF(BetTable[B2],VLOOKUP(ROW()-3,BookieName[#Data],2,FALSE),BetTable[S2])+SUMIF(BetTable[B3],VLOOKUP(ROW()-3,BookieName[#Data],2,FALSE),BetTable[S3])</f>
        <v>0</v>
      </c>
      <c r="E89" s="136">
        <f>IFERROR(VLOOKUP(ROW()-3,BookieName[#Data],3,FALSE),"")</f>
        <v>0</v>
      </c>
      <c r="F89" s="136">
        <f>SUMIF(LayTable[BackBook],VLOOKUP(ROW()-3,BookieName[#Data],2,FALSE),LayTable[BackStake])+SUMIF(LayTable[LayBook],VLOOKUP(ROW()-3,BookieName[#Data],2,FALSE),LayTable[LayLiability])</f>
        <v>0</v>
      </c>
      <c r="H89" s="136" t="str">
        <f>IFERROR(VLOOKUP(ROW()-3,BookieName[#Data],2,FALSE),"")</f>
        <v>Unibet</v>
      </c>
      <c r="I89" s="136">
        <f>BookieTurnoverBackBets[[#This Row],[Turnover]]+BookieTurnoverLayBets[[#This Row],[Turnover]]</f>
        <v>0</v>
      </c>
    </row>
    <row r="90" spans="2:9" x14ac:dyDescent="0.25">
      <c r="B90" s="136">
        <f>IFERROR(VLOOKUP(ROW()-3,BookieName[#Data],3,FALSE),"")</f>
        <v>0</v>
      </c>
      <c r="C90" s="136">
        <f>SUMIF(BetTable[Bookie],VLOOKUP(ROW()-3,BookieName[#Data],2,FALSE),BetTable[Stake])+SUMIF(BetTable[B2],VLOOKUP(ROW()-3,BookieName[#Data],2,FALSE),BetTable[S2])+SUMIF(BetTable[B3],VLOOKUP(ROW()-3,BookieName[#Data],2,FALSE),BetTable[S3])</f>
        <v>0</v>
      </c>
      <c r="E90" s="136">
        <f>IFERROR(VLOOKUP(ROW()-3,BookieName[#Data],3,FALSE),"")</f>
        <v>0</v>
      </c>
      <c r="F90" s="136">
        <f>SUMIF(LayTable[BackBook],VLOOKUP(ROW()-3,BookieName[#Data],2,FALSE),LayTable[BackStake])+SUMIF(LayTable[LayBook],VLOOKUP(ROW()-3,BookieName[#Data],2,FALSE),LayTable[LayLiability])</f>
        <v>0</v>
      </c>
      <c r="H90" s="136" t="str">
        <f>IFERROR(VLOOKUP(ROW()-3,BookieName[#Data],2,FALSE),"")</f>
        <v>WilliamHill</v>
      </c>
      <c r="I90" s="136">
        <f>BookieTurnoverBackBets[[#This Row],[Turnover]]+BookieTurnoverLayBets[[#This Row],[Turnover]]</f>
        <v>0</v>
      </c>
    </row>
    <row r="91" spans="2:9" x14ac:dyDescent="0.25">
      <c r="B91" s="136">
        <f>IFERROR(VLOOKUP(ROW()-3,BookieName[#Data],3,FALSE),"")</f>
        <v>0</v>
      </c>
      <c r="C91" s="136">
        <f>SUMIF(BetTable[Bookie],VLOOKUP(ROW()-3,BookieName[#Data],2,FALSE),BetTable[Stake])+SUMIF(BetTable[B2],VLOOKUP(ROW()-3,BookieName[#Data],2,FALSE),BetTable[S2])+SUMIF(BetTable[B3],VLOOKUP(ROW()-3,BookieName[#Data],2,FALSE),BetTable[S3])</f>
        <v>0</v>
      </c>
      <c r="E91" s="136">
        <f>IFERROR(VLOOKUP(ROW()-3,BookieName[#Data],3,FALSE),"")</f>
        <v>0</v>
      </c>
      <c r="F91" s="136">
        <f>SUMIF(LayTable[BackBook],VLOOKUP(ROW()-3,BookieName[#Data],2,FALSE),LayTable[BackStake])+SUMIF(LayTable[LayBook],VLOOKUP(ROW()-3,BookieName[#Data],2,FALSE),LayTable[LayLiability])</f>
        <v>0</v>
      </c>
      <c r="H91" s="136" t="str">
        <f>IFERROR(VLOOKUP(ROW()-3,BookieName[#Data],2,FALSE),"")</f>
        <v>WilliamHillAU</v>
      </c>
      <c r="I91" s="136">
        <f>BookieTurnoverBackBets[[#This Row],[Turnover]]+BookieTurnoverLayBets[[#This Row],[Turnover]]</f>
        <v>0</v>
      </c>
    </row>
    <row r="92" spans="2:9" x14ac:dyDescent="0.25">
      <c r="B92" s="136">
        <f>IFERROR(VLOOKUP(ROW()-3,BookieName[#Data],3,FALSE),"")</f>
        <v>0</v>
      </c>
      <c r="C92" s="136">
        <f>SUMIF(BetTable[Bookie],VLOOKUP(ROW()-3,BookieName[#Data],2,FALSE),BetTable[Stake])+SUMIF(BetTable[B2],VLOOKUP(ROW()-3,BookieName[#Data],2,FALSE),BetTable[S2])+SUMIF(BetTable[B3],VLOOKUP(ROW()-3,BookieName[#Data],2,FALSE),BetTable[S3])</f>
        <v>0</v>
      </c>
      <c r="E92" s="136">
        <f>IFERROR(VLOOKUP(ROW()-3,BookieName[#Data],3,FALSE),"")</f>
        <v>0</v>
      </c>
      <c r="F92" s="136">
        <f>SUMIF(LayTable[BackBook],VLOOKUP(ROW()-3,BookieName[#Data],2,FALSE),LayTable[BackStake])+SUMIF(LayTable[LayBook],VLOOKUP(ROW()-3,BookieName[#Data],2,FALSE),LayTable[LayLiability])</f>
        <v>0</v>
      </c>
      <c r="H92" s="136" t="str">
        <f>IFERROR(VLOOKUP(ROW()-3,BookieName[#Data],2,FALSE),"")</f>
        <v>Winner</v>
      </c>
      <c r="I92" s="136">
        <f>BookieTurnoverBackBets[[#This Row],[Turnover]]+BookieTurnoverLayBets[[#This Row],[Turnover]]</f>
        <v>0</v>
      </c>
    </row>
    <row r="93" spans="2:9" x14ac:dyDescent="0.25">
      <c r="B93" s="136">
        <f>IFERROR(VLOOKUP(ROW()-3,BookieName[#Data],3,FALSE),"")</f>
        <v>0</v>
      </c>
      <c r="C93" s="136">
        <f>SUMIF(BetTable[Bookie],VLOOKUP(ROW()-3,BookieName[#Data],2,FALSE),BetTable[Stake])+SUMIF(BetTable[B2],VLOOKUP(ROW()-3,BookieName[#Data],2,FALSE),BetTable[S2])+SUMIF(BetTable[B3],VLOOKUP(ROW()-3,BookieName[#Data],2,FALSE),BetTable[S3])</f>
        <v>0</v>
      </c>
      <c r="E93" s="136">
        <f>IFERROR(VLOOKUP(ROW()-3,BookieName[#Data],3,FALSE),"")</f>
        <v>0</v>
      </c>
      <c r="F93" s="136">
        <f>SUMIF(LayTable[BackBook],VLOOKUP(ROW()-3,BookieName[#Data],2,FALSE),LayTable[BackStake])+SUMIF(LayTable[LayBook],VLOOKUP(ROW()-3,BookieName[#Data],2,FALSE),LayTable[LayLiability])</f>
        <v>0</v>
      </c>
      <c r="H93" s="136" t="str">
        <f>IFERROR(VLOOKUP(ROW()-3,BookieName[#Data],2,FALSE),"")</f>
        <v>XTiP</v>
      </c>
      <c r="I93" s="136">
        <f>BookieTurnoverBackBets[[#This Row],[Turnover]]+BookieTurnoverLayBets[[#This Row],[Turnover]]</f>
        <v>0</v>
      </c>
    </row>
    <row r="94" spans="2:9" x14ac:dyDescent="0.25">
      <c r="B94" s="136">
        <f>IFERROR(VLOOKUP(ROW()-3,BookieName[#Data],3,FALSE),"")</f>
        <v>0</v>
      </c>
      <c r="C94" s="136">
        <f>SUMIF(BetTable[Bookie],VLOOKUP(ROW()-3,BookieName[#Data],2,FALSE),BetTable[Stake])+SUMIF(BetTable[B2],VLOOKUP(ROW()-3,BookieName[#Data],2,FALSE),BetTable[S2])+SUMIF(BetTable[B3],VLOOKUP(ROW()-3,BookieName[#Data],2,FALSE),BetTable[S3])</f>
        <v>62</v>
      </c>
      <c r="E94" s="136">
        <f>IFERROR(VLOOKUP(ROW()-3,BookieName[#Data],3,FALSE),"")</f>
        <v>0</v>
      </c>
      <c r="F94" s="136">
        <f>SUMIF(LayTable[BackBook],VLOOKUP(ROW()-3,BookieName[#Data],2,FALSE),LayTable[BackStake])+SUMIF(LayTable[LayBook],VLOOKUP(ROW()-3,BookieName[#Data],2,FALSE),LayTable[LayLiability])</f>
        <v>0</v>
      </c>
      <c r="H94" s="136" t="str">
        <f>IFERROR(VLOOKUP(ROW()-3,BookieName[#Data],2,FALSE),"")</f>
        <v>Pokerstars EU</v>
      </c>
      <c r="I94" s="136">
        <f>BookieTurnoverBackBets[[#This Row],[Turnover]]+BookieTurnoverLayBets[[#This Row],[Turnover]]</f>
        <v>62</v>
      </c>
    </row>
    <row r="95" spans="2:9" x14ac:dyDescent="0.25">
      <c r="B95" s="136">
        <f>IFERROR(VLOOKUP(ROW()-3,BookieName[#Data],3,FALSE),"")</f>
        <v>0</v>
      </c>
      <c r="C95" s="136">
        <f>SUMIF(BetTable[Bookie],VLOOKUP(ROW()-3,BookieName[#Data],2,FALSE),BetTable[Stake])+SUMIF(BetTable[B2],VLOOKUP(ROW()-3,BookieName[#Data],2,FALSE),BetTable[S2])+SUMIF(BetTable[B3],VLOOKUP(ROW()-3,BookieName[#Data],2,FALSE),BetTable[S3])</f>
        <v>27921</v>
      </c>
      <c r="E95" s="136">
        <f>IFERROR(VLOOKUP(ROW()-3,BookieName[#Data],3,FALSE),"")</f>
        <v>0</v>
      </c>
      <c r="F95" s="136">
        <f>SUMIF(LayTable[BackBook],VLOOKUP(ROW()-3,BookieName[#Data],2,FALSE),LayTable[BackStake])+SUMIF(LayTable[LayBook],VLOOKUP(ROW()-3,BookieName[#Data],2,FALSE),LayTable[LayLiability])</f>
        <v>0</v>
      </c>
      <c r="H95" s="136" t="str">
        <f>IFERROR(VLOOKUP(ROW()-3,BookieName[#Data],2,FALSE),"")</f>
        <v>AsianOdds</v>
      </c>
      <c r="I95" s="136">
        <f>BookieTurnoverBackBets[[#This Row],[Turnover]]+BookieTurnoverLayBets[[#This Row],[Turnover]]</f>
        <v>27921</v>
      </c>
    </row>
    <row r="96" spans="2:9" x14ac:dyDescent="0.25">
      <c r="B96" s="136" t="str">
        <f>IFERROR(VLOOKUP(ROW()-3,BookieName[#Data],3,FALSE),"")</f>
        <v/>
      </c>
      <c r="C96" s="136">
        <f>SUMIF(BetTable[Bookie],VLOOKUP(ROW()-3,BookieName[#Data],2,FALSE),BetTable[Stake])+SUMIF(BetTable[B2],VLOOKUP(ROW()-3,BookieName[#Data],2,FALSE),BetTable[S2])+SUMIF(BetTable[B3],VLOOKUP(ROW()-3,BookieName[#Data],2,FALSE),BetTable[S3])</f>
        <v>0</v>
      </c>
      <c r="E96" s="136" t="str">
        <f>IFERROR(VLOOKUP(ROW()-3,BookieName[#Data],3,FALSE),"")</f>
        <v/>
      </c>
      <c r="F96" s="136">
        <f>SUMIF(LayTable[BackBook],VLOOKUP(ROW()-3,BookieName[#Data],2,FALSE),LayTable[BackStake])+SUMIF(LayTable[LayBook],VLOOKUP(ROW()-3,BookieName[#Data],2,FALSE),LayTable[LayLiability])</f>
        <v>0</v>
      </c>
      <c r="H96" s="136" t="str">
        <f>IFERROR(VLOOKUP(ROW()-3,BookieName[#Data],2,FALSE),"")</f>
        <v/>
      </c>
      <c r="I96" s="136">
        <f>BookieTurnoverBackBets[[#This Row],[Turnover]]+BookieTurnoverLayBets[[#This Row],[Turnover]]</f>
        <v>0</v>
      </c>
    </row>
    <row r="97" spans="2:9" x14ac:dyDescent="0.25">
      <c r="B97" s="136" t="str">
        <f>IFERROR(VLOOKUP(ROW()-3,BookieName[#Data],3,FALSE),"")</f>
        <v/>
      </c>
      <c r="C97" s="136">
        <f>SUMIF(BetTable[Bookie],VLOOKUP(ROW()-3,BookieName[#Data],2,FALSE),BetTable[Stake])+SUMIF(BetTable[B2],VLOOKUP(ROW()-3,BookieName[#Data],2,FALSE),BetTable[S2])+SUMIF(BetTable[B3],VLOOKUP(ROW()-3,BookieName[#Data],2,FALSE),BetTable[S3])</f>
        <v>0</v>
      </c>
      <c r="E97" s="136" t="str">
        <f>IFERROR(VLOOKUP(ROW()-3,BookieName[#Data],3,FALSE),"")</f>
        <v/>
      </c>
      <c r="F97" s="136">
        <f>SUMIF(LayTable[BackBook],VLOOKUP(ROW()-3,BookieName[#Data],2,FALSE),LayTable[BackStake])+SUMIF(LayTable[LayBook],VLOOKUP(ROW()-3,BookieName[#Data],2,FALSE),LayTable[LayLiability])</f>
        <v>0</v>
      </c>
      <c r="H97" s="136" t="str">
        <f>IFERROR(VLOOKUP(ROW()-3,BookieName[#Data],2,FALSE),"")</f>
        <v/>
      </c>
      <c r="I97" s="136">
        <f>BookieTurnoverBackBets[[#This Row],[Turnover]]+BookieTurnoverLayBets[[#This Row],[Turnover]]</f>
        <v>0</v>
      </c>
    </row>
    <row r="98" spans="2:9" x14ac:dyDescent="0.25">
      <c r="B98" s="136" t="str">
        <f>IFERROR(VLOOKUP(ROW()-3,BookieName[#Data],3,FALSE),"")</f>
        <v/>
      </c>
      <c r="C98" s="136">
        <f>SUMIF(BetTable[Bookie],VLOOKUP(ROW()-3,BookieName[#Data],2,FALSE),BetTable[Stake])+SUMIF(BetTable[B2],VLOOKUP(ROW()-3,BookieName[#Data],2,FALSE),BetTable[S2])+SUMIF(BetTable[B3],VLOOKUP(ROW()-3,BookieName[#Data],2,FALSE),BetTable[S3])</f>
        <v>0</v>
      </c>
      <c r="E98" s="136" t="str">
        <f>IFERROR(VLOOKUP(ROW()-3,BookieName[#Data],3,FALSE),"")</f>
        <v/>
      </c>
      <c r="F98" s="136">
        <f>SUMIF(LayTable[BackBook],VLOOKUP(ROW()-3,BookieName[#Data],2,FALSE),LayTable[BackStake])+SUMIF(LayTable[LayBook],VLOOKUP(ROW()-3,BookieName[#Data],2,FALSE),LayTable[LayLiability])</f>
        <v>0</v>
      </c>
      <c r="H98" s="136" t="str">
        <f>IFERROR(VLOOKUP(ROW()-3,BookieName[#Data],2,FALSE),"")</f>
        <v/>
      </c>
      <c r="I98" s="136">
        <f>BookieTurnoverBackBets[[#This Row],[Turnover]]+BookieTurnoverLayBets[[#This Row],[Turnover]]</f>
        <v>0</v>
      </c>
    </row>
    <row r="99" spans="2:9" x14ac:dyDescent="0.25">
      <c r="B99" s="136" t="str">
        <f>IFERROR(VLOOKUP(ROW()-3,BookieName[#Data],3,FALSE),"")</f>
        <v/>
      </c>
      <c r="C99" s="136">
        <f>SUMIF(BetTable[Bookie],VLOOKUP(ROW()-3,BookieName[#Data],2,FALSE),BetTable[Stake])+SUMIF(BetTable[B2],VLOOKUP(ROW()-3,BookieName[#Data],2,FALSE),BetTable[S2])+SUMIF(BetTable[B3],VLOOKUP(ROW()-3,BookieName[#Data],2,FALSE),BetTable[S3])</f>
        <v>0</v>
      </c>
      <c r="E99" s="136" t="str">
        <f>IFERROR(VLOOKUP(ROW()-3,BookieName[#Data],3,FALSE),"")</f>
        <v/>
      </c>
      <c r="F99" s="136">
        <f>SUMIF(LayTable[BackBook],VLOOKUP(ROW()-3,BookieName[#Data],2,FALSE),LayTable[BackStake])+SUMIF(LayTable[LayBook],VLOOKUP(ROW()-3,BookieName[#Data],2,FALSE),LayTable[LayLiability])</f>
        <v>0</v>
      </c>
      <c r="H99" s="136" t="str">
        <f>IFERROR(VLOOKUP(ROW()-3,BookieName[#Data],2,FALSE),"")</f>
        <v/>
      </c>
      <c r="I99" s="136">
        <f>BookieTurnoverBackBets[[#This Row],[Turnover]]+BookieTurnoverLayBets[[#This Row],[Turnover]]</f>
        <v>0</v>
      </c>
    </row>
    <row r="100" spans="2:9" x14ac:dyDescent="0.25">
      <c r="B100" s="136" t="str">
        <f>IFERROR(VLOOKUP(ROW()-3,BookieName[#Data],3,FALSE),"")</f>
        <v/>
      </c>
      <c r="C100" s="136">
        <f>SUMIF(BetTable[Bookie],VLOOKUP(ROW()-3,BookieName[#Data],2,FALSE),BetTable[Stake])+SUMIF(BetTable[B2],VLOOKUP(ROW()-3,BookieName[#Data],2,FALSE),BetTable[S2])+SUMIF(BetTable[B3],VLOOKUP(ROW()-3,BookieName[#Data],2,FALSE),BetTable[S3])</f>
        <v>0</v>
      </c>
      <c r="E100" s="136" t="str">
        <f>IFERROR(VLOOKUP(ROW()-3,BookieName[#Data],3,FALSE),"")</f>
        <v/>
      </c>
      <c r="F100" s="136">
        <f>SUMIF(LayTable[BackBook],VLOOKUP(ROW()-3,BookieName[#Data],2,FALSE),LayTable[BackStake])+SUMIF(LayTable[LayBook],VLOOKUP(ROW()-3,BookieName[#Data],2,FALSE),LayTable[LayLiability])</f>
        <v>0</v>
      </c>
      <c r="H100" s="136" t="str">
        <f>IFERROR(VLOOKUP(ROW()-3,BookieName[#Data],2,FALSE),"")</f>
        <v/>
      </c>
      <c r="I100" s="136">
        <f>BookieTurnoverBackBets[[#This Row],[Turnover]]+BookieTurnoverLayBets[[#This Row],[Turnover]]</f>
        <v>0</v>
      </c>
    </row>
    <row r="101" spans="2:9" x14ac:dyDescent="0.25">
      <c r="B101" s="136" t="str">
        <f>IFERROR(VLOOKUP(ROW()-3,BookieName[#Data],3,FALSE),"")</f>
        <v/>
      </c>
      <c r="C101" s="136">
        <f>SUMIF(BetTable[Bookie],VLOOKUP(ROW()-3,BookieName[#Data],2,FALSE),BetTable[Stake])+SUMIF(BetTable[B2],VLOOKUP(ROW()-3,BookieName[#Data],2,FALSE),BetTable[S2])+SUMIF(BetTable[B3],VLOOKUP(ROW()-3,BookieName[#Data],2,FALSE),BetTable[S3])</f>
        <v>0</v>
      </c>
      <c r="E101" s="136" t="str">
        <f>IFERROR(VLOOKUP(ROW()-3,BookieName[#Data],3,FALSE),"")</f>
        <v/>
      </c>
      <c r="F101" s="136">
        <f>SUMIF(LayTable[BackBook],VLOOKUP(ROW()-3,BookieName[#Data],2,FALSE),LayTable[BackStake])+SUMIF(LayTable[LayBook],VLOOKUP(ROW()-3,BookieName[#Data],2,FALSE),LayTable[LayLiability])</f>
        <v>0</v>
      </c>
      <c r="H101" s="136" t="str">
        <f>IFERROR(VLOOKUP(ROW()-3,BookieName[#Data],2,FALSE),"")</f>
        <v/>
      </c>
      <c r="I101" s="136">
        <f>BookieTurnoverBackBets[[#This Row],[Turnover]]+BookieTurnoverLayBets[[#This Row],[Turnover]]</f>
        <v>0</v>
      </c>
    </row>
    <row r="102" spans="2:9" x14ac:dyDescent="0.25">
      <c r="B102" s="136" t="str">
        <f>IFERROR(VLOOKUP(ROW()-3,BookieName[#Data],3,FALSE),"")</f>
        <v/>
      </c>
      <c r="C102" s="136">
        <f>SUMIF(BetTable[Bookie],VLOOKUP(ROW()-3,BookieName[#Data],2,FALSE),BetTable[Stake])+SUMIF(BetTable[B2],VLOOKUP(ROW()-3,BookieName[#Data],2,FALSE),BetTable[S2])+SUMIF(BetTable[B3],VLOOKUP(ROW()-3,BookieName[#Data],2,FALSE),BetTable[S3])</f>
        <v>0</v>
      </c>
      <c r="E102" s="136" t="str">
        <f>IFERROR(VLOOKUP(ROW()-3,BookieName[#Data],3,FALSE),"")</f>
        <v/>
      </c>
      <c r="F102" s="136">
        <f>SUMIF(LayTable[BackBook],VLOOKUP(ROW()-3,BookieName[#Data],2,FALSE),LayTable[BackStake])+SUMIF(LayTable[LayBook],VLOOKUP(ROW()-3,BookieName[#Data],2,FALSE),LayTable[LayLiability])</f>
        <v>0</v>
      </c>
      <c r="H102" s="136" t="str">
        <f>IFERROR(VLOOKUP(ROW()-3,BookieName[#Data],2,FALSE),"")</f>
        <v/>
      </c>
      <c r="I102" s="136">
        <f>BookieTurnoverBackBets[[#This Row],[Turnover]]+BookieTurnoverLayBets[[#This Row],[Turnover]]</f>
        <v>0</v>
      </c>
    </row>
    <row r="103" spans="2:9" x14ac:dyDescent="0.25">
      <c r="B103" s="136" t="str">
        <f>IFERROR(VLOOKUP(ROW()-3,BookieName[#Data],3,FALSE),"")</f>
        <v/>
      </c>
      <c r="C103" s="136">
        <f>SUMIF(BetTable[Bookie],VLOOKUP(ROW()-3,BookieName[#Data],2,FALSE),BetTable[Stake])+SUMIF(BetTable[B2],VLOOKUP(ROW()-3,BookieName[#Data],2,FALSE),BetTable[S2])+SUMIF(BetTable[B3],VLOOKUP(ROW()-3,BookieName[#Data],2,FALSE),BetTable[S3])</f>
        <v>0</v>
      </c>
      <c r="E103" s="136" t="str">
        <f>IFERROR(VLOOKUP(ROW()-3,BookieName[#Data],3,FALSE),"")</f>
        <v/>
      </c>
      <c r="F103" s="136">
        <f>SUMIF(LayTable[BackBook],VLOOKUP(ROW()-3,BookieName[#Data],2,FALSE),LayTable[BackStake])+SUMIF(LayTable[LayBook],VLOOKUP(ROW()-3,BookieName[#Data],2,FALSE),LayTable[LayLiability])</f>
        <v>0</v>
      </c>
      <c r="H103" s="136" t="str">
        <f>IFERROR(VLOOKUP(ROW()-3,BookieName[#Data],2,FALSE),"")</f>
        <v/>
      </c>
      <c r="I103" s="136">
        <f>BookieTurnoverBackBets[[#This Row],[Turnover]]+BookieTurnoverLayBets[[#This Row],[Turnover]]</f>
        <v>0</v>
      </c>
    </row>
    <row r="104" spans="2:9" x14ac:dyDescent="0.25">
      <c r="B104" s="136" t="str">
        <f>IFERROR(VLOOKUP(ROW()-3,BookieName[#Data],3,FALSE),"")</f>
        <v/>
      </c>
      <c r="C104" s="136">
        <f>SUMIF(BetTable[Bookie],VLOOKUP(ROW()-3,BookieName[#Data],2,FALSE),BetTable[Stake])+SUMIF(BetTable[B2],VLOOKUP(ROW()-3,BookieName[#Data],2,FALSE),BetTable[S2])+SUMIF(BetTable[B3],VLOOKUP(ROW()-3,BookieName[#Data],2,FALSE),BetTable[S3])</f>
        <v>0</v>
      </c>
      <c r="E104" s="136" t="str">
        <f>IFERROR(VLOOKUP(ROW()-3,BookieName[#Data],3,FALSE),"")</f>
        <v/>
      </c>
      <c r="F104" s="136">
        <f>SUMIF(LayTable[BackBook],VLOOKUP(ROW()-3,BookieName[#Data],2,FALSE),LayTable[BackStake])+SUMIF(LayTable[LayBook],VLOOKUP(ROW()-3,BookieName[#Data],2,FALSE),LayTable[LayLiability])</f>
        <v>0</v>
      </c>
      <c r="H104" s="136" t="str">
        <f>IFERROR(VLOOKUP(ROW()-3,BookieName[#Data],2,FALSE),"")</f>
        <v/>
      </c>
      <c r="I104" s="136">
        <f>BookieTurnoverBackBets[[#This Row],[Turnover]]+BookieTurnoverLayBets[[#This Row],[Turnover]]</f>
        <v>0</v>
      </c>
    </row>
    <row r="105" spans="2:9" x14ac:dyDescent="0.25">
      <c r="B105" s="136" t="str">
        <f>IFERROR(VLOOKUP(ROW()-3,BookieName[#Data],3,FALSE),"")</f>
        <v/>
      </c>
      <c r="C105" s="136">
        <f>SUMIF(BetTable[Bookie],VLOOKUP(ROW()-3,BookieName[#Data],2,FALSE),BetTable[Stake])+SUMIF(BetTable[B2],VLOOKUP(ROW()-3,BookieName[#Data],2,FALSE),BetTable[S2])+SUMIF(BetTable[B3],VLOOKUP(ROW()-3,BookieName[#Data],2,FALSE),BetTable[S3])</f>
        <v>0</v>
      </c>
      <c r="E105" s="136" t="str">
        <f>IFERROR(VLOOKUP(ROW()-3,BookieName[#Data],3,FALSE),"")</f>
        <v/>
      </c>
      <c r="F105" s="136">
        <f>SUMIF(LayTable[BackBook],VLOOKUP(ROW()-3,BookieName[#Data],2,FALSE),LayTable[BackStake])+SUMIF(LayTable[LayBook],VLOOKUP(ROW()-3,BookieName[#Data],2,FALSE),LayTable[LayLiability])</f>
        <v>0</v>
      </c>
      <c r="H105" s="136" t="str">
        <f>IFERROR(VLOOKUP(ROW()-3,BookieName[#Data],2,FALSE),"")</f>
        <v/>
      </c>
      <c r="I105" s="136">
        <f>BookieTurnoverBackBets[[#This Row],[Turnover]]+BookieTurnoverLayBets[[#This Row],[Turnover]]</f>
        <v>0</v>
      </c>
    </row>
    <row r="106" spans="2:9" x14ac:dyDescent="0.25">
      <c r="B106" s="136" t="str">
        <f>IFERROR(VLOOKUP(ROW()-3,BookieName[#Data],3,FALSE),"")</f>
        <v/>
      </c>
      <c r="C106" s="136">
        <f>SUMIF(BetTable[Bookie],VLOOKUP(ROW()-3,BookieName[#Data],2,FALSE),BetTable[Stake])+SUMIF(BetTable[B2],VLOOKUP(ROW()-3,BookieName[#Data],2,FALSE),BetTable[S2])+SUMIF(BetTable[B3],VLOOKUP(ROW()-3,BookieName[#Data],2,FALSE),BetTable[S3])</f>
        <v>0</v>
      </c>
      <c r="E106" s="136" t="str">
        <f>IFERROR(VLOOKUP(ROW()-3,BookieName[#Data],3,FALSE),"")</f>
        <v/>
      </c>
      <c r="F106" s="136">
        <f>SUMIF(LayTable[BackBook],VLOOKUP(ROW()-3,BookieName[#Data],2,FALSE),LayTable[BackStake])+SUMIF(LayTable[LayBook],VLOOKUP(ROW()-3,BookieName[#Data],2,FALSE),LayTable[LayLiability])</f>
        <v>0</v>
      </c>
      <c r="H106" s="136" t="str">
        <f>IFERROR(VLOOKUP(ROW()-3,BookieName[#Data],2,FALSE),"")</f>
        <v/>
      </c>
      <c r="I106" s="136">
        <f>BookieTurnoverBackBets[[#This Row],[Turnover]]+BookieTurnoverLayBets[[#This Row],[Turnover]]</f>
        <v>0</v>
      </c>
    </row>
    <row r="107" spans="2:9" x14ac:dyDescent="0.25">
      <c r="B107" s="136" t="str">
        <f>IFERROR(VLOOKUP(ROW()-3,BookieName[#Data],3,FALSE),"")</f>
        <v/>
      </c>
      <c r="C107" s="136">
        <f>SUMIF(BetTable[Bookie],VLOOKUP(ROW()-3,BookieName[#Data],2,FALSE),BetTable[Stake])+SUMIF(BetTable[B2],VLOOKUP(ROW()-3,BookieName[#Data],2,FALSE),BetTable[S2])+SUMIF(BetTable[B3],VLOOKUP(ROW()-3,BookieName[#Data],2,FALSE),BetTable[S3])</f>
        <v>0</v>
      </c>
      <c r="E107" s="136" t="str">
        <f>IFERROR(VLOOKUP(ROW()-3,BookieName[#Data],3,FALSE),"")</f>
        <v/>
      </c>
      <c r="F107" s="136">
        <f>SUMIF(LayTable[BackBook],VLOOKUP(ROW()-3,BookieName[#Data],2,FALSE),LayTable[BackStake])+SUMIF(LayTable[LayBook],VLOOKUP(ROW()-3,BookieName[#Data],2,FALSE),LayTable[LayLiability])</f>
        <v>0</v>
      </c>
      <c r="H107" s="136" t="str">
        <f>IFERROR(VLOOKUP(ROW()-3,BookieName[#Data],2,FALSE),"")</f>
        <v/>
      </c>
      <c r="I107" s="136">
        <f>BookieTurnoverBackBets[[#This Row],[Turnover]]+BookieTurnoverLayBets[[#This Row],[Turnover]]</f>
        <v>0</v>
      </c>
    </row>
    <row r="108" spans="2:9" x14ac:dyDescent="0.25">
      <c r="B108" s="136" t="str">
        <f>IFERROR(VLOOKUP(ROW()-3,BookieName[#Data],3,FALSE),"")</f>
        <v/>
      </c>
      <c r="C108" s="136">
        <f>SUMIF(BetTable[Bookie],VLOOKUP(ROW()-3,BookieName[#Data],2,FALSE),BetTable[Stake])+SUMIF(BetTable[B2],VLOOKUP(ROW()-3,BookieName[#Data],2,FALSE),BetTable[S2])+SUMIF(BetTable[B3],VLOOKUP(ROW()-3,BookieName[#Data],2,FALSE),BetTable[S3])</f>
        <v>0</v>
      </c>
      <c r="E108" s="136" t="str">
        <f>IFERROR(VLOOKUP(ROW()-3,BookieName[#Data],3,FALSE),"")</f>
        <v/>
      </c>
      <c r="F108" s="136">
        <f>SUMIF(LayTable[BackBook],VLOOKUP(ROW()-3,BookieName[#Data],2,FALSE),LayTable[BackStake])+SUMIF(LayTable[LayBook],VLOOKUP(ROW()-3,BookieName[#Data],2,FALSE),LayTable[LayLiability])</f>
        <v>0</v>
      </c>
      <c r="H108" s="136" t="str">
        <f>IFERROR(VLOOKUP(ROW()-3,BookieName[#Data],2,FALSE),"")</f>
        <v/>
      </c>
      <c r="I108" s="136">
        <f>BookieTurnoverBackBets[[#This Row],[Turnover]]+BookieTurnoverLayBets[[#This Row],[Turnover]]</f>
        <v>0</v>
      </c>
    </row>
    <row r="109" spans="2:9" x14ac:dyDescent="0.25">
      <c r="B109" s="136" t="str">
        <f>IFERROR(VLOOKUP(ROW()-3,BookieName[#Data],3,FALSE),"")</f>
        <v/>
      </c>
      <c r="C109" s="136">
        <f>SUMIF(BetTable[Bookie],VLOOKUP(ROW()-3,BookieName[#Data],2,FALSE),BetTable[Stake])+SUMIF(BetTable[B2],VLOOKUP(ROW()-3,BookieName[#Data],2,FALSE),BetTable[S2])+SUMIF(BetTable[B3],VLOOKUP(ROW()-3,BookieName[#Data],2,FALSE),BetTable[S3])</f>
        <v>0</v>
      </c>
      <c r="E109" s="136" t="str">
        <f>IFERROR(VLOOKUP(ROW()-3,BookieName[#Data],3,FALSE),"")</f>
        <v/>
      </c>
      <c r="F109" s="136">
        <f>SUMIF(LayTable[BackBook],VLOOKUP(ROW()-3,BookieName[#Data],2,FALSE),LayTable[BackStake])+SUMIF(LayTable[LayBook],VLOOKUP(ROW()-3,BookieName[#Data],2,FALSE),LayTable[LayLiability])</f>
        <v>0</v>
      </c>
      <c r="H109" s="136" t="str">
        <f>IFERROR(VLOOKUP(ROW()-3,BookieName[#Data],2,FALSE),"")</f>
        <v/>
      </c>
      <c r="I109" s="136">
        <f>BookieTurnoverBackBets[[#This Row],[Turnover]]+BookieTurnoverLayBets[[#This Row],[Turnover]]</f>
        <v>0</v>
      </c>
    </row>
    <row r="110" spans="2:9" x14ac:dyDescent="0.25">
      <c r="B110" s="136" t="str">
        <f>IFERROR(VLOOKUP(ROW()-3,BookieName[#Data],3,FALSE),"")</f>
        <v/>
      </c>
      <c r="C110" s="136">
        <f>SUMIF(BetTable[Bookie],VLOOKUP(ROW()-3,BookieName[#Data],2,FALSE),BetTable[Stake])+SUMIF(BetTable[B2],VLOOKUP(ROW()-3,BookieName[#Data],2,FALSE),BetTable[S2])+SUMIF(BetTable[B3],VLOOKUP(ROW()-3,BookieName[#Data],2,FALSE),BetTable[S3])</f>
        <v>0</v>
      </c>
      <c r="E110" s="136" t="str">
        <f>IFERROR(VLOOKUP(ROW()-3,BookieName[#Data],3,FALSE),"")</f>
        <v/>
      </c>
      <c r="F110" s="136">
        <f>SUMIF(LayTable[BackBook],VLOOKUP(ROW()-3,BookieName[#Data],2,FALSE),LayTable[BackStake])+SUMIF(LayTable[LayBook],VLOOKUP(ROW()-3,BookieName[#Data],2,FALSE),LayTable[LayLiability])</f>
        <v>0</v>
      </c>
      <c r="H110" s="136" t="str">
        <f>IFERROR(VLOOKUP(ROW()-3,BookieName[#Data],2,FALSE),"")</f>
        <v/>
      </c>
      <c r="I110" s="136">
        <f>BookieTurnoverBackBets[[#This Row],[Turnover]]+BookieTurnoverLayBets[[#This Row],[Turnover]]</f>
        <v>0</v>
      </c>
    </row>
    <row r="111" spans="2:9" x14ac:dyDescent="0.25">
      <c r="B111" s="136" t="str">
        <f>IFERROR(VLOOKUP(ROW()-3,BookieName[#Data],3,FALSE),"")</f>
        <v/>
      </c>
      <c r="C111" s="136">
        <f>SUMIF(BetTable[Bookie],VLOOKUP(ROW()-3,BookieName[#Data],2,FALSE),BetTable[Stake])+SUMIF(BetTable[B2],VLOOKUP(ROW()-3,BookieName[#Data],2,FALSE),BetTable[S2])+SUMIF(BetTable[B3],VLOOKUP(ROW()-3,BookieName[#Data],2,FALSE),BetTable[S3])</f>
        <v>0</v>
      </c>
      <c r="E111" s="136" t="str">
        <f>IFERROR(VLOOKUP(ROW()-3,BookieName[#Data],3,FALSE),"")</f>
        <v/>
      </c>
      <c r="F111" s="136">
        <f>SUMIF(LayTable[BackBook],VLOOKUP(ROW()-3,BookieName[#Data],2,FALSE),LayTable[BackStake])+SUMIF(LayTable[LayBook],VLOOKUP(ROW()-3,BookieName[#Data],2,FALSE),LayTable[LayLiability])</f>
        <v>0</v>
      </c>
      <c r="H111" s="136" t="str">
        <f>IFERROR(VLOOKUP(ROW()-3,BookieName[#Data],2,FALSE),"")</f>
        <v/>
      </c>
      <c r="I111" s="136">
        <f>BookieTurnoverBackBets[[#This Row],[Turnover]]+BookieTurnoverLayBets[[#This Row],[Turnover]]</f>
        <v>0</v>
      </c>
    </row>
    <row r="112" spans="2:9" x14ac:dyDescent="0.25">
      <c r="B112" s="136" t="str">
        <f>IFERROR(VLOOKUP(ROW()-3,BookieName[#Data],3,FALSE),"")</f>
        <v/>
      </c>
      <c r="C112" s="136">
        <f>SUMIF(BetTable[Bookie],VLOOKUP(ROW()-3,BookieName[#Data],2,FALSE),BetTable[Stake])+SUMIF(BetTable[B2],VLOOKUP(ROW()-3,BookieName[#Data],2,FALSE),BetTable[S2])+SUMIF(BetTable[B3],VLOOKUP(ROW()-3,BookieName[#Data],2,FALSE),BetTable[S3])</f>
        <v>0</v>
      </c>
      <c r="E112" s="136" t="str">
        <f>IFERROR(VLOOKUP(ROW()-3,BookieName[#Data],3,FALSE),"")</f>
        <v/>
      </c>
      <c r="F112" s="136">
        <f>SUMIF(LayTable[BackBook],VLOOKUP(ROW()-3,BookieName[#Data],2,FALSE),LayTable[BackStake])+SUMIF(LayTable[LayBook],VLOOKUP(ROW()-3,BookieName[#Data],2,FALSE),LayTable[LayLiability])</f>
        <v>0</v>
      </c>
      <c r="H112" s="136" t="str">
        <f>IFERROR(VLOOKUP(ROW()-3,BookieName[#Data],2,FALSE),"")</f>
        <v/>
      </c>
      <c r="I112" s="136">
        <f>BookieTurnoverBackBets[[#This Row],[Turnover]]+BookieTurnoverLayBets[[#This Row],[Turnover]]</f>
        <v>0</v>
      </c>
    </row>
    <row r="113" spans="2:9" x14ac:dyDescent="0.25">
      <c r="B113" s="136" t="str">
        <f>IFERROR(VLOOKUP(ROW()-3,BookieName[#Data],3,FALSE),"")</f>
        <v/>
      </c>
      <c r="C113" s="136">
        <f>SUMIF(BetTable[Bookie],VLOOKUP(ROW()-3,BookieName[#Data],2,FALSE),BetTable[Stake])+SUMIF(BetTable[B2],VLOOKUP(ROW()-3,BookieName[#Data],2,FALSE),BetTable[S2])+SUMIF(BetTable[B3],VLOOKUP(ROW()-3,BookieName[#Data],2,FALSE),BetTable[S3])</f>
        <v>0</v>
      </c>
      <c r="E113" s="136" t="str">
        <f>IFERROR(VLOOKUP(ROW()-3,BookieName[#Data],3,FALSE),"")</f>
        <v/>
      </c>
      <c r="F113" s="136">
        <f>SUMIF(LayTable[BackBook],VLOOKUP(ROW()-3,BookieName[#Data],2,FALSE),LayTable[BackStake])+SUMIF(LayTable[LayBook],VLOOKUP(ROW()-3,BookieName[#Data],2,FALSE),LayTable[LayLiability])</f>
        <v>0</v>
      </c>
      <c r="H113" s="136" t="str">
        <f>IFERROR(VLOOKUP(ROW()-3,BookieName[#Data],2,FALSE),"")</f>
        <v/>
      </c>
      <c r="I113" s="136">
        <f>BookieTurnoverBackBets[[#This Row],[Turnover]]+BookieTurnoverLayBets[[#This Row],[Turnover]]</f>
        <v>0</v>
      </c>
    </row>
    <row r="114" spans="2:9" x14ac:dyDescent="0.25">
      <c r="B114" s="136" t="str">
        <f>IFERROR(VLOOKUP(ROW()-3,BookieName[#Data],3,FALSE),"")</f>
        <v/>
      </c>
      <c r="C114" s="136">
        <f>SUMIF(BetTable[Bookie],VLOOKUP(ROW()-3,BookieName[#Data],2,FALSE),BetTable[Stake])+SUMIF(BetTable[B2],VLOOKUP(ROW()-3,BookieName[#Data],2,FALSE),BetTable[S2])+SUMIF(BetTable[B3],VLOOKUP(ROW()-3,BookieName[#Data],2,FALSE),BetTable[S3])</f>
        <v>0</v>
      </c>
      <c r="E114" s="136" t="str">
        <f>IFERROR(VLOOKUP(ROW()-3,BookieName[#Data],3,FALSE),"")</f>
        <v/>
      </c>
      <c r="F114" s="136">
        <f>SUMIF(LayTable[BackBook],VLOOKUP(ROW()-3,BookieName[#Data],2,FALSE),LayTable[BackStake])+SUMIF(LayTable[LayBook],VLOOKUP(ROW()-3,BookieName[#Data],2,FALSE),LayTable[LayLiability])</f>
        <v>0</v>
      </c>
      <c r="H114" s="136" t="str">
        <f>IFERROR(VLOOKUP(ROW()-3,BookieName[#Data],2,FALSE),"")</f>
        <v/>
      </c>
      <c r="I114" s="136">
        <f>BookieTurnoverBackBets[[#This Row],[Turnover]]+BookieTurnoverLayBets[[#This Row],[Turnover]]</f>
        <v>0</v>
      </c>
    </row>
    <row r="115" spans="2:9" x14ac:dyDescent="0.25">
      <c r="B115" s="136" t="str">
        <f>IFERROR(VLOOKUP(ROW()-3,BookieName[#Data],3,FALSE),"")</f>
        <v/>
      </c>
      <c r="C115" s="136">
        <f>SUMIF(BetTable[Bookie],VLOOKUP(ROW()-3,BookieName[#Data],2,FALSE),BetTable[Stake])+SUMIF(BetTable[B2],VLOOKUP(ROW()-3,BookieName[#Data],2,FALSE),BetTable[S2])+SUMIF(BetTable[B3],VLOOKUP(ROW()-3,BookieName[#Data],2,FALSE),BetTable[S3])</f>
        <v>0</v>
      </c>
      <c r="E115" s="136" t="str">
        <f>IFERROR(VLOOKUP(ROW()-3,BookieName[#Data],3,FALSE),"")</f>
        <v/>
      </c>
      <c r="F115" s="136">
        <f>SUMIF(LayTable[BackBook],VLOOKUP(ROW()-3,BookieName[#Data],2,FALSE),LayTable[BackStake])+SUMIF(LayTable[LayBook],VLOOKUP(ROW()-3,BookieName[#Data],2,FALSE),LayTable[LayLiability])</f>
        <v>0</v>
      </c>
      <c r="H115" s="136" t="str">
        <f>IFERROR(VLOOKUP(ROW()-3,BookieName[#Data],2,FALSE),"")</f>
        <v/>
      </c>
      <c r="I115" s="136">
        <f>BookieTurnoverBackBets[[#This Row],[Turnover]]+BookieTurnoverLayBets[[#This Row],[Turnover]]</f>
        <v>0</v>
      </c>
    </row>
    <row r="116" spans="2:9" x14ac:dyDescent="0.25">
      <c r="B116" s="136" t="str">
        <f>IFERROR(VLOOKUP(ROW()-3,BookieName[#Data],3,FALSE),"")</f>
        <v/>
      </c>
      <c r="C116" s="136">
        <f>SUMIF(BetTable[Bookie],VLOOKUP(ROW()-3,BookieName[#Data],2,FALSE),BetTable[Stake])+SUMIF(BetTable[B2],VLOOKUP(ROW()-3,BookieName[#Data],2,FALSE),BetTable[S2])+SUMIF(BetTable[B3],VLOOKUP(ROW()-3,BookieName[#Data],2,FALSE),BetTable[S3])</f>
        <v>0</v>
      </c>
      <c r="E116" s="136" t="str">
        <f>IFERROR(VLOOKUP(ROW()-3,BookieName[#Data],3,FALSE),"")</f>
        <v/>
      </c>
      <c r="F116" s="136">
        <f>SUMIF(LayTable[BackBook],VLOOKUP(ROW()-3,BookieName[#Data],2,FALSE),LayTable[BackStake])+SUMIF(LayTable[LayBook],VLOOKUP(ROW()-3,BookieName[#Data],2,FALSE),LayTable[LayLiability])</f>
        <v>0</v>
      </c>
      <c r="H116" s="136" t="str">
        <f>IFERROR(VLOOKUP(ROW()-3,BookieName[#Data],2,FALSE),"")</f>
        <v/>
      </c>
      <c r="I116" s="136">
        <f>BookieTurnoverBackBets[[#This Row],[Turnover]]+BookieTurnoverLayBets[[#This Row],[Turnover]]</f>
        <v>0</v>
      </c>
    </row>
    <row r="117" spans="2:9" x14ac:dyDescent="0.25">
      <c r="B117" s="136" t="str">
        <f>IFERROR(VLOOKUP(ROW()-3,BookieName[#Data],3,FALSE),"")</f>
        <v/>
      </c>
      <c r="C117" s="136">
        <f>SUMIF(BetTable[Bookie],VLOOKUP(ROW()-3,BookieName[#Data],2,FALSE),BetTable[Stake])+SUMIF(BetTable[B2],VLOOKUP(ROW()-3,BookieName[#Data],2,FALSE),BetTable[S2])+SUMIF(BetTable[B3],VLOOKUP(ROW()-3,BookieName[#Data],2,FALSE),BetTable[S3])</f>
        <v>0</v>
      </c>
      <c r="E117" s="136" t="str">
        <f>IFERROR(VLOOKUP(ROW()-3,BookieName[#Data],3,FALSE),"")</f>
        <v/>
      </c>
      <c r="F117" s="136">
        <f>SUMIF(LayTable[BackBook],VLOOKUP(ROW()-3,BookieName[#Data],2,FALSE),LayTable[BackStake])+SUMIF(LayTable[LayBook],VLOOKUP(ROW()-3,BookieName[#Data],2,FALSE),LayTable[LayLiability])</f>
        <v>0</v>
      </c>
      <c r="H117" s="136" t="str">
        <f>IFERROR(VLOOKUP(ROW()-3,BookieName[#Data],2,FALSE),"")</f>
        <v/>
      </c>
      <c r="I117" s="136">
        <f>BookieTurnoverBackBets[[#This Row],[Turnover]]+BookieTurnoverLayBets[[#This Row],[Turnover]]</f>
        <v>0</v>
      </c>
    </row>
    <row r="118" spans="2:9" x14ac:dyDescent="0.25">
      <c r="B118" s="136" t="str">
        <f>IFERROR(VLOOKUP(ROW()-3,BookieName[#Data],3,FALSE),"")</f>
        <v/>
      </c>
      <c r="C118" s="136">
        <f>SUMIF(BetTable[Bookie],VLOOKUP(ROW()-3,BookieName[#Data],2,FALSE),BetTable[Stake])+SUMIF(BetTable[B2],VLOOKUP(ROW()-3,BookieName[#Data],2,FALSE),BetTable[S2])+SUMIF(BetTable[B3],VLOOKUP(ROW()-3,BookieName[#Data],2,FALSE),BetTable[S3])</f>
        <v>0</v>
      </c>
      <c r="E118" s="136" t="str">
        <f>IFERROR(VLOOKUP(ROW()-3,BookieName[#Data],3,FALSE),"")</f>
        <v/>
      </c>
      <c r="F118" s="136">
        <f>SUMIF(LayTable[BackBook],VLOOKUP(ROW()-3,BookieName[#Data],2,FALSE),LayTable[BackStake])+SUMIF(LayTable[LayBook],VLOOKUP(ROW()-3,BookieName[#Data],2,FALSE),LayTable[LayLiability])</f>
        <v>0</v>
      </c>
      <c r="H118" s="136" t="str">
        <f>IFERROR(VLOOKUP(ROW()-3,BookieName[#Data],2,FALSE),"")</f>
        <v/>
      </c>
      <c r="I118" s="136">
        <f>BookieTurnoverBackBets[[#This Row],[Turnover]]+BookieTurnoverLayBets[[#This Row],[Turnover]]</f>
        <v>0</v>
      </c>
    </row>
    <row r="119" spans="2:9" x14ac:dyDescent="0.25">
      <c r="B119" s="136" t="str">
        <f>IFERROR(VLOOKUP(ROW()-3,BookieName[#Data],3,FALSE),"")</f>
        <v/>
      </c>
      <c r="C119" s="136">
        <f>SUMIF(BetTable[Bookie],VLOOKUP(ROW()-3,BookieName[#Data],2,FALSE),BetTable[Stake])+SUMIF(BetTable[B2],VLOOKUP(ROW()-3,BookieName[#Data],2,FALSE),BetTable[S2])+SUMIF(BetTable[B3],VLOOKUP(ROW()-3,BookieName[#Data],2,FALSE),BetTable[S3])</f>
        <v>0</v>
      </c>
      <c r="E119" s="136" t="str">
        <f>IFERROR(VLOOKUP(ROW()-3,BookieName[#Data],3,FALSE),"")</f>
        <v/>
      </c>
      <c r="F119" s="136">
        <f>SUMIF(LayTable[BackBook],VLOOKUP(ROW()-3,BookieName[#Data],2,FALSE),LayTable[BackStake])+SUMIF(LayTable[LayBook],VLOOKUP(ROW()-3,BookieName[#Data],2,FALSE),LayTable[LayLiability])</f>
        <v>0</v>
      </c>
      <c r="H119" s="136" t="str">
        <f>IFERROR(VLOOKUP(ROW()-3,BookieName[#Data],2,FALSE),"")</f>
        <v/>
      </c>
      <c r="I119" s="136">
        <f>BookieTurnoverBackBets[[#This Row],[Turnover]]+BookieTurnoverLayBets[[#This Row],[Turnover]]</f>
        <v>0</v>
      </c>
    </row>
    <row r="120" spans="2:9" x14ac:dyDescent="0.25">
      <c r="B120" s="136" t="str">
        <f>IFERROR(VLOOKUP(ROW()-3,BookieName[#Data],3,FALSE),"")</f>
        <v/>
      </c>
      <c r="C120" s="136">
        <f>SUMIF(BetTable[Bookie],VLOOKUP(ROW()-3,BookieName[#Data],2,FALSE),BetTable[Stake])+SUMIF(BetTable[B2],VLOOKUP(ROW()-3,BookieName[#Data],2,FALSE),BetTable[S2])+SUMIF(BetTable[B3],VLOOKUP(ROW()-3,BookieName[#Data],2,FALSE),BetTable[S3])</f>
        <v>0</v>
      </c>
      <c r="E120" s="136" t="str">
        <f>IFERROR(VLOOKUP(ROW()-3,BookieName[#Data],3,FALSE),"")</f>
        <v/>
      </c>
      <c r="F120" s="136">
        <f>SUMIF(LayTable[BackBook],VLOOKUP(ROW()-3,BookieName[#Data],2,FALSE),LayTable[BackStake])+SUMIF(LayTable[LayBook],VLOOKUP(ROW()-3,BookieName[#Data],2,FALSE),LayTable[LayLiability])</f>
        <v>0</v>
      </c>
      <c r="H120" s="136" t="str">
        <f>IFERROR(VLOOKUP(ROW()-3,BookieName[#Data],2,FALSE),"")</f>
        <v/>
      </c>
      <c r="I120" s="136">
        <f>BookieTurnoverBackBets[[#This Row],[Turnover]]+BookieTurnoverLayBets[[#This Row],[Turnover]]</f>
        <v>0</v>
      </c>
    </row>
  </sheetData>
  <pageMargins left="0.7" right="0.7" top="0.75" bottom="0.75" header="0.3" footer="0.3"/>
  <pageSetup paperSize="9" orientation="portrait" verticalDpi="0" r:id="rId1"/>
  <ignoredErrors>
    <ignoredError sqref="B7:B32 E6:F6 B40 B33:B39 B5 E8:F40 F7" calculatedColumn="1"/>
  </ignoredErrors>
  <tableParts count="4">
    <tablePart r:id="rId2"/>
    <tablePart r:id="rId3"/>
    <tablePart r:id="rId4"/>
    <tablePart r:id="rId5"/>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6"/>
  <sheetViews>
    <sheetView showRowColHeaders="0" workbookViewId="0">
      <selection activeCell="P2" sqref="P2"/>
    </sheetView>
  </sheetViews>
  <sheetFormatPr defaultRowHeight="11.25" x14ac:dyDescent="0.2"/>
  <cols>
    <col min="1" max="1" width="6.140625" style="79" bestFit="1" customWidth="1"/>
    <col min="2" max="2" width="2.85546875" style="79" bestFit="1" customWidth="1"/>
    <col min="3" max="3" width="7.28515625" style="79" bestFit="1" customWidth="1"/>
    <col min="4" max="4" width="6.28515625" style="79" bestFit="1" customWidth="1"/>
    <col min="5" max="5" width="6.42578125" style="79" bestFit="1" customWidth="1"/>
    <col min="6" max="6" width="6" style="79" bestFit="1" customWidth="1"/>
    <col min="7" max="7" width="23.7109375" style="79" customWidth="1"/>
    <col min="8" max="8" width="9.140625" style="79"/>
    <col min="9" max="9" width="7.28515625" style="79" bestFit="1" customWidth="1"/>
    <col min="10" max="10" width="6.42578125" style="79" bestFit="1" customWidth="1"/>
    <col min="11" max="11" width="7.5703125" style="79" bestFit="1" customWidth="1"/>
    <col min="12" max="12" width="6.7109375" style="79" bestFit="1" customWidth="1"/>
    <col min="13" max="13" width="8.42578125" style="79" bestFit="1" customWidth="1"/>
    <col min="14" max="14" width="7.85546875" style="79" hidden="1" customWidth="1"/>
    <col min="15" max="15" width="11.140625" style="79" bestFit="1" customWidth="1"/>
    <col min="16" max="16" width="10.85546875" style="79" bestFit="1" customWidth="1"/>
    <col min="17" max="17" width="5.85546875" style="79" customWidth="1"/>
    <col min="18" max="18" width="4.85546875" style="79" hidden="1" customWidth="1"/>
    <col min="19" max="19" width="6.28515625" style="79" hidden="1" customWidth="1"/>
    <col min="20" max="20" width="6.85546875" style="79" customWidth="1"/>
    <col min="21" max="21" width="7.28515625" style="79" hidden="1" customWidth="1"/>
    <col min="22" max="22" width="6.42578125" style="79" hidden="1" customWidth="1"/>
    <col min="23" max="23" width="6.5703125" style="79" hidden="1" customWidth="1"/>
    <col min="24" max="24" width="6" style="79" hidden="1" customWidth="1"/>
    <col min="25" max="25" width="6.28515625" style="79" customWidth="1"/>
    <col min="26" max="26" width="15.28515625" style="79" hidden="1" customWidth="1"/>
    <col min="27" max="27" width="14.42578125" style="79" hidden="1" customWidth="1"/>
    <col min="28" max="28" width="4.85546875" style="79" hidden="1" customWidth="1"/>
    <col min="29" max="29" width="5.7109375" style="79" hidden="1" customWidth="1"/>
    <col min="30" max="30" width="8.7109375" style="79" hidden="1" customWidth="1"/>
    <col min="31" max="31" width="40.7109375" style="79" customWidth="1"/>
    <col min="32" max="16384" width="9.140625" style="79"/>
  </cols>
  <sheetData>
    <row r="1" spans="1:31" x14ac:dyDescent="0.2">
      <c r="A1" s="68" t="s">
        <v>3</v>
      </c>
      <c r="B1" s="68" t="s">
        <v>96</v>
      </c>
      <c r="C1" s="68" t="s">
        <v>98</v>
      </c>
      <c r="D1" s="69" t="s">
        <v>128</v>
      </c>
      <c r="E1" s="68" t="s">
        <v>99</v>
      </c>
      <c r="F1" s="69" t="s">
        <v>127</v>
      </c>
      <c r="G1" s="68" t="s">
        <v>97</v>
      </c>
      <c r="H1" s="68" t="s">
        <v>100</v>
      </c>
      <c r="I1" s="68" t="s">
        <v>102</v>
      </c>
      <c r="J1" s="68" t="s">
        <v>103</v>
      </c>
      <c r="K1" s="68" t="s">
        <v>104</v>
      </c>
      <c r="L1" s="68" t="s">
        <v>105</v>
      </c>
      <c r="M1" s="70" t="s">
        <v>112</v>
      </c>
      <c r="N1" s="70" t="s">
        <v>121</v>
      </c>
      <c r="O1" s="68" t="s">
        <v>147</v>
      </c>
      <c r="P1" s="68" t="s">
        <v>148</v>
      </c>
      <c r="Q1" s="71" t="s">
        <v>6</v>
      </c>
      <c r="R1" s="71" t="s">
        <v>106</v>
      </c>
      <c r="S1" s="71" t="s">
        <v>107</v>
      </c>
      <c r="T1" s="72" t="s">
        <v>27</v>
      </c>
      <c r="U1" s="73" t="s">
        <v>149</v>
      </c>
      <c r="V1" s="73" t="s">
        <v>150</v>
      </c>
      <c r="W1" s="74" t="s">
        <v>108</v>
      </c>
      <c r="X1" s="74" t="s">
        <v>109</v>
      </c>
      <c r="Y1" s="75" t="s">
        <v>26</v>
      </c>
      <c r="Z1" s="76" t="s">
        <v>129</v>
      </c>
      <c r="AA1" s="76" t="s">
        <v>115</v>
      </c>
      <c r="AB1" s="77" t="s">
        <v>35</v>
      </c>
      <c r="AC1" s="78" t="s">
        <v>113</v>
      </c>
      <c r="AD1" s="78" t="s">
        <v>114</v>
      </c>
      <c r="AE1" s="68" t="s">
        <v>5</v>
      </c>
    </row>
    <row r="2" spans="1:31" x14ac:dyDescent="0.2">
      <c r="A2" s="80"/>
      <c r="B2" s="81"/>
      <c r="C2" s="82"/>
      <c r="D2" s="83"/>
      <c r="E2" s="82"/>
      <c r="F2" s="83"/>
      <c r="G2" s="80"/>
      <c r="H2" s="80"/>
      <c r="I2" s="84"/>
      <c r="J2" s="84"/>
      <c r="K2" s="85"/>
      <c r="L2" s="85"/>
      <c r="M2" s="86"/>
      <c r="N2" s="87"/>
      <c r="Q2" s="88" t="str">
        <f>IF(LayTable[SP]="","",LayTable[BackStake]+LayTable[LayLiability])</f>
        <v/>
      </c>
      <c r="R2" s="89">
        <f>IFERROR(IF(LayTable[C% Back]="",LayTable[BackWin-Commission]-LayTable[LayLiability],(IF(LayTable[BackStake]&lt;=LayTable[LayStake],((LayTable[BackOdds]*LayTable[BackStake]-LayTable[BackStake])-LayTable[LayLiability]),((LayTable[BackOdds]*LayTable[BackStake]-LayTable[BackStake])-LayTable[LayLiability])*(1-LayTable[C% Lay])))),"")</f>
        <v>0</v>
      </c>
      <c r="S2" s="89" t="str">
        <f>IF(LayTable[SP]="","",IF(LayTable[C% Back]="",((LayTable[LayWin-Commission]))-LayTable[BackStake],(IF(LayTable[LayStake]&lt;=LayTable[BackStake],LayTable[LayStake]-LayTable[BackStake],(LayTable[LayStake]-LayTable[BackStake])*(1-LayTable[C% Lay])))))</f>
        <v/>
      </c>
      <c r="T2" s="89" t="str">
        <f>IF(LayTable[OutcomeBack]="","",LayTable[WBABack]+LayTable[WBALay]-LayTable[TS])</f>
        <v/>
      </c>
      <c r="U2" s="89" t="str">
        <f>IF(LayTable[OutcomeBack]="Win",LayTable[IfBack],IF(LayTable[OutcomeBack]="Win Half Stake",(LayTable[BackStake])+(LayTable[BackWin-Commission]/2),IF(LayTable[OutcomeBack]="Lose Half Stake",LayTable[BackStake]/2,IF(LayTable[OutcomeBack]="Lose",0,IF(LayTable[OutcomeBack]="Void",LayTable[BackStake],"")))))</f>
        <v/>
      </c>
      <c r="V2" s="89" t="str">
        <f>IF(LayTable[OutcomeLay]="Win",LayTable[IfLay],IF(LayTable[OutcomeLay]="Win Half Stake",(LayTable[LayLiability])+(LayTable[LayWin-Commission]/2),IF(LayTable[OutcomeLay]="Lose Half Stake",LayTable[LayLiability]/2,IF(LayTable[OutcomeLay]="Lose",0,IF(LayTable[OutcomeLay]="Void",LayTable[LayLiability],"")))))</f>
        <v/>
      </c>
      <c r="W2" s="90" t="str">
        <f>IFERROR(IF(LayTable[TS]="","",LayTable[Rback]/LayTable[TS]),"")</f>
        <v/>
      </c>
      <c r="X2" s="90" t="str">
        <f>IFERROR(IF(LayTable[TS]="","",LayTable[Rlay]/LayTable[TS]),"")</f>
        <v/>
      </c>
      <c r="Y2" s="90" t="str">
        <f>IFERROR(LayTable[AR]/LayTable[TS],"")</f>
        <v/>
      </c>
      <c r="Z2" s="89">
        <f>(LayTable[BackStake]*LayTable[BackOdds]-LayTable[BackStake])*(1-LayTable[C% Back])</f>
        <v>0</v>
      </c>
      <c r="AA2" s="85">
        <f>LayTable[LayStake]*(1-LayTable[C% Lay])</f>
        <v>0</v>
      </c>
      <c r="AB2" s="85" t="str">
        <f>IFERROR(IF(LayTable[SP]="",AB1,LayTable[AR]+AB1),"")</f>
        <v>0</v>
      </c>
      <c r="AC2" s="85">
        <f>(LayTable[BackWin-Commission]+LayTable[BackStake])</f>
        <v>0</v>
      </c>
      <c r="AD2" s="85">
        <f>(LayTable[LayWin-Commission])+LayTable[LayLiability]</f>
        <v>0</v>
      </c>
      <c r="AE2" s="85"/>
    </row>
    <row r="3" spans="1:31" x14ac:dyDescent="0.2">
      <c r="A3" s="80"/>
      <c r="B3" s="81"/>
      <c r="C3" s="82"/>
      <c r="D3" s="83"/>
      <c r="E3" s="82"/>
      <c r="F3" s="83"/>
      <c r="G3" s="80"/>
      <c r="H3" s="80"/>
      <c r="I3" s="84"/>
      <c r="J3" s="84"/>
      <c r="K3" s="85"/>
      <c r="L3" s="85"/>
      <c r="M3" s="86" t="str">
        <f>IF(LayTable[SP]="","",LayTable[LayStake]*(LayTable[LayOdds]-1))</f>
        <v/>
      </c>
      <c r="N3" s="87" t="str">
        <f>IF(LayTable[SP]="","",1/((1/LayTable[BackOdds])+(1/((1/((1+((LayTable[LayOdds]-1)*(1+LayTable[C% Lay])))-1))+1)))-1)</f>
        <v/>
      </c>
      <c r="Q3" s="88" t="str">
        <f>IF(LayTable[SP]="","",LayTable[BackStake]+LayTable[LayLiability])</f>
        <v/>
      </c>
      <c r="R3" s="89" t="str">
        <f>IFERROR(IF(LayTable[C% Back]="",LayTable[BackWin-Commission]-LayTable[LayLiability],(IF(LayTable[BackStake]&lt;=LayTable[LayStake],((LayTable[BackOdds]*LayTable[BackStake]-LayTable[BackStake])-LayTable[LayLiability]),((LayTable[BackOdds]*LayTable[BackStake]-LayTable[BackStake])-LayTable[LayLiability])*(1-LayTable[C% Lay])))),"")</f>
        <v/>
      </c>
      <c r="S3" s="89" t="str">
        <f>IF(LayTable[SP]="","",IF(LayTable[C% Back]="",((LayTable[LayWin-Commission]))-LayTable[BackStake],(IF(LayTable[LayStake]&lt;=LayTable[BackStake],LayTable[LayStake]-LayTable[BackStake],(LayTable[LayStake]-LayTable[BackStake])*(1-LayTable[C% Lay])))))</f>
        <v/>
      </c>
      <c r="T3" s="89" t="str">
        <f>IF(LayTable[OutcomeBack]="","",LayTable[WBABack]+LayTable[WBALay]-LayTable[TS])</f>
        <v/>
      </c>
      <c r="U3" s="89" t="str">
        <f>IF(LayTable[OutcomeBack]="Win",LayTable[IfBack],IF(LayTable[OutcomeBack]="Win Half Stake",(LayTable[BackStake])+(LayTable[BackWin-Commission]/2),IF(LayTable[OutcomeBack]="Lose Half Stake",LayTable[BackStake]/2,IF(LayTable[OutcomeBack]="Lose",0,IF(LayTable[OutcomeBack]="Void",LayTable[BackStake],"")))))</f>
        <v/>
      </c>
      <c r="V3" s="89" t="str">
        <f>IF(LayTable[OutcomeLay]="Win",LayTable[IfLay],IF(LayTable[OutcomeLay]="Win Half Stake",(LayTable[LayLiability])+(LayTable[LayWin-Commission]/2),IF(LayTable[OutcomeLay]="Lose Half Stake",LayTable[LayLiability]/2,IF(LayTable[OutcomeLay]="Lose",0,IF(LayTable[OutcomeLay]="Void",LayTable[LayLiability],"")))))</f>
        <v/>
      </c>
      <c r="W3" s="90" t="str">
        <f>IFERROR(IF(LayTable[TS]="","",LayTable[Rback]/LayTable[TS]),"")</f>
        <v/>
      </c>
      <c r="X3" s="90" t="str">
        <f>IFERROR(IF(LayTable[TS]="","",LayTable[Rlay]/LayTable[TS]),"")</f>
        <v/>
      </c>
      <c r="Y3" s="90" t="str">
        <f>IFERROR(LayTable[AR]/LayTable[TS],"")</f>
        <v/>
      </c>
      <c r="Z3" s="89">
        <f>(LayTable[BackStake]*LayTable[BackOdds]-LayTable[BackStake])*(1-LayTable[C% Back])</f>
        <v>0</v>
      </c>
      <c r="AA3" s="85">
        <f>LayTable[LayStake]*(1-LayTable[C% Lay])</f>
        <v>0</v>
      </c>
      <c r="AB3" s="85" t="str">
        <f>IFERROR(IF(LayTable[SP]="",AB2,LayTable[AR]+AB2),"")</f>
        <v>0</v>
      </c>
      <c r="AC3" s="85">
        <f>(LayTable[BackWin-Commission]+LayTable[BackStake])</f>
        <v>0</v>
      </c>
      <c r="AD3" s="85" t="e">
        <f>(LayTable[LayWin-Commission])+LayTable[LayLiability]</f>
        <v>#VALUE!</v>
      </c>
      <c r="AE3" s="85"/>
    </row>
    <row r="4" spans="1:31" x14ac:dyDescent="0.2">
      <c r="A4" s="91"/>
      <c r="B4" s="92"/>
      <c r="C4" s="93"/>
      <c r="D4" s="94"/>
      <c r="E4" s="93"/>
      <c r="F4" s="94"/>
      <c r="G4" s="91"/>
      <c r="H4" s="91"/>
      <c r="I4" s="95"/>
      <c r="J4" s="95"/>
      <c r="K4" s="96"/>
      <c r="L4" s="96"/>
      <c r="M4" s="97" t="str">
        <f>IF(LayTable[SP]="","",LayTable[LayStake]*(LayTable[LayOdds]-1))</f>
        <v/>
      </c>
      <c r="N4" s="98" t="str">
        <f>IF(LayTable[SP]="","",1/((1/LayTable[BackOdds])+(1/((1/((1+((LayTable[LayOdds]-1)*(1+LayTable[C% Lay])))-1))+1)))-1)</f>
        <v/>
      </c>
      <c r="O4" s="99"/>
      <c r="P4" s="99"/>
      <c r="Q4" s="100" t="str">
        <f>IF(LayTable[SP]="","",LayTable[BackStake]+LayTable[LayLiability])</f>
        <v/>
      </c>
      <c r="R4" s="101" t="str">
        <f>IFERROR(IF(LayTable[C% Back]="",LayTable[BackWin-Commission]-LayTable[LayLiability],(IF(LayTable[BackStake]&lt;=LayTable[LayStake],((LayTable[BackOdds]*LayTable[BackStake]-LayTable[BackStake])-LayTable[LayLiability]),((LayTable[BackOdds]*LayTable[BackStake]-LayTable[BackStake])-LayTable[LayLiability])*(1-LayTable[C% Lay])))),"")</f>
        <v/>
      </c>
      <c r="S4" s="101" t="str">
        <f>IF(LayTable[SP]="","",IF(LayTable[C% Back]="",((LayTable[LayWin-Commission]))-LayTable[BackStake],(IF(LayTable[LayStake]&lt;=LayTable[BackStake],LayTable[LayStake]-LayTable[BackStake],(LayTable[LayStake]-LayTable[BackStake])*(1-LayTable[C% Lay])))))</f>
        <v/>
      </c>
      <c r="T4" s="101" t="str">
        <f>IF(LayTable[OutcomeBack]="","",LayTable[WBABack]+LayTable[WBALay]-LayTable[TS])</f>
        <v/>
      </c>
      <c r="U4" s="101" t="str">
        <f>IF(LayTable[OutcomeBack]="Win",LayTable[IfBack],IF(LayTable[OutcomeBack]="Win Half Stake",(LayTable[BackStake])+(LayTable[BackWin-Commission]/2),IF(LayTable[OutcomeBack]="Lose Half Stake",LayTable[BackStake]/2,IF(LayTable[OutcomeBack]="Lose",0,IF(LayTable[OutcomeBack]="Void",LayTable[BackStake],"")))))</f>
        <v/>
      </c>
      <c r="V4" s="101" t="str">
        <f>IF(LayTable[OutcomeLay]="Win",LayTable[IfLay],IF(LayTable[OutcomeLay]="Win Half Stake",(LayTable[LayLiability])+(LayTable[LayWin-Commission]/2),IF(LayTable[OutcomeLay]="Lose Half Stake",LayTable[LayLiability]/2,IF(LayTable[OutcomeLay]="Lose",0,IF(LayTable[OutcomeLay]="Void",LayTable[LayLiability],"")))))</f>
        <v/>
      </c>
      <c r="W4" s="102" t="str">
        <f>IFERROR(IF(LayTable[TS]="","",LayTable[Rback]/LayTable[TS]),"")</f>
        <v/>
      </c>
      <c r="X4" s="102" t="str">
        <f>IFERROR(IF(LayTable[TS]="","",LayTable[Rlay]/LayTable[TS]),"")</f>
        <v/>
      </c>
      <c r="Y4" s="102" t="str">
        <f>IFERROR(LayTable[AR]/LayTable[TS],"")</f>
        <v/>
      </c>
      <c r="Z4" s="101">
        <f>(LayTable[BackStake]*LayTable[BackOdds]-LayTable[BackStake])*(1-LayTable[C% Back])</f>
        <v>0</v>
      </c>
      <c r="AA4" s="96">
        <f>LayTable[LayStake]*(1-LayTable[C% Lay])</f>
        <v>0</v>
      </c>
      <c r="AB4" s="85" t="str">
        <f>IFERROR(IF(LayTable[SP]="",AB3,LayTable[AR]+AB3),"")</f>
        <v>0</v>
      </c>
      <c r="AC4" s="96">
        <f>(LayTable[BackWin-Commission]+LayTable[BackStake])</f>
        <v>0</v>
      </c>
      <c r="AD4" s="96" t="e">
        <f>(LayTable[LayWin-Commission])+LayTable[LayLiability]</f>
        <v>#VALUE!</v>
      </c>
      <c r="AE4" s="96"/>
    </row>
    <row r="5" spans="1:31" x14ac:dyDescent="0.2">
      <c r="A5" s="91"/>
      <c r="B5" s="92"/>
      <c r="C5" s="93"/>
      <c r="D5" s="94"/>
      <c r="E5" s="93"/>
      <c r="F5" s="94"/>
      <c r="G5" s="91"/>
      <c r="H5" s="91"/>
      <c r="I5" s="95"/>
      <c r="J5" s="95"/>
      <c r="K5" s="96"/>
      <c r="L5" s="96"/>
      <c r="M5" s="97" t="str">
        <f>IF(LayTable[SP]="","",LayTable[LayStake]*(LayTable[LayOdds]-1))</f>
        <v/>
      </c>
      <c r="N5" s="98" t="str">
        <f>IF(LayTable[SP]="","",1/((1/LayTable[BackOdds])+(1/((1/((1+((LayTable[LayOdds]-1)*(1+LayTable[C% Lay])))-1))+1)))-1)</f>
        <v/>
      </c>
      <c r="O5" s="99"/>
      <c r="P5" s="99"/>
      <c r="Q5" s="100" t="str">
        <f>IF(LayTable[SP]="","",LayTable[BackStake]+LayTable[LayLiability])</f>
        <v/>
      </c>
      <c r="R5" s="101" t="str">
        <f>IFERROR(IF(LayTable[C% Back]="",LayTable[BackWin-Commission]-LayTable[LayLiability],(IF(LayTable[BackStake]&lt;=LayTable[LayStake],((LayTable[BackOdds]*LayTable[BackStake]-LayTable[BackStake])-LayTable[LayLiability]),((LayTable[BackOdds]*LayTable[BackStake]-LayTable[BackStake])-LayTable[LayLiability])*(1-LayTable[C% Lay])))),"")</f>
        <v/>
      </c>
      <c r="S5" s="101" t="str">
        <f>IF(LayTable[SP]="","",IF(LayTable[C% Back]="",((LayTable[LayWin-Commission]))-LayTable[BackStake],(IF(LayTable[LayStake]&lt;=LayTable[BackStake],LayTable[LayStake]-LayTable[BackStake],(LayTable[LayStake]-LayTable[BackStake])*(1-LayTable[C% Lay])))))</f>
        <v/>
      </c>
      <c r="T5" s="101" t="str">
        <f>IF(LayTable[OutcomeBack]="","",LayTable[WBABack]+LayTable[WBALay]-LayTable[TS])</f>
        <v/>
      </c>
      <c r="U5" s="101" t="str">
        <f>IF(LayTable[OutcomeBack]="Win",LayTable[IfBack],IF(LayTable[OutcomeBack]="Win Half Stake",(LayTable[BackStake])+(LayTable[BackWin-Commission]/2),IF(LayTable[OutcomeBack]="Lose Half Stake",LayTable[BackStake]/2,IF(LayTable[OutcomeBack]="Lose",0,IF(LayTable[OutcomeBack]="Void",LayTable[BackStake],"")))))</f>
        <v/>
      </c>
      <c r="V5" s="101" t="str">
        <f>IF(LayTable[OutcomeLay]="Win",LayTable[IfLay],IF(LayTable[OutcomeLay]="Win Half Stake",(LayTable[LayLiability])+(LayTable[LayWin-Commission]/2),IF(LayTable[OutcomeLay]="Lose Half Stake",LayTable[LayLiability]/2,IF(LayTable[OutcomeLay]="Lose",0,IF(LayTable[OutcomeLay]="Void",LayTable[LayLiability],"")))))</f>
        <v/>
      </c>
      <c r="W5" s="102" t="str">
        <f>IFERROR(IF(LayTable[TS]="","",LayTable[Rback]/LayTable[TS]),"")</f>
        <v/>
      </c>
      <c r="X5" s="102" t="str">
        <f>IFERROR(IF(LayTable[TS]="","",LayTable[Rlay]/LayTable[TS]),"")</f>
        <v/>
      </c>
      <c r="Y5" s="102" t="str">
        <f>IFERROR(LayTable[AR]/LayTable[TS],"")</f>
        <v/>
      </c>
      <c r="Z5" s="101">
        <f>(LayTable[BackStake]*LayTable[BackOdds]-LayTable[BackStake])*(1-LayTable[C% Back])</f>
        <v>0</v>
      </c>
      <c r="AA5" s="96">
        <f>LayTable[LayStake]*(1-LayTable[C% Lay])</f>
        <v>0</v>
      </c>
      <c r="AB5" s="96" t="str">
        <f>IFERROR(IF(LayTable[SP]="",AB4,LayTable[AR]+AB4),"")</f>
        <v>0</v>
      </c>
      <c r="AC5" s="96">
        <f>(LayTable[BackWin-Commission]+LayTable[BackStake])</f>
        <v>0</v>
      </c>
      <c r="AD5" s="96" t="e">
        <f>(LayTable[LayWin-Commission])+LayTable[LayLiability]</f>
        <v>#VALUE!</v>
      </c>
      <c r="AE5" s="96"/>
    </row>
    <row r="16" spans="1:31" x14ac:dyDescent="0.2">
      <c r="Q16" s="103"/>
    </row>
  </sheetData>
  <conditionalFormatting sqref="O2:P5">
    <cfRule type="containsBlanks" dxfId="142" priority="2">
      <formula>LEN(TRIM(O2))=0</formula>
    </cfRule>
  </conditionalFormatting>
  <conditionalFormatting sqref="R2:Z5">
    <cfRule type="cellIs" dxfId="141" priority="1" operator="lessThan">
      <formula>0</formula>
    </cfRule>
  </conditionalFormatting>
  <dataValidations count="3">
    <dataValidation type="list" allowBlank="1" showInputMessage="1" showErrorMessage="1" sqref="O2:P5">
      <formula1>"Win,Win Half Stake,Lose Half Stake,Lose,Void"</formula1>
    </dataValidation>
    <dataValidation type="list" allowBlank="1" showInputMessage="1" showErrorMessage="1" sqref="B2:B5">
      <formula1>ListSports</formula1>
    </dataValidation>
    <dataValidation type="list" allowBlank="1" showInputMessage="1" showErrorMessage="1" sqref="C2:C5 E2:E5">
      <formula1>ListBookies</formula1>
    </dataValidation>
  </dataValidations>
  <pageMargins left="0.7" right="0.7" top="0.75" bottom="0.75" header="0.3" footer="0.3"/>
  <pageSetup paperSize="9" orientation="portrait" verticalDpi="0"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3"/>
  <dimension ref="A1:L110"/>
  <sheetViews>
    <sheetView showGridLines="0" showRowColHeaders="0" tabSelected="1" workbookViewId="0">
      <selection activeCell="A29" sqref="A29"/>
    </sheetView>
  </sheetViews>
  <sheetFormatPr defaultRowHeight="15" x14ac:dyDescent="0.25"/>
  <cols>
    <col min="1" max="1" width="19.28515625" bestFit="1" customWidth="1"/>
    <col min="2" max="2" width="10.7109375" customWidth="1"/>
    <col min="3" max="3" width="9.42578125" style="19" customWidth="1"/>
    <col min="4" max="4" width="9.42578125" style="133" customWidth="1"/>
    <col min="5" max="5" width="2.5703125" customWidth="1"/>
    <col min="6" max="6" width="24.85546875" bestFit="1" customWidth="1"/>
    <col min="7" max="7" width="11.5703125" bestFit="1" customWidth="1"/>
    <col min="8" max="8" width="10.140625" customWidth="1"/>
    <col min="9" max="9" width="2.28515625" customWidth="1"/>
  </cols>
  <sheetData>
    <row r="1" spans="1:12" x14ac:dyDescent="0.25">
      <c r="A1" s="5" t="s">
        <v>20</v>
      </c>
      <c r="B1" s="5" t="s">
        <v>21</v>
      </c>
      <c r="C1" s="21" t="s">
        <v>43</v>
      </c>
      <c r="D1" s="132" t="s">
        <v>169</v>
      </c>
      <c r="F1" s="7" t="s">
        <v>31</v>
      </c>
      <c r="G1" s="7" t="s">
        <v>34</v>
      </c>
      <c r="H1" s="20" t="s">
        <v>43</v>
      </c>
    </row>
    <row r="2" spans="1:12" x14ac:dyDescent="0.25">
      <c r="A2" s="9" t="str">
        <f>IFERROR(VLOOKUP(ROW()-1,BookieName[],2,FALSE),"")</f>
        <v>10Bet</v>
      </c>
      <c r="B2" s="11">
        <f>VLOOKUP(ROW()-1,Data[],3,FALSE)</f>
        <v>0</v>
      </c>
      <c r="C2" s="19">
        <f>IFERROR(IF(BookBalance[Balance]="","",BookBalance[Balance]/G$9),"")</f>
        <v>0</v>
      </c>
      <c r="D2" s="11">
        <f>VLOOKUP(ROW()-1,Data[],16,FALSE)</f>
        <v>0</v>
      </c>
      <c r="E2" s="4"/>
      <c r="F2" s="10" t="s">
        <v>44</v>
      </c>
      <c r="G2" s="16">
        <f>SUM(DWroll[Amount])</f>
        <v>0</v>
      </c>
      <c r="H2" s="18">
        <f>IFERROR(TotalBalance[Amount]/$G$9,"")</f>
        <v>0</v>
      </c>
    </row>
    <row r="3" spans="1:12" x14ac:dyDescent="0.25">
      <c r="A3" s="9" t="str">
        <f>IFERROR(VLOOKUP(ROW()-1,BookieName[],2,FALSE),"")</f>
        <v>12Bet</v>
      </c>
      <c r="B3" s="11">
        <f>VLOOKUP(ROW()-1,Data[],3,FALSE)</f>
        <v>0</v>
      </c>
      <c r="C3" s="19">
        <f>IFERROR(IF(BookBalance[Balance]="","",BookBalance[Balance]/G$9),"")</f>
        <v>0</v>
      </c>
      <c r="D3" s="11">
        <f>VLOOKUP(ROW()-1,Data[],16,FALSE)</f>
        <v>0</v>
      </c>
      <c r="F3" s="10" t="s">
        <v>41</v>
      </c>
      <c r="G3" s="16">
        <f>G2+G4+G11-G6-G7</f>
        <v>31.99999999998613</v>
      </c>
      <c r="H3" s="18">
        <f>IFERROR(TotalBalance[Amount]/$G$9,"")</f>
        <v>1.5568702189329849E-2</v>
      </c>
    </row>
    <row r="4" spans="1:12" x14ac:dyDescent="0.25">
      <c r="A4" s="9" t="str">
        <f>IFERROR(VLOOKUP(ROW()-1,BookieName[],2,FALSE),"")</f>
        <v>12BetUK</v>
      </c>
      <c r="B4" s="11">
        <f>VLOOKUP(ROW()-1,Data[],3,FALSE)</f>
        <v>0</v>
      </c>
      <c r="C4" s="19">
        <f>IFERROR(IF(BookBalance[Balance]="","",BookBalance[Balance]/G$9),"")</f>
        <v>0</v>
      </c>
      <c r="D4" s="11">
        <f>VLOOKUP(ROW()-1,Data[],16,FALSE)</f>
        <v>0</v>
      </c>
      <c r="F4" s="10" t="s">
        <v>42</v>
      </c>
      <c r="G4" s="16">
        <f>SUM(DWbonus[Amount])</f>
        <v>0</v>
      </c>
      <c r="H4" s="18">
        <f>IFERROR(TotalBalance[Amount]/$G$9,"")</f>
        <v>0</v>
      </c>
    </row>
    <row r="5" spans="1:12" x14ac:dyDescent="0.25">
      <c r="A5" s="141">
        <f>IFERROR(VLOOKUP(ROW()-1,BookieName[],2,FALSE),"")</f>
        <v>138</v>
      </c>
      <c r="B5" s="11">
        <f>VLOOKUP(ROW()-1,Data[],3,FALSE)</f>
        <v>0</v>
      </c>
      <c r="C5" s="19">
        <f>IFERROR(IF(BookBalance[Balance]="","",BookBalance[Balance]/G$9),"")</f>
        <v>0</v>
      </c>
      <c r="D5" s="11">
        <f>VLOOKUP(ROW()-1,Data[],16,FALSE)</f>
        <v>0</v>
      </c>
      <c r="F5" s="144" t="s">
        <v>58</v>
      </c>
      <c r="G5" s="8">
        <f>SUM(BetTable[Stake])</f>
        <v>59311.869999999995</v>
      </c>
      <c r="H5" s="18">
        <f>IFERROR(TotalBalance[Amount]/$G$9,"")</f>
        <v>28.856526260082735</v>
      </c>
    </row>
    <row r="6" spans="1:12" x14ac:dyDescent="0.25">
      <c r="A6" s="9" t="str">
        <f>IFERROR(VLOOKUP(ROW()-1,BookieName[],2,FALSE),"")</f>
        <v>188Bet</v>
      </c>
      <c r="B6" s="11">
        <f>VLOOKUP(ROW()-1,Data[],3,FALSE)</f>
        <v>0</v>
      </c>
      <c r="C6" s="19">
        <f>IFERROR(IF(BookBalance[Balance]="","",BookBalance[Balance]/G$9),"")</f>
        <v>0</v>
      </c>
      <c r="D6" s="11">
        <f>VLOOKUP(ROW()-1,Data[],16,FALSE)</f>
        <v>0</v>
      </c>
      <c r="F6" s="7" t="s">
        <v>37</v>
      </c>
      <c r="G6" s="8">
        <f>SUM(DWroll[Amount])-SUM(DWbooks[Amount])</f>
        <v>0</v>
      </c>
      <c r="H6" s="18">
        <f>IFERROR(TotalBalance[Amount]/$G$9,"")</f>
        <v>0</v>
      </c>
    </row>
    <row r="7" spans="1:12" x14ac:dyDescent="0.25">
      <c r="A7" s="9" t="str">
        <f>IFERROR(VLOOKUP(ROW()-1,BookieName[],2,FALSE),"")</f>
        <v>18bet</v>
      </c>
      <c r="B7" s="11">
        <f>VLOOKUP(ROW()-1,Data[],3,FALSE)</f>
        <v>0</v>
      </c>
      <c r="C7" s="19">
        <f>IFERROR(IF(BookBalance[Balance]="","",BookBalance[Balance]/G$9),"")</f>
        <v>0</v>
      </c>
      <c r="D7" s="11">
        <f>VLOOKUP(ROW()-1,Data[],16,FALSE)</f>
        <v>0</v>
      </c>
      <c r="F7" s="7" t="s">
        <v>36</v>
      </c>
      <c r="G7" s="8">
        <f>SUM(BookBalance[Balance])</f>
        <v>2023.4057500000119</v>
      </c>
      <c r="H7" s="18">
        <f>IFERROR(TotalBalance[Amount]/$G$9,"")</f>
        <v>0.98443129781067018</v>
      </c>
    </row>
    <row r="8" spans="1:12" x14ac:dyDescent="0.25">
      <c r="A8" s="9" t="str">
        <f>IFERROR(VLOOKUP(ROW()-1,BookieName[],2,FALSE),"")</f>
        <v>1xBet</v>
      </c>
      <c r="B8" s="11">
        <f>VLOOKUP(ROW()-1,Data[],3,FALSE)</f>
        <v>0</v>
      </c>
      <c r="C8" s="19">
        <f>IFERROR(IF(BookBalance[Balance]="","",BookBalance[Balance]/G$9),"")</f>
        <v>0</v>
      </c>
      <c r="D8" s="11">
        <f>VLOOKUP(ROW()-1,Data[],16,FALSE)</f>
        <v>0</v>
      </c>
      <c r="F8" s="144"/>
      <c r="G8" s="8"/>
      <c r="H8" s="18"/>
    </row>
    <row r="9" spans="1:12" x14ac:dyDescent="0.25">
      <c r="A9" s="9" t="str">
        <f>IFERROR(VLOOKUP(ROW()-1,BookieName[],2,FALSE),"")</f>
        <v>21Bet</v>
      </c>
      <c r="B9" s="11">
        <f>VLOOKUP(ROW()-1,Data[],3,FALSE)</f>
        <v>0</v>
      </c>
      <c r="C9" s="19">
        <f>IFERROR(IF(BookBalance[Balance]="","",BookBalance[Balance]/G$9),"")</f>
        <v>0</v>
      </c>
      <c r="D9" s="11">
        <f>VLOOKUP(ROW()-1,Data[],16,FALSE)</f>
        <v>0</v>
      </c>
      <c r="F9" s="7" t="s">
        <v>40</v>
      </c>
      <c r="G9" s="8">
        <f>G6+G7+G3</f>
        <v>2055.4057499999981</v>
      </c>
      <c r="H9" s="18">
        <f>IFERROR(TotalBalance[Amount]/$G$9,"")</f>
        <v>1</v>
      </c>
    </row>
    <row r="10" spans="1:12" x14ac:dyDescent="0.25">
      <c r="A10" s="9" t="str">
        <f>IFERROR(VLOOKUP(ROW()-1,BookieName[],2,FALSE),"")</f>
        <v>32Red</v>
      </c>
      <c r="B10" s="11">
        <f>VLOOKUP(ROW()-1,Data[],3,FALSE)</f>
        <v>0</v>
      </c>
      <c r="C10" s="19">
        <f>IFERROR(IF(BookBalance[Balance]="","",BookBalance[Balance]/G$9),"")</f>
        <v>0</v>
      </c>
      <c r="D10" s="11">
        <f>VLOOKUP(ROW()-1,Data[],16,FALSE)</f>
        <v>0</v>
      </c>
      <c r="F10" s="7"/>
      <c r="G10" s="8"/>
      <c r="H10" s="18"/>
    </row>
    <row r="11" spans="1:12" x14ac:dyDescent="0.25">
      <c r="A11" s="9" t="str">
        <f>IFERROR(VLOOKUP(ROW()-1,BookieName[],2,FALSE),"")</f>
        <v>3et</v>
      </c>
      <c r="B11" s="11">
        <f>VLOOKUP(ROW()-1,Data[],3,FALSE)</f>
        <v>0</v>
      </c>
      <c r="C11" s="19">
        <f>IFERROR(IF(BookBalance[Balance]="","",BookBalance[Balance]/G$9),"")</f>
        <v>0</v>
      </c>
      <c r="D11" s="11">
        <f>VLOOKUP(ROW()-1,Data[],16,FALSE)</f>
        <v>0</v>
      </c>
      <c r="F11" s="10" t="s">
        <v>282</v>
      </c>
      <c r="G11" s="16">
        <f>SUM(LayTable[AR],BetTable[Result])</f>
        <v>2055.4057499999981</v>
      </c>
      <c r="H11" s="18">
        <f>IFERROR(TotalBalance[Amount]/$G$9,"")</f>
        <v>1</v>
      </c>
      <c r="L11" s="8"/>
    </row>
    <row r="12" spans="1:12" x14ac:dyDescent="0.25">
      <c r="A12" s="9" t="str">
        <f>IFERROR(VLOOKUP(ROW()-1,BookieName[],2,FALSE),"")</f>
        <v>5Dimes</v>
      </c>
      <c r="B12" s="11">
        <f>VLOOKUP(ROW()-1,Data[],3,FALSE)</f>
        <v>-66.015999999997803</v>
      </c>
      <c r="C12" s="19">
        <f>IFERROR(IF(BookBalance[Balance]="","",BookBalance[Balance]/G$9),"")</f>
        <v>-3.211823261660033E-2</v>
      </c>
      <c r="D12" s="11">
        <f>VLOOKUP(ROW()-1,Data[],16,FALSE)</f>
        <v>0</v>
      </c>
      <c r="F12" s="144" t="s">
        <v>281</v>
      </c>
      <c r="G12" s="148">
        <f>IF(G5=0,0,G11/(G5-G3))</f>
        <v>3.4672912575550482E-2</v>
      </c>
      <c r="H12" s="18"/>
    </row>
    <row r="13" spans="1:12" x14ac:dyDescent="0.25">
      <c r="A13" s="9" t="str">
        <f>IFERROR(VLOOKUP(ROW()-1,BookieName[],2,FALSE),"")</f>
        <v>888sport</v>
      </c>
      <c r="B13" s="11">
        <f>VLOOKUP(ROW()-1,Data[],3,FALSE)</f>
        <v>41.78</v>
      </c>
      <c r="C13" s="19">
        <f>IFERROR(IF(BookBalance[Balance]="","",BookBalance[Balance]/G$9),"")</f>
        <v>2.0326886795952594E-2</v>
      </c>
      <c r="D13" s="11">
        <f>VLOOKUP(ROW()-1,Data[],16,FALSE)</f>
        <v>0</v>
      </c>
    </row>
    <row r="14" spans="1:12" x14ac:dyDescent="0.25">
      <c r="A14" s="9" t="str">
        <f>IFERROR(VLOOKUP(ROW()-1,BookieName[],2,FALSE),"")</f>
        <v>AdmiralAt</v>
      </c>
      <c r="B14" s="11">
        <f>VLOOKUP(ROW()-1,Data[],3,FALSE)</f>
        <v>0</v>
      </c>
      <c r="C14" s="19">
        <f>IFERROR(IF(BookBalance[Balance]="","",BookBalance[Balance]/G$9),"")</f>
        <v>0</v>
      </c>
      <c r="D14" s="11">
        <f>VLOOKUP(ROW()-1,Data[],16,FALSE)</f>
        <v>0</v>
      </c>
    </row>
    <row r="15" spans="1:12" x14ac:dyDescent="0.25">
      <c r="A15" s="9" t="str">
        <f>IFERROR(VLOOKUP(ROW()-1,BookieName[],2,FALSE),"")</f>
        <v>Bet365</v>
      </c>
      <c r="B15" s="11">
        <f>VLOOKUP(ROW()-1,Data[],3,FALSE)</f>
        <v>211.7002500000001</v>
      </c>
      <c r="C15" s="19">
        <f>IFERROR(IF(BookBalance[Balance]="","",BookBalance[Balance]/G$9),"")</f>
        <v>0.10299681705181582</v>
      </c>
      <c r="D15" s="11">
        <f>VLOOKUP(ROW()-1,Data[],16,FALSE)</f>
        <v>0</v>
      </c>
    </row>
    <row r="16" spans="1:12" x14ac:dyDescent="0.25">
      <c r="A16" s="9" t="str">
        <f>IFERROR(VLOOKUP(ROW()-1,BookieName[],2,FALSE),"")</f>
        <v>Bet9ja</v>
      </c>
      <c r="B16" s="11">
        <f>VLOOKUP(ROW()-1,Data[],3,FALSE)</f>
        <v>0</v>
      </c>
      <c r="C16" s="19">
        <f>IFERROR(IF(BookBalance[Balance]="","",BookBalance[Balance]/G$9),"")</f>
        <v>0</v>
      </c>
      <c r="D16" s="11">
        <f>VLOOKUP(ROW()-1,Data[],16,FALSE)</f>
        <v>0</v>
      </c>
    </row>
    <row r="17" spans="1:7" x14ac:dyDescent="0.25">
      <c r="A17" s="9" t="str">
        <f>IFERROR(VLOOKUP(ROW()-1,BookieName[],2,FALSE),"")</f>
        <v>BetAtHome</v>
      </c>
      <c r="B17" s="11">
        <f>VLOOKUP(ROW()-1,Data[],3,FALSE)</f>
        <v>0</v>
      </c>
      <c r="C17" s="19">
        <f>IFERROR(IF(BookBalance[Balance]="","",BookBalance[Balance]/G$9),"")</f>
        <v>0</v>
      </c>
      <c r="D17" s="11">
        <f>VLOOKUP(ROW()-1,Data[],16,FALSE)</f>
        <v>0</v>
      </c>
    </row>
    <row r="18" spans="1:7" x14ac:dyDescent="0.25">
      <c r="A18" s="9" t="str">
        <f>IFERROR(VLOOKUP(ROW()-1,BookieName[],2,FALSE),"")</f>
        <v>BetClic</v>
      </c>
      <c r="B18" s="11">
        <f>VLOOKUP(ROW()-1,Data[],3,FALSE)</f>
        <v>0</v>
      </c>
      <c r="C18" s="19">
        <f>IFERROR(IF(BookBalance[Balance]="","",BookBalance[Balance]/G$9),"")</f>
        <v>0</v>
      </c>
      <c r="D18" s="11">
        <f>VLOOKUP(ROW()-1,Data[],16,FALSE)</f>
        <v>0</v>
      </c>
    </row>
    <row r="19" spans="1:7" x14ac:dyDescent="0.25">
      <c r="A19" s="9" t="str">
        <f>IFERROR(VLOOKUP(ROW()-1,BookieName[],2,FALSE),"")</f>
        <v>BetCRIS</v>
      </c>
      <c r="B19" s="11">
        <f>VLOOKUP(ROW()-1,Data[],3,FALSE)</f>
        <v>0</v>
      </c>
      <c r="C19" s="19">
        <f>IFERROR(IF(BookBalance[Balance]="","",BookBalance[Balance]/G$9),"")</f>
        <v>0</v>
      </c>
      <c r="D19" s="11">
        <f>VLOOKUP(ROW()-1,Data[],16,FALSE)</f>
        <v>0</v>
      </c>
    </row>
    <row r="20" spans="1:7" x14ac:dyDescent="0.25">
      <c r="A20" s="9" t="str">
        <f>IFERROR(VLOOKUP(ROW()-1,BookieName[],2,FALSE),"")</f>
        <v>BetDaq</v>
      </c>
      <c r="B20" s="11">
        <f>VLOOKUP(ROW()-1,Data[],3,FALSE)</f>
        <v>0</v>
      </c>
      <c r="C20" s="19">
        <f>IFERROR(IF(BookBalance[Balance]="","",BookBalance[Balance]/G$9),"")</f>
        <v>0</v>
      </c>
      <c r="D20" s="11">
        <f>VLOOKUP(ROW()-1,Data[],16,FALSE)</f>
        <v>0</v>
      </c>
    </row>
    <row r="21" spans="1:7" x14ac:dyDescent="0.25">
      <c r="A21" s="9" t="str">
        <f>IFERROR(VLOOKUP(ROW()-1,BookieName[],2,FALSE),"")</f>
        <v>Betfair</v>
      </c>
      <c r="B21" s="11">
        <f>VLOOKUP(ROW()-1,Data[],3,FALSE)</f>
        <v>-44.28</v>
      </c>
      <c r="C21" s="19">
        <f>IFERROR(IF(BookBalance[Balance]="","",BookBalance[Balance]/G$9),"")</f>
        <v>-2.1543191654494517E-2</v>
      </c>
      <c r="D21" s="11">
        <f>VLOOKUP(ROW()-1,Data[],16,FALSE)</f>
        <v>0</v>
      </c>
    </row>
    <row r="22" spans="1:7" x14ac:dyDescent="0.25">
      <c r="A22" s="9" t="str">
        <f>IFERROR(VLOOKUP(ROW()-1,BookieName[],2,FALSE),"")</f>
        <v>Betfred</v>
      </c>
      <c r="B22" s="11">
        <f>VLOOKUP(ROW()-1,Data[],3,FALSE)</f>
        <v>0</v>
      </c>
      <c r="C22" s="19">
        <f>IFERROR(IF(BookBalance[Balance]="","",BookBalance[Balance]/G$9),"")</f>
        <v>0</v>
      </c>
      <c r="D22" s="11">
        <f>VLOOKUP(ROW()-1,Data[],16,FALSE)</f>
        <v>0</v>
      </c>
    </row>
    <row r="23" spans="1:7" x14ac:dyDescent="0.25">
      <c r="A23" s="9" t="str">
        <f>IFERROR(VLOOKUP(ROW()-1,BookieName[],2,FALSE),"")</f>
        <v>Bethard</v>
      </c>
      <c r="B23" s="11">
        <f>VLOOKUP(ROW()-1,Data[],3,FALSE)</f>
        <v>0</v>
      </c>
      <c r="C23" s="19">
        <f>IFERROR(IF(BookBalance[Balance]="","",BookBalance[Balance]/G$9),"")</f>
        <v>0</v>
      </c>
      <c r="D23" s="11">
        <f>VLOOKUP(ROW()-1,Data[],16,FALSE)</f>
        <v>0</v>
      </c>
      <c r="G23" s="7"/>
    </row>
    <row r="24" spans="1:7" x14ac:dyDescent="0.25">
      <c r="A24" s="9" t="str">
        <f>IFERROR(VLOOKUP(ROW()-1,BookieName[],2,FALSE),"")</f>
        <v>BetOlimp</v>
      </c>
      <c r="B24" s="11">
        <f>VLOOKUP(ROW()-1,Data[],3,FALSE)</f>
        <v>0</v>
      </c>
      <c r="C24" s="19">
        <f>IFERROR(IF(BookBalance[Balance]="","",BookBalance[Balance]/G$9),"")</f>
        <v>0</v>
      </c>
      <c r="D24" s="11">
        <f>VLOOKUP(ROW()-1,Data[],16,FALSE)</f>
        <v>0</v>
      </c>
      <c r="F24" s="7"/>
    </row>
    <row r="25" spans="1:7" x14ac:dyDescent="0.25">
      <c r="A25" s="13" t="str">
        <f>IFERROR(VLOOKUP(ROW()-1,BookieName[],2,FALSE),"")</f>
        <v>BetOnline</v>
      </c>
      <c r="B25" s="15">
        <f>VLOOKUP(ROW()-1,Data[],3,FALSE)</f>
        <v>0</v>
      </c>
      <c r="C25" s="22">
        <f>IFERROR(IF(BookBalance[Balance]="","",BookBalance[Balance]/G$9),"")</f>
        <v>0</v>
      </c>
      <c r="D25" s="15">
        <f>VLOOKUP(ROW()-1,Data[],16,FALSE)</f>
        <v>0</v>
      </c>
    </row>
    <row r="26" spans="1:7" x14ac:dyDescent="0.25">
      <c r="A26" s="12" t="str">
        <f>IFERROR(VLOOKUP(ROW()-1,BookieName[],2,FALSE),"")</f>
        <v>Betrally</v>
      </c>
      <c r="B26" s="11">
        <f>VLOOKUP(ROW()-1,Data[],3,FALSE)</f>
        <v>0</v>
      </c>
      <c r="C26" s="19">
        <f>IFERROR(IF(BookBalance[Balance]="","",BookBalance[Balance]/G$9),"")</f>
        <v>0</v>
      </c>
      <c r="D26" s="11">
        <f>VLOOKUP(ROW()-1,Data[],16,FALSE)</f>
        <v>0</v>
      </c>
    </row>
    <row r="27" spans="1:7" x14ac:dyDescent="0.25">
      <c r="A27" s="12" t="str">
        <f>IFERROR(VLOOKUP(ROW()-1,BookieName[],2,FALSE),"")</f>
        <v>Bets10</v>
      </c>
      <c r="B27" s="11">
        <f>VLOOKUP(ROW()-1,Data[],3,FALSE)</f>
        <v>0</v>
      </c>
      <c r="C27" s="19">
        <f>IFERROR(IF(BookBalance[Balance]="","",BookBalance[Balance]/G$9),"")</f>
        <v>0</v>
      </c>
      <c r="D27" s="11">
        <f>VLOOKUP(ROW()-1,Data[],16,FALSE)</f>
        <v>0</v>
      </c>
    </row>
    <row r="28" spans="1:7" x14ac:dyDescent="0.25">
      <c r="A28" s="12" t="str">
        <f>IFERROR(VLOOKUP(ROW()-1,BookieName[],2,FALSE),"")</f>
        <v>BetSafe</v>
      </c>
      <c r="B28" s="11">
        <f>VLOOKUP(ROW()-1,Data[],3,FALSE)</f>
        <v>0</v>
      </c>
      <c r="C28" s="19">
        <f>IFERROR(IF(BookBalance[Balance]="","",BookBalance[Balance]/G$9),"")</f>
        <v>0</v>
      </c>
      <c r="D28" s="11">
        <f>VLOOKUP(ROW()-1,Data[],16,FALSE)</f>
        <v>0</v>
      </c>
    </row>
    <row r="29" spans="1:7" x14ac:dyDescent="0.25">
      <c r="A29" s="12" t="str">
        <f>IFERROR(VLOOKUP(ROW()-1,BookieName[],2,FALSE),"")</f>
        <v>Betshop</v>
      </c>
      <c r="B29" s="11">
        <f>VLOOKUP(ROW()-1,Data[],3,FALSE)</f>
        <v>0</v>
      </c>
      <c r="C29" s="19">
        <f>IFERROR(IF(BookBalance[Balance]="","",BookBalance[Balance]/G$9),"")</f>
        <v>0</v>
      </c>
      <c r="D29" s="11">
        <f>VLOOKUP(ROW()-1,Data[],16,FALSE)</f>
        <v>0</v>
      </c>
    </row>
    <row r="30" spans="1:7" x14ac:dyDescent="0.25">
      <c r="A30" s="12" t="str">
        <f>IFERROR(VLOOKUP(ROW()-1,BookieName[],2,FALSE),"")</f>
        <v>Betsson</v>
      </c>
      <c r="B30" s="11">
        <f>VLOOKUP(ROW()-1,Data[],3,FALSE)</f>
        <v>0</v>
      </c>
      <c r="C30" s="19">
        <f>IFERROR(IF(BookBalance[Balance]="","",BookBalance[Balance]/G$9),"")</f>
        <v>0</v>
      </c>
      <c r="D30" s="11">
        <f>VLOOKUP(ROW()-1,Data[],16,FALSE)</f>
        <v>0</v>
      </c>
    </row>
    <row r="31" spans="1:7" x14ac:dyDescent="0.25">
      <c r="A31" s="12" t="str">
        <f>IFERROR(VLOOKUP(ROW()-1,BookieName[],2,FALSE),"")</f>
        <v>Betstar</v>
      </c>
      <c r="B31" s="11">
        <f>VLOOKUP(ROW()-1,Data[],3,FALSE)</f>
        <v>0</v>
      </c>
      <c r="C31" s="19">
        <f>IFERROR(IF(BookBalance[Balance]="","",BookBalance[Balance]/G$9),"")</f>
        <v>0</v>
      </c>
      <c r="D31" s="11">
        <f>VLOOKUP(ROW()-1,Data[],16,FALSE)</f>
        <v>0</v>
      </c>
    </row>
    <row r="32" spans="1:7" x14ac:dyDescent="0.25">
      <c r="A32" s="12" t="str">
        <f>IFERROR(VLOOKUP(ROW()-1,BookieName[],2,FALSE),"")</f>
        <v>BookmakerEu</v>
      </c>
      <c r="B32" s="11">
        <f>VLOOKUP(ROW()-1,Data[],3,FALSE)</f>
        <v>0</v>
      </c>
      <c r="C32" s="19">
        <f>IFERROR(IF(BookBalance[Balance]="","",BookBalance[Balance]/G$9),"")</f>
        <v>0</v>
      </c>
      <c r="D32" s="11">
        <f>VLOOKUP(ROW()-1,Data[],16,FALSE)</f>
        <v>0</v>
      </c>
    </row>
    <row r="33" spans="1:4" x14ac:dyDescent="0.25">
      <c r="A33" s="12" t="str">
        <f>IFERROR(VLOOKUP(ROW()-1,BookieName[],2,FALSE),"")</f>
        <v>BoyleSports</v>
      </c>
      <c r="B33" s="11">
        <f>VLOOKUP(ROW()-1,Data[],3,FALSE)</f>
        <v>0</v>
      </c>
      <c r="C33" s="19">
        <f>IFERROR(IF(BookBalance[Balance]="","",BookBalance[Balance]/G$9),"")</f>
        <v>0</v>
      </c>
      <c r="D33" s="11">
        <f>VLOOKUP(ROW()-1,Data[],16,FALSE)</f>
        <v>0</v>
      </c>
    </row>
    <row r="34" spans="1:4" x14ac:dyDescent="0.25">
      <c r="A34" s="12" t="str">
        <f>IFERROR(VLOOKUP(ROW()-1,BookieName[],2,FALSE),"")</f>
        <v>BWin</v>
      </c>
      <c r="B34" s="11">
        <f>VLOOKUP(ROW()-1,Data[],3,FALSE)</f>
        <v>0</v>
      </c>
      <c r="C34" s="19">
        <f>IFERROR(IF(BookBalance[Balance]="","",BookBalance[Balance]/G$9),"")</f>
        <v>0</v>
      </c>
      <c r="D34" s="11">
        <f>VLOOKUP(ROW()-1,Data[],16,FALSE)</f>
        <v>0</v>
      </c>
    </row>
    <row r="35" spans="1:4" x14ac:dyDescent="0.25">
      <c r="A35" s="12" t="str">
        <f>IFERROR(VLOOKUP(ROW()-1,BookieName[],2,FALSE),"")</f>
        <v>Cashpoint</v>
      </c>
      <c r="B35" s="11">
        <f>VLOOKUP(ROW()-1,Data[],3,FALSE)</f>
        <v>0</v>
      </c>
      <c r="C35" s="19">
        <f>IFERROR(IF(BookBalance[Balance]="","",BookBalance[Balance]/G$9),"")</f>
        <v>0</v>
      </c>
      <c r="D35" s="11">
        <f>VLOOKUP(ROW()-1,Data[],16,FALSE)</f>
        <v>0</v>
      </c>
    </row>
    <row r="36" spans="1:4" x14ac:dyDescent="0.25">
      <c r="A36" s="12" t="str">
        <f>IFERROR(VLOOKUP(ROW()-1,BookieName[],2,FALSE),"")</f>
        <v>Centrebet</v>
      </c>
      <c r="B36" s="11">
        <f>VLOOKUP(ROW()-1,Data[],3,FALSE)</f>
        <v>0</v>
      </c>
      <c r="C36" s="19">
        <f>IFERROR(IF(BookBalance[Balance]="","",BookBalance[Balance]/G$9),"")</f>
        <v>0</v>
      </c>
      <c r="D36" s="11">
        <f>VLOOKUP(ROW()-1,Data[],16,FALSE)</f>
        <v>0</v>
      </c>
    </row>
    <row r="37" spans="1:4" x14ac:dyDescent="0.25">
      <c r="A37" s="12" t="str">
        <f>IFERROR(VLOOKUP(ROW()-1,BookieName[],2,FALSE),"")</f>
        <v>Comeon</v>
      </c>
      <c r="B37" s="11">
        <f>VLOOKUP(ROW()-1,Data[],3,FALSE)</f>
        <v>0</v>
      </c>
      <c r="C37" s="19">
        <f>IFERROR(IF(BookBalance[Balance]="","",BookBalance[Balance]/G$9),"")</f>
        <v>0</v>
      </c>
      <c r="D37" s="11">
        <f>VLOOKUP(ROW()-1,Data[],16,FALSE)</f>
        <v>0</v>
      </c>
    </row>
    <row r="38" spans="1:4" x14ac:dyDescent="0.25">
      <c r="A38" s="12" t="str">
        <f>IFERROR(VLOOKUP(ROW()-1,BookieName[],2,FALSE),"")</f>
        <v>Coral</v>
      </c>
      <c r="B38" s="11">
        <f>VLOOKUP(ROW()-1,Data[],3,FALSE)</f>
        <v>0</v>
      </c>
      <c r="C38" s="19">
        <f>IFERROR(IF(BookBalance[Balance]="","",BookBalance[Balance]/G$9),"")</f>
        <v>0</v>
      </c>
      <c r="D38" s="11">
        <f>VLOOKUP(ROW()-1,Data[],16,FALSE)</f>
        <v>0</v>
      </c>
    </row>
    <row r="39" spans="1:4" x14ac:dyDescent="0.25">
      <c r="A39" s="12" t="str">
        <f>IFERROR(VLOOKUP(ROW()-1,BookieName[],2,FALSE),"")</f>
        <v>Dafabet</v>
      </c>
      <c r="B39" s="11">
        <f>VLOOKUP(ROW()-1,Data[],3,FALSE)</f>
        <v>238.54200000000037</v>
      </c>
      <c r="C39" s="19">
        <f>IFERROR(IF(BookBalance[Balance]="","",BookBalance[Balance]/G$9),"")</f>
        <v>0.11605591742652301</v>
      </c>
      <c r="D39" s="11">
        <f>VLOOKUP(ROW()-1,Data[],16,FALSE)</f>
        <v>0</v>
      </c>
    </row>
    <row r="40" spans="1:4" x14ac:dyDescent="0.25">
      <c r="A40" s="12" t="str">
        <f>IFERROR(VLOOKUP(ROW()-1,BookieName[],2,FALSE),"")</f>
        <v>DanskeSpil</v>
      </c>
      <c r="B40" s="11">
        <f>VLOOKUP(ROW()-1,Data[],3,FALSE)</f>
        <v>0</v>
      </c>
      <c r="C40" s="19">
        <f>IFERROR(IF(BookBalance[Balance]="","",BookBalance[Balance]/G$9),"")</f>
        <v>0</v>
      </c>
      <c r="D40" s="11">
        <f>VLOOKUP(ROW()-1,Data[],16,FALSE)</f>
        <v>0</v>
      </c>
    </row>
    <row r="41" spans="1:4" x14ac:dyDescent="0.25">
      <c r="A41" s="12" t="str">
        <f>IFERROR(VLOOKUP(ROW()-1,BookieName[],2,FALSE),"")</f>
        <v>DiamondSB</v>
      </c>
      <c r="B41" s="11">
        <f>VLOOKUP(ROW()-1,Data[],3,FALSE)</f>
        <v>0</v>
      </c>
      <c r="C41" s="19">
        <f>IFERROR(IF(BookBalance[Balance]="","",BookBalance[Balance]/G$9),"")</f>
        <v>0</v>
      </c>
      <c r="D41" s="11">
        <f>VLOOKUP(ROW()-1,Data[],16,FALSE)</f>
        <v>0</v>
      </c>
    </row>
    <row r="42" spans="1:4" x14ac:dyDescent="0.25">
      <c r="A42" s="12" t="str">
        <f>IFERROR(VLOOKUP(ROW()-1,BookieName[],2,FALSE),"")</f>
        <v>Etoto</v>
      </c>
      <c r="B42" s="11">
        <f>VLOOKUP(ROW()-1,Data[],3,FALSE)</f>
        <v>0</v>
      </c>
      <c r="C42" s="19">
        <f>IFERROR(IF(BookBalance[Balance]="","",BookBalance[Balance]/G$9),"")</f>
        <v>0</v>
      </c>
      <c r="D42" s="11">
        <f>VLOOKUP(ROW()-1,Data[],16,FALSE)</f>
        <v>0</v>
      </c>
    </row>
    <row r="43" spans="1:4" x14ac:dyDescent="0.25">
      <c r="A43" s="12" t="str">
        <f>IFERROR(VLOOKUP(ROW()-1,BookieName[],2,FALSE),"")</f>
        <v>Expekt</v>
      </c>
      <c r="B43" s="11">
        <f>VLOOKUP(ROW()-1,Data[],3,FALSE)</f>
        <v>0</v>
      </c>
      <c r="C43" s="19">
        <f>IFERROR(IF(BookBalance[Balance]="","",BookBalance[Balance]/G$9),"")</f>
        <v>0</v>
      </c>
      <c r="D43" s="11">
        <f>VLOOKUP(ROW()-1,Data[],16,FALSE)</f>
        <v>0</v>
      </c>
    </row>
    <row r="44" spans="1:4" x14ac:dyDescent="0.25">
      <c r="A44" s="12" t="str">
        <f>IFERROR(VLOOKUP(ROW()-1,BookieName[],2,FALSE),"")</f>
        <v>Fun88</v>
      </c>
      <c r="B44" s="11">
        <f>VLOOKUP(ROW()-1,Data[],3,FALSE)</f>
        <v>0</v>
      </c>
      <c r="C44" s="19">
        <f>IFERROR(IF(BookBalance[Balance]="","",BookBalance[Balance]/G$9),"")</f>
        <v>0</v>
      </c>
      <c r="D44" s="11">
        <f>VLOOKUP(ROW()-1,Data[],16,FALSE)</f>
        <v>0</v>
      </c>
    </row>
    <row r="45" spans="1:4" x14ac:dyDescent="0.25">
      <c r="A45" s="12" t="str">
        <f>IFERROR(VLOOKUP(ROW()-1,BookieName[],2,FALSE),"")</f>
        <v>Fun88UK</v>
      </c>
      <c r="B45" s="11">
        <f>VLOOKUP(ROW()-1,Data[],3,FALSE)</f>
        <v>0</v>
      </c>
      <c r="C45" s="19">
        <f>IFERROR(IF(BookBalance[Balance]="","",BookBalance[Balance]/G$9),"")</f>
        <v>0</v>
      </c>
      <c r="D45" s="11">
        <f>VLOOKUP(ROW()-1,Data[],16,FALSE)</f>
        <v>0</v>
      </c>
    </row>
    <row r="46" spans="1:4" x14ac:dyDescent="0.25">
      <c r="A46" s="12" t="str">
        <f>IFERROR(VLOOKUP(ROW()-1,BookieName[],2,FALSE),"")</f>
        <v>Gamebookers</v>
      </c>
      <c r="B46" s="11">
        <f>VLOOKUP(ROW()-1,Data[],3,FALSE)</f>
        <v>0</v>
      </c>
      <c r="C46" s="19">
        <f>IFERROR(IF(BookBalance[Balance]="","",BookBalance[Balance]/G$9),"")</f>
        <v>0</v>
      </c>
      <c r="D46" s="11">
        <f>VLOOKUP(ROW()-1,Data[],16,FALSE)</f>
        <v>0</v>
      </c>
    </row>
    <row r="47" spans="1:4" x14ac:dyDescent="0.25">
      <c r="A47" s="12" t="str">
        <f>IFERROR(VLOOKUP(ROW()-1,BookieName[],2,FALSE),"")</f>
        <v>GiocoDigitale</v>
      </c>
      <c r="B47" s="11">
        <f>VLOOKUP(ROW()-1,Data[],3,FALSE)</f>
        <v>0</v>
      </c>
      <c r="C47" s="19">
        <f>IFERROR(IF(BookBalance[Balance]="","",BookBalance[Balance]/G$9),"")</f>
        <v>0</v>
      </c>
      <c r="D47" s="11">
        <f>VLOOKUP(ROW()-1,Data[],16,FALSE)</f>
        <v>0</v>
      </c>
    </row>
    <row r="48" spans="1:4" x14ac:dyDescent="0.25">
      <c r="A48" s="12" t="str">
        <f>IFERROR(VLOOKUP(ROW()-1,BookieName[],2,FALSE),"")</f>
        <v>Intertops</v>
      </c>
      <c r="B48" s="11">
        <f>VLOOKUP(ROW()-1,Data[],3,FALSE)</f>
        <v>0</v>
      </c>
      <c r="C48" s="19">
        <f>IFERROR(IF(BookBalance[Balance]="","",BookBalance[Balance]/G$9),"")</f>
        <v>0</v>
      </c>
      <c r="D48" s="11">
        <f>VLOOKUP(ROW()-1,Data[],16,FALSE)</f>
        <v>0</v>
      </c>
    </row>
    <row r="49" spans="1:4" x14ac:dyDescent="0.25">
      <c r="A49" s="12" t="str">
        <f>IFERROR(VLOOKUP(ROW()-1,BookieName[],2,FALSE),"")</f>
        <v>Interwetten</v>
      </c>
      <c r="B49" s="11">
        <f>VLOOKUP(ROW()-1,Data[],3,FALSE)</f>
        <v>0</v>
      </c>
      <c r="C49" s="19">
        <f>IFERROR(IF(BookBalance[Balance]="","",BookBalance[Balance]/G$9),"")</f>
        <v>0</v>
      </c>
      <c r="D49" s="11">
        <f>VLOOKUP(ROW()-1,Data[],16,FALSE)</f>
        <v>0</v>
      </c>
    </row>
    <row r="50" spans="1:4" x14ac:dyDescent="0.25">
      <c r="A50" s="12" t="str">
        <f>IFERROR(VLOOKUP(ROW()-1,BookieName[],2,FALSE),"")</f>
        <v>JenningsBet</v>
      </c>
      <c r="B50" s="11">
        <f>VLOOKUP(ROW()-1,Data[],3,FALSE)</f>
        <v>0</v>
      </c>
      <c r="C50" s="19">
        <f>IFERROR(IF(BookBalance[Balance]="","",BookBalance[Balance]/G$9),"")</f>
        <v>0</v>
      </c>
      <c r="D50" s="11">
        <f>VLOOKUP(ROW()-1,Data[],16,FALSE)</f>
        <v>0</v>
      </c>
    </row>
    <row r="51" spans="1:4" x14ac:dyDescent="0.25">
      <c r="A51" s="12" t="str">
        <f>IFERROR(VLOOKUP(ROW()-1,BookieName[],2,FALSE),"")</f>
        <v>Jetbull</v>
      </c>
      <c r="B51" s="11">
        <f>VLOOKUP(ROW()-1,Data[],3,FALSE)</f>
        <v>0</v>
      </c>
      <c r="C51" s="19">
        <f>IFERROR(IF(BookBalance[Balance]="","",BookBalance[Balance]/G$9),"")</f>
        <v>0</v>
      </c>
      <c r="D51" s="11">
        <f>VLOOKUP(ROW()-1,Data[],16,FALSE)</f>
        <v>0</v>
      </c>
    </row>
    <row r="52" spans="1:4" x14ac:dyDescent="0.25">
      <c r="A52" s="12" t="str">
        <f>IFERROR(VLOOKUP(ROW()-1,BookieName[],2,FALSE),"")</f>
        <v>Ladbrokes</v>
      </c>
      <c r="B52" s="11">
        <f>VLOOKUP(ROW()-1,Data[],3,FALSE)</f>
        <v>0</v>
      </c>
      <c r="C52" s="19">
        <f>IFERROR(IF(BookBalance[Balance]="","",BookBalance[Balance]/G$9),"")</f>
        <v>0</v>
      </c>
      <c r="D52" s="11">
        <f>VLOOKUP(ROW()-1,Data[],16,FALSE)</f>
        <v>0</v>
      </c>
    </row>
    <row r="53" spans="1:4" x14ac:dyDescent="0.25">
      <c r="A53" s="12" t="str">
        <f>IFERROR(VLOOKUP(ROW()-1,BookieName[],2,FALSE),"")</f>
        <v>LadbrokesAU</v>
      </c>
      <c r="B53" s="11">
        <f>VLOOKUP(ROW()-1,Data[],3,FALSE)</f>
        <v>0</v>
      </c>
      <c r="C53" s="19">
        <f>IFERROR(IF(BookBalance[Balance]="","",BookBalance[Balance]/G$9),"")</f>
        <v>0</v>
      </c>
      <c r="D53" s="11">
        <f>VLOOKUP(ROW()-1,Data[],16,FALSE)</f>
        <v>0</v>
      </c>
    </row>
    <row r="54" spans="1:4" x14ac:dyDescent="0.25">
      <c r="A54" s="12" t="str">
        <f>IFERROR(VLOOKUP(ROW()-1,BookieName[],2,FALSE),"")</f>
        <v>LeoVegas</v>
      </c>
      <c r="B54" s="11">
        <f>VLOOKUP(ROW()-1,Data[],3,FALSE)</f>
        <v>0</v>
      </c>
      <c r="C54" s="19">
        <f>IFERROR(IF(BookBalance[Balance]="","",BookBalance[Balance]/G$9),"")</f>
        <v>0</v>
      </c>
      <c r="D54" s="11">
        <f>VLOOKUP(ROW()-1,Data[],16,FALSE)</f>
        <v>0</v>
      </c>
    </row>
    <row r="55" spans="1:4" x14ac:dyDescent="0.25">
      <c r="A55" s="12" t="str">
        <f>IFERROR(VLOOKUP(ROW()-1,BookieName[],2,FALSE),"")</f>
        <v>Marathonbet</v>
      </c>
      <c r="B55" s="11">
        <f>VLOOKUP(ROW()-1,Data[],3,FALSE)</f>
        <v>0</v>
      </c>
      <c r="C55" s="19">
        <f>IFERROR(IF(BookBalance[Balance]="","",BookBalance[Balance]/G$9),"")</f>
        <v>0</v>
      </c>
      <c r="D55" s="11">
        <f>VLOOKUP(ROW()-1,Data[],16,FALSE)</f>
        <v>0</v>
      </c>
    </row>
    <row r="56" spans="1:4" x14ac:dyDescent="0.25">
      <c r="A56" s="12" t="str">
        <f>IFERROR(VLOOKUP(ROW()-1,BookieName[],2,FALSE),"")</f>
        <v>Marathonbet.co.uk</v>
      </c>
      <c r="B56" s="11">
        <f>VLOOKUP(ROW()-1,Data[],3,FALSE)</f>
        <v>0</v>
      </c>
      <c r="C56" s="19">
        <f>IFERROR(IF(BookBalance[Balance]="","",BookBalance[Balance]/G$9),"")</f>
        <v>0</v>
      </c>
      <c r="D56" s="11">
        <f>VLOOKUP(ROW()-1,Data[],16,FALSE)</f>
        <v>0</v>
      </c>
    </row>
    <row r="57" spans="1:4" x14ac:dyDescent="0.25">
      <c r="A57" s="12" t="str">
        <f>IFERROR(VLOOKUP(ROW()-1,BookieName[],2,FALSE),"")</f>
        <v>MatchBook</v>
      </c>
      <c r="B57" s="11">
        <f>VLOOKUP(ROW()-1,Data[],3,FALSE)</f>
        <v>0</v>
      </c>
      <c r="C57" s="19">
        <f>IFERROR(IF(BookBalance[Balance]="","",BookBalance[Balance]/G$9),"")</f>
        <v>0</v>
      </c>
      <c r="D57" s="11">
        <f>VLOOKUP(ROW()-1,Data[],16,FALSE)</f>
        <v>0</v>
      </c>
    </row>
    <row r="58" spans="1:4" x14ac:dyDescent="0.25">
      <c r="A58" s="12" t="str">
        <f>IFERROR(VLOOKUP(ROW()-1,BookieName[],2,FALSE),"")</f>
        <v>Meridianbet</v>
      </c>
      <c r="B58" s="11">
        <f>VLOOKUP(ROW()-1,Data[],3,FALSE)</f>
        <v>0</v>
      </c>
      <c r="C58" s="19">
        <f>IFERROR(IF(BookBalance[Balance]="","",BookBalance[Balance]/G$9),"")</f>
        <v>0</v>
      </c>
      <c r="D58" s="11">
        <f>VLOOKUP(ROW()-1,Data[],16,FALSE)</f>
        <v>0</v>
      </c>
    </row>
    <row r="59" spans="1:4" x14ac:dyDescent="0.25">
      <c r="A59" s="12" t="str">
        <f>IFERROR(VLOOKUP(ROW()-1,BookieName[],2,FALSE),"")</f>
        <v>Merrybet</v>
      </c>
      <c r="B59" s="11">
        <f>VLOOKUP(ROW()-1,Data[],3,FALSE)</f>
        <v>0</v>
      </c>
      <c r="C59" s="19">
        <f>IFERROR(IF(BookBalance[Balance]="","",BookBalance[Balance]/G$9),"")</f>
        <v>0</v>
      </c>
      <c r="D59" s="11">
        <f>VLOOKUP(ROW()-1,Data[],16,FALSE)</f>
        <v>0</v>
      </c>
    </row>
    <row r="60" spans="1:4" x14ac:dyDescent="0.25">
      <c r="A60" s="12" t="str">
        <f>IFERROR(VLOOKUP(ROW()-1,BookieName[],2,FALSE),"")</f>
        <v>Mobilbet</v>
      </c>
      <c r="B60" s="11">
        <f>VLOOKUP(ROW()-1,Data[],3,FALSE)</f>
        <v>0</v>
      </c>
      <c r="C60" s="19">
        <f>IFERROR(IF(BookBalance[Balance]="","",BookBalance[Balance]/G$9),"")</f>
        <v>0</v>
      </c>
      <c r="D60" s="11">
        <f>VLOOKUP(ROW()-1,Data[],16,FALSE)</f>
        <v>0</v>
      </c>
    </row>
    <row r="61" spans="1:4" x14ac:dyDescent="0.25">
      <c r="A61" s="12" t="str">
        <f>IFERROR(VLOOKUP(ROW()-1,BookieName[],2,FALSE),"")</f>
        <v>Mybet</v>
      </c>
      <c r="B61" s="11">
        <f>VLOOKUP(ROW()-1,Data[],3,FALSE)</f>
        <v>0</v>
      </c>
      <c r="C61" s="19">
        <f>IFERROR(IF(BookBalance[Balance]="","",BookBalance[Balance]/G$9),"")</f>
        <v>0</v>
      </c>
      <c r="D61" s="11">
        <f>VLOOKUP(ROW()-1,Data[],16,FALSE)</f>
        <v>0</v>
      </c>
    </row>
    <row r="62" spans="1:4" x14ac:dyDescent="0.25">
      <c r="A62" s="12" t="str">
        <f>IFERROR(VLOOKUP(ROW()-1,BookieName[],2,FALSE),"")</f>
        <v>NairaBET</v>
      </c>
      <c r="B62" s="11">
        <f>VLOOKUP(ROW()-1,Data[],3,FALSE)</f>
        <v>0</v>
      </c>
      <c r="C62" s="19">
        <f>IFERROR(IF(BookBalance[Balance]="","",BookBalance[Balance]/G$9),"")</f>
        <v>0</v>
      </c>
      <c r="D62" s="11">
        <f>VLOOKUP(ROW()-1,Data[],16,FALSE)</f>
        <v>0</v>
      </c>
    </row>
    <row r="63" spans="1:4" x14ac:dyDescent="0.25">
      <c r="A63" s="12" t="str">
        <f>IFERROR(VLOOKUP(ROW()-1,BookieName[],2,FALSE),"")</f>
        <v>NapoleonGames</v>
      </c>
      <c r="B63" s="11">
        <f>VLOOKUP(ROW()-1,Data[],3,FALSE)</f>
        <v>0</v>
      </c>
      <c r="C63" s="19">
        <f>IFERROR(IF(BookBalance[Balance]="","",BookBalance[Balance]/G$9),"")</f>
        <v>0</v>
      </c>
      <c r="D63" s="11">
        <f>VLOOKUP(ROW()-1,Data[],16,FALSE)</f>
        <v>0</v>
      </c>
    </row>
    <row r="64" spans="1:4" x14ac:dyDescent="0.25">
      <c r="A64" s="12" t="str">
        <f>IFERROR(VLOOKUP(ROW()-1,BookieName[],2,FALSE),"")</f>
        <v>Netbet</v>
      </c>
      <c r="B64" s="11">
        <f>VLOOKUP(ROW()-1,Data[],3,FALSE)</f>
        <v>0</v>
      </c>
      <c r="C64" s="19">
        <f>IFERROR(IF(BookBalance[Balance]="","",BookBalance[Balance]/G$9),"")</f>
        <v>0</v>
      </c>
      <c r="D64" s="11">
        <f>VLOOKUP(ROW()-1,Data[],16,FALSE)</f>
        <v>0</v>
      </c>
    </row>
    <row r="65" spans="1:4" x14ac:dyDescent="0.25">
      <c r="A65" s="12" t="str">
        <f>IFERROR(VLOOKUP(ROW()-1,BookieName[],2,FALSE),"")</f>
        <v>NordicBet</v>
      </c>
      <c r="B65" s="11">
        <f>VLOOKUP(ROW()-1,Data[],3,FALSE)</f>
        <v>0</v>
      </c>
      <c r="C65" s="19">
        <f>IFERROR(IF(BookBalance[Balance]="","",BookBalance[Balance]/G$9),"")</f>
        <v>0</v>
      </c>
      <c r="D65" s="11">
        <f>VLOOKUP(ROW()-1,Data[],16,FALSE)</f>
        <v>0</v>
      </c>
    </row>
    <row r="66" spans="1:4" x14ac:dyDescent="0.25">
      <c r="A66" s="12" t="str">
        <f>IFERROR(VLOOKUP(ROW()-1,BookieName[],2,FALSE),"")</f>
        <v>Novibet</v>
      </c>
      <c r="B66" s="11">
        <f>VLOOKUP(ROW()-1,Data[],3,FALSE)</f>
        <v>0</v>
      </c>
      <c r="C66" s="19">
        <f>IFERROR(IF(BookBalance[Balance]="","",BookBalance[Balance]/G$9),"")</f>
        <v>0</v>
      </c>
      <c r="D66" s="11">
        <f>VLOOKUP(ROW()-1,Data[],16,FALSE)</f>
        <v>0</v>
      </c>
    </row>
    <row r="67" spans="1:4" x14ac:dyDescent="0.25">
      <c r="A67" s="12" t="str">
        <f>IFERROR(VLOOKUP(ROW()-1,BookieName[],2,FALSE),"")</f>
        <v>Noxwin</v>
      </c>
      <c r="B67" s="11">
        <f>VLOOKUP(ROW()-1,Data[],3,FALSE)</f>
        <v>0</v>
      </c>
      <c r="C67" s="19">
        <f>IFERROR(IF(BookBalance[Balance]="","",BookBalance[Balance]/G$9),"")</f>
        <v>0</v>
      </c>
      <c r="D67" s="11">
        <f>VLOOKUP(ROW()-1,Data[],16,FALSE)</f>
        <v>0</v>
      </c>
    </row>
    <row r="68" spans="1:4" x14ac:dyDescent="0.25">
      <c r="A68" s="12" t="str">
        <f>IFERROR(VLOOKUP(ROW()-1,BookieName[],2,FALSE),"")</f>
        <v>PaddyPower</v>
      </c>
      <c r="B68" s="11">
        <f>VLOOKUP(ROW()-1,Data[],3,FALSE)</f>
        <v>0</v>
      </c>
      <c r="C68" s="19">
        <f>IFERROR(IF(BookBalance[Balance]="","",BookBalance[Balance]/G$9),"")</f>
        <v>0</v>
      </c>
      <c r="D68" s="11">
        <f>VLOOKUP(ROW()-1,Data[],16,FALSE)</f>
        <v>0</v>
      </c>
    </row>
    <row r="69" spans="1:4" x14ac:dyDescent="0.25">
      <c r="A69" s="12" t="str">
        <f>IFERROR(VLOOKUP(ROW()-1,BookieName[],2,FALSE),"")</f>
        <v>Paf</v>
      </c>
      <c r="B69" s="11">
        <f>VLOOKUP(ROW()-1,Data[],3,FALSE)</f>
        <v>0</v>
      </c>
      <c r="C69" s="19">
        <f>IFERROR(IF(BookBalance[Balance]="","",BookBalance[Balance]/G$9),"")</f>
        <v>0</v>
      </c>
      <c r="D69" s="11">
        <f>VLOOKUP(ROW()-1,Data[],16,FALSE)</f>
        <v>0</v>
      </c>
    </row>
    <row r="70" spans="1:4" x14ac:dyDescent="0.25">
      <c r="A70" s="12" t="str">
        <f>IFERROR(VLOOKUP(ROW()-1,BookieName[],2,FALSE),"")</f>
        <v>PartyPoker</v>
      </c>
      <c r="B70" s="11">
        <f>VLOOKUP(ROW()-1,Data[],3,FALSE)</f>
        <v>0</v>
      </c>
      <c r="C70" s="19">
        <f>IFERROR(IF(BookBalance[Balance]="","",BookBalance[Balance]/G$9),"")</f>
        <v>0</v>
      </c>
      <c r="D70" s="11">
        <f>VLOOKUP(ROW()-1,Data[],16,FALSE)</f>
        <v>0</v>
      </c>
    </row>
    <row r="71" spans="1:4" x14ac:dyDescent="0.25">
      <c r="A71" s="12" t="str">
        <f>IFERROR(VLOOKUP(ROW()-1,BookieName[],2,FALSE),"")</f>
        <v>Pinnacle</v>
      </c>
      <c r="B71" s="11">
        <f>VLOOKUP(ROW()-1,Data[],3,FALSE)</f>
        <v>0</v>
      </c>
      <c r="C71" s="19">
        <f>IFERROR(IF(BookBalance[Balance]="","",BookBalance[Balance]/G$9),"")</f>
        <v>0</v>
      </c>
      <c r="D71" s="11">
        <f>VLOOKUP(ROW()-1,Data[],16,FALSE)</f>
        <v>0</v>
      </c>
    </row>
    <row r="72" spans="1:4" x14ac:dyDescent="0.25">
      <c r="A72" s="12" t="str">
        <f>IFERROR(VLOOKUP(ROW()-1,BookieName[],2,FALSE),"")</f>
        <v>PlanetWin365</v>
      </c>
      <c r="B72" s="11">
        <f>VLOOKUP(ROW()-1,Data[],3,FALSE)</f>
        <v>0</v>
      </c>
      <c r="C72" s="19">
        <f>IFERROR(IF(BookBalance[Balance]="","",BookBalance[Balance]/G$9),"")</f>
        <v>0</v>
      </c>
      <c r="D72" s="11">
        <f>VLOOKUP(ROW()-1,Data[],16,FALSE)</f>
        <v>0</v>
      </c>
    </row>
    <row r="73" spans="1:4" x14ac:dyDescent="0.25">
      <c r="A73" s="12" t="str">
        <f>IFERROR(VLOOKUP(ROW()-1,BookieName[],2,FALSE),"")</f>
        <v>Rivalo</v>
      </c>
      <c r="B73" s="11">
        <f>VLOOKUP(ROW()-1,Data[],3,FALSE)</f>
        <v>0</v>
      </c>
      <c r="C73" s="19">
        <f>IFERROR(IF(BookBalance[Balance]="","",BookBalance[Balance]/G$9),"")</f>
        <v>0</v>
      </c>
      <c r="D73" s="11">
        <f>VLOOKUP(ROW()-1,Data[],16,FALSE)</f>
        <v>0</v>
      </c>
    </row>
    <row r="74" spans="1:4" x14ac:dyDescent="0.25">
      <c r="A74" s="12" t="str">
        <f>IFERROR(VLOOKUP(ROW()-1,BookieName[],2,FALSE),"")</f>
        <v>SBO</v>
      </c>
      <c r="B74" s="11">
        <f>VLOOKUP(ROW()-1,Data[],3,FALSE)</f>
        <v>868.94000000000233</v>
      </c>
      <c r="C74" s="19">
        <f>IFERROR(IF(BookBalance[Balance]="","",BookBalance[Balance]/G$9),"")</f>
        <v>0.42275837751256806</v>
      </c>
      <c r="D74" s="11">
        <f>VLOOKUP(ROW()-1,Data[],16,FALSE)</f>
        <v>0</v>
      </c>
    </row>
    <row r="75" spans="1:4" x14ac:dyDescent="0.25">
      <c r="A75" s="12" t="str">
        <f>IFERROR(VLOOKUP(ROW()-1,BookieName[],2,FALSE),"")</f>
        <v>Smarkets</v>
      </c>
      <c r="B75" s="11">
        <f>VLOOKUP(ROW()-1,Data[],3,FALSE)</f>
        <v>0</v>
      </c>
      <c r="C75" s="19">
        <f>IFERROR(IF(BookBalance[Balance]="","",BookBalance[Balance]/G$9),"")</f>
        <v>0</v>
      </c>
      <c r="D75" s="11">
        <f>VLOOKUP(ROW()-1,Data[],16,FALSE)</f>
        <v>0</v>
      </c>
    </row>
    <row r="76" spans="1:4" x14ac:dyDescent="0.25">
      <c r="A76" s="12" t="str">
        <f>IFERROR(VLOOKUP(ROW()-1,BookieName[],2,FALSE),"")</f>
        <v>Sportingbet</v>
      </c>
      <c r="B76" s="11">
        <f>VLOOKUP(ROW()-1,Data[],3,FALSE)</f>
        <v>0</v>
      </c>
      <c r="C76" s="19">
        <f>IFERROR(IF(BookBalance[Balance]="","",BookBalance[Balance]/G$9),"")</f>
        <v>0</v>
      </c>
      <c r="D76" s="11">
        <f>VLOOKUP(ROW()-1,Data[],16,FALSE)</f>
        <v>0</v>
      </c>
    </row>
    <row r="77" spans="1:4" x14ac:dyDescent="0.25">
      <c r="A77" s="12" t="str">
        <f>IFERROR(VLOOKUP(ROW()-1,BookieName[],2,FALSE),"")</f>
        <v>Sportsbetting</v>
      </c>
      <c r="B77" s="11">
        <f>VLOOKUP(ROW()-1,Data[],3,FALSE)</f>
        <v>0</v>
      </c>
      <c r="C77" s="19">
        <f>IFERROR(IF(BookBalance[Balance]="","",BookBalance[Balance]/G$9),"")</f>
        <v>0</v>
      </c>
      <c r="D77" s="11">
        <f>VLOOKUP(ROW()-1,Data[],16,FALSE)</f>
        <v>0</v>
      </c>
    </row>
    <row r="78" spans="1:4" x14ac:dyDescent="0.25">
      <c r="A78" s="12" t="str">
        <f>IFERROR(VLOOKUP(ROW()-1,BookieName[],2,FALSE),"")</f>
        <v>StanleybetDK</v>
      </c>
      <c r="B78" s="11">
        <f>VLOOKUP(ROW()-1,Data[],3,FALSE)</f>
        <v>0</v>
      </c>
      <c r="C78" s="19">
        <f>IFERROR(IF(BookBalance[Balance]="","",BookBalance[Balance]/G$9),"")</f>
        <v>0</v>
      </c>
      <c r="D78" s="11">
        <f>VLOOKUP(ROW()-1,Data[],16,FALSE)</f>
        <v>0</v>
      </c>
    </row>
    <row r="79" spans="1:4" x14ac:dyDescent="0.25">
      <c r="A79" s="12" t="str">
        <f>IFERROR(VLOOKUP(ROW()-1,BookieName[],2,FALSE),"")</f>
        <v>Stoiximan</v>
      </c>
      <c r="B79" s="11">
        <f>VLOOKUP(ROW()-1,Data[],3,FALSE)</f>
        <v>0</v>
      </c>
      <c r="C79" s="19">
        <f>IFERROR(IF(BookBalance[Balance]="","",BookBalance[Balance]/G$9),"")</f>
        <v>0</v>
      </c>
      <c r="D79" s="11">
        <f>VLOOKUP(ROW()-1,Data[],16,FALSE)</f>
        <v>0</v>
      </c>
    </row>
    <row r="80" spans="1:4" x14ac:dyDescent="0.25">
      <c r="A80" s="12" t="str">
        <f>IFERROR(VLOOKUP(ROW()-1,BookieName[],2,FALSE),"")</f>
        <v>TabAU</v>
      </c>
      <c r="B80" s="11">
        <f>VLOOKUP(ROW()-1,Data[],3,FALSE)</f>
        <v>0</v>
      </c>
      <c r="C80" s="19">
        <f>IFERROR(IF(BookBalance[Balance]="","",BookBalance[Balance]/G$9),"")</f>
        <v>0</v>
      </c>
      <c r="D80" s="11">
        <f>VLOOKUP(ROW()-1,Data[],16,FALSE)</f>
        <v>0</v>
      </c>
    </row>
    <row r="81" spans="1:4" x14ac:dyDescent="0.25">
      <c r="A81" s="12" t="str">
        <f>IFERROR(VLOOKUP(ROW()-1,BookieName[],2,FALSE),"")</f>
        <v>Tatts</v>
      </c>
      <c r="B81" s="11">
        <f>VLOOKUP(ROW()-1,Data[],3,FALSE)</f>
        <v>0</v>
      </c>
      <c r="C81" s="19">
        <f>IFERROR(IF(BookBalance[Balance]="","",BookBalance[Balance]/G$9),"")</f>
        <v>0</v>
      </c>
      <c r="D81" s="11">
        <f>VLOOKUP(ROW()-1,Data[],16,FALSE)</f>
        <v>0</v>
      </c>
    </row>
    <row r="82" spans="1:4" x14ac:dyDescent="0.25">
      <c r="A82" s="12" t="str">
        <f>IFERROR(VLOOKUP(ROW()-1,BookieName[],2,FALSE),"")</f>
        <v>TheGreek</v>
      </c>
      <c r="B82" s="11">
        <f>VLOOKUP(ROW()-1,Data[],3,FALSE)</f>
        <v>0</v>
      </c>
      <c r="C82" s="19">
        <f>IFERROR(IF(BookBalance[Balance]="","",BookBalance[Balance]/G$9),"")</f>
        <v>0</v>
      </c>
      <c r="D82" s="11">
        <f>VLOOKUP(ROW()-1,Data[],16,FALSE)</f>
        <v>0</v>
      </c>
    </row>
    <row r="83" spans="1:4" x14ac:dyDescent="0.25">
      <c r="A83" s="12" t="str">
        <f>IFERROR(VLOOKUP(ROW()-1,BookieName[],2,FALSE),"")</f>
        <v>Tipico</v>
      </c>
      <c r="B83" s="11">
        <f>VLOOKUP(ROW()-1,Data[],3,FALSE)</f>
        <v>0</v>
      </c>
      <c r="C83" s="19">
        <f>IFERROR(IF(BookBalance[Balance]="","",BookBalance[Balance]/G$9),"")</f>
        <v>0</v>
      </c>
      <c r="D83" s="11">
        <f>VLOOKUP(ROW()-1,Data[],16,FALSE)</f>
        <v>0</v>
      </c>
    </row>
    <row r="84" spans="1:4" x14ac:dyDescent="0.25">
      <c r="A84" s="12" t="str">
        <f>IFERROR(VLOOKUP(ROW()-1,BookieName[],2,FALSE),"")</f>
        <v>TitanBet</v>
      </c>
      <c r="B84" s="11">
        <f>VLOOKUP(ROW()-1,Data[],3,FALSE)</f>
        <v>0</v>
      </c>
      <c r="C84" s="19">
        <f>IFERROR(IF(BookBalance[Balance]="","",BookBalance[Balance]/G$9),"")</f>
        <v>0</v>
      </c>
      <c r="D84" s="11">
        <f>VLOOKUP(ROW()-1,Data[],16,FALSE)</f>
        <v>0</v>
      </c>
    </row>
    <row r="85" spans="1:4" x14ac:dyDescent="0.25">
      <c r="A85" s="12" t="str">
        <f>IFERROR(VLOOKUP(ROW()-1,BookieName[],2,FALSE),"")</f>
        <v>TLCBet</v>
      </c>
      <c r="B85" s="11">
        <f>VLOOKUP(ROW()-1,Data[],3,FALSE)</f>
        <v>0</v>
      </c>
      <c r="C85" s="19">
        <f>IFERROR(IF(BookBalance[Balance]="","",BookBalance[Balance]/G$9),"")</f>
        <v>0</v>
      </c>
      <c r="D85" s="11">
        <f>VLOOKUP(ROW()-1,Data[],16,FALSE)</f>
        <v>0</v>
      </c>
    </row>
    <row r="86" spans="1:4" x14ac:dyDescent="0.25">
      <c r="A86" s="12" t="str">
        <f>IFERROR(VLOOKUP(ROW()-1,BookieName[],2,FALSE),"")</f>
        <v>TLCBetUK</v>
      </c>
      <c r="B86" s="11">
        <f>VLOOKUP(ROW()-1,Data[],3,FALSE)</f>
        <v>0</v>
      </c>
      <c r="C86" s="19">
        <f>IFERROR(IF(BookBalance[Balance]="","",BookBalance[Balance]/G$9),"")</f>
        <v>0</v>
      </c>
      <c r="D86" s="11">
        <f>VLOOKUP(ROW()-1,Data[],16,FALSE)</f>
        <v>0</v>
      </c>
    </row>
    <row r="87" spans="1:4" x14ac:dyDescent="0.25">
      <c r="A87" s="12" t="str">
        <f>IFERROR(VLOOKUP(ROW()-1,BookieName[],2,FALSE),"")</f>
        <v>Unibet</v>
      </c>
      <c r="B87" s="11">
        <f>VLOOKUP(ROW()-1,Data[],3,FALSE)</f>
        <v>0</v>
      </c>
      <c r="C87" s="19">
        <f>IFERROR(IF(BookBalance[Balance]="","",BookBalance[Balance]/G$9),"")</f>
        <v>0</v>
      </c>
      <c r="D87" s="11">
        <f>VLOOKUP(ROW()-1,Data[],16,FALSE)</f>
        <v>0</v>
      </c>
    </row>
    <row r="88" spans="1:4" x14ac:dyDescent="0.25">
      <c r="A88" s="12" t="str">
        <f>IFERROR(VLOOKUP(ROW()-1,BookieName[],2,FALSE),"")</f>
        <v>WilliamHill</v>
      </c>
      <c r="B88" s="11">
        <f>VLOOKUP(ROW()-1,Data[],3,FALSE)</f>
        <v>0</v>
      </c>
      <c r="C88" s="19">
        <f>IFERROR(IF(BookBalance[Balance]="","",BookBalance[Balance]/G$9),"")</f>
        <v>0</v>
      </c>
      <c r="D88" s="11">
        <f>VLOOKUP(ROW()-1,Data[],16,FALSE)</f>
        <v>0</v>
      </c>
    </row>
    <row r="89" spans="1:4" x14ac:dyDescent="0.25">
      <c r="A89" s="12" t="str">
        <f>IFERROR(VLOOKUP(ROW()-1,BookieName[],2,FALSE),"")</f>
        <v>WilliamHillAU</v>
      </c>
      <c r="B89" s="11">
        <f>VLOOKUP(ROW()-1,Data[],3,FALSE)</f>
        <v>0</v>
      </c>
      <c r="C89" s="19">
        <f>IFERROR(IF(BookBalance[Balance]="","",BookBalance[Balance]/G$9),"")</f>
        <v>0</v>
      </c>
      <c r="D89" s="11">
        <f>VLOOKUP(ROW()-1,Data[],16,FALSE)</f>
        <v>0</v>
      </c>
    </row>
    <row r="90" spans="1:4" x14ac:dyDescent="0.25">
      <c r="A90" s="12" t="str">
        <f>IFERROR(VLOOKUP(ROW()-1,BookieName[],2,FALSE),"")</f>
        <v>Winner</v>
      </c>
      <c r="B90" s="11">
        <f>VLOOKUP(ROW()-1,Data[],3,FALSE)</f>
        <v>0</v>
      </c>
      <c r="C90" s="19">
        <f>IFERROR(IF(BookBalance[Balance]="","",BookBalance[Balance]/G$9),"")</f>
        <v>0</v>
      </c>
      <c r="D90" s="11">
        <f>VLOOKUP(ROW()-1,Data[],16,FALSE)</f>
        <v>0</v>
      </c>
    </row>
    <row r="91" spans="1:4" x14ac:dyDescent="0.25">
      <c r="A91" s="12" t="str">
        <f>IFERROR(VLOOKUP(ROW()-1,BookieName[],2,FALSE),"")</f>
        <v>XTiP</v>
      </c>
      <c r="B91" s="11">
        <f>VLOOKUP(ROW()-1,Data[],3,FALSE)</f>
        <v>0</v>
      </c>
      <c r="C91" s="19">
        <f>IFERROR(IF(BookBalance[Balance]="","",BookBalance[Balance]/G$9),"")</f>
        <v>0</v>
      </c>
      <c r="D91" s="11">
        <f>VLOOKUP(ROW()-1,Data[],16,FALSE)</f>
        <v>0</v>
      </c>
    </row>
    <row r="92" spans="1:4" x14ac:dyDescent="0.25">
      <c r="A92" s="13" t="str">
        <f>IFERROR(VLOOKUP(ROW()-1,BookieName[],2,FALSE),"")</f>
        <v>Pokerstars EU</v>
      </c>
      <c r="B92" s="15">
        <f>VLOOKUP(ROW()-1,Data[],3,FALSE)</f>
        <v>83.5</v>
      </c>
      <c r="C92" s="22">
        <f>IFERROR(IF(BookBalance[Balance]="","",BookBalance[Balance]/G$9),"")</f>
        <v>4.0624582275300185E-2</v>
      </c>
      <c r="D92" s="15">
        <f>VLOOKUP(ROW()-1,Data[],16,FALSE)</f>
        <v>0</v>
      </c>
    </row>
    <row r="93" spans="1:4" x14ac:dyDescent="0.25">
      <c r="A93" s="13" t="str">
        <f>IFERROR(VLOOKUP(ROW()-1,BookieName[],2,FALSE),"")</f>
        <v>AsianOdds</v>
      </c>
      <c r="B93" s="15">
        <f>VLOOKUP(ROW()-1,Data[],3,FALSE)</f>
        <v>689.23950000000696</v>
      </c>
      <c r="C93" s="22">
        <f>IFERROR(IF(BookBalance[Balance]="","",BookBalance[Balance]/G$9),"")</f>
        <v>0.33533014101960529</v>
      </c>
      <c r="D93" s="15">
        <f>VLOOKUP(ROW()-1,Data[],16,FALSE)</f>
        <v>0</v>
      </c>
    </row>
    <row r="94" spans="1:4" x14ac:dyDescent="0.25">
      <c r="A94" s="12" t="str">
        <f>IFERROR(VLOOKUP(ROW()-1,BookieName[],2,FALSE),"")</f>
        <v/>
      </c>
      <c r="B94" s="11" t="str">
        <f>VLOOKUP(ROW()-1,Data[],3,FALSE)</f>
        <v/>
      </c>
      <c r="C94" s="19" t="str">
        <f>IFERROR(IF(BookBalance[Balance]="","",BookBalance[Balance]/G$9),"")</f>
        <v/>
      </c>
      <c r="D94" s="11" t="str">
        <f>VLOOKUP(ROW()-1,Data[],16,FALSE)</f>
        <v/>
      </c>
    </row>
    <row r="95" spans="1:4" x14ac:dyDescent="0.25">
      <c r="A95" s="12" t="str">
        <f>IFERROR(VLOOKUP(ROW()-1,BookieName[],2,FALSE),"")</f>
        <v/>
      </c>
      <c r="B95" s="11" t="str">
        <f>VLOOKUP(ROW()-1,Data[],3,FALSE)</f>
        <v/>
      </c>
      <c r="C95" s="19" t="str">
        <f>IFERROR(IF(BookBalance[Balance]="","",BookBalance[Balance]/G$9),"")</f>
        <v/>
      </c>
      <c r="D95" s="11" t="str">
        <f>VLOOKUP(ROW()-1,Data[],16,FALSE)</f>
        <v/>
      </c>
    </row>
    <row r="96" spans="1:4" x14ac:dyDescent="0.25">
      <c r="A96" s="12" t="str">
        <f>IFERROR(VLOOKUP(ROW()-1,BookieName[],2,FALSE),"")</f>
        <v/>
      </c>
      <c r="B96" s="11" t="str">
        <f>VLOOKUP(ROW()-1,Data[],3,FALSE)</f>
        <v/>
      </c>
      <c r="C96" s="19" t="str">
        <f>IFERROR(IF(BookBalance[Balance]="","",BookBalance[Balance]/G$9),"")</f>
        <v/>
      </c>
      <c r="D96" s="11" t="str">
        <f>VLOOKUP(ROW()-1,Data[],16,FALSE)</f>
        <v/>
      </c>
    </row>
    <row r="97" spans="1:4" x14ac:dyDescent="0.25">
      <c r="A97" s="12" t="str">
        <f>IFERROR(VLOOKUP(ROW()-1,BookieName[],2,FALSE),"")</f>
        <v/>
      </c>
      <c r="B97" s="11" t="str">
        <f>VLOOKUP(ROW()-1,Data[],3,FALSE)</f>
        <v/>
      </c>
      <c r="C97" s="19" t="str">
        <f>IFERROR(IF(BookBalance[Balance]="","",BookBalance[Balance]/G$9),"")</f>
        <v/>
      </c>
      <c r="D97" s="11" t="str">
        <f>VLOOKUP(ROW()-1,Data[],16,FALSE)</f>
        <v/>
      </c>
    </row>
    <row r="98" spans="1:4" x14ac:dyDescent="0.25">
      <c r="A98" s="12" t="str">
        <f>IFERROR(VLOOKUP(ROW()-1,BookieName[],2,FALSE),"")</f>
        <v/>
      </c>
      <c r="B98" s="11" t="str">
        <f>VLOOKUP(ROW()-1,Data[],3,FALSE)</f>
        <v/>
      </c>
      <c r="C98" s="19" t="str">
        <f>IFERROR(IF(BookBalance[Balance]="","",BookBalance[Balance]/G$9),"")</f>
        <v/>
      </c>
      <c r="D98" s="11" t="str">
        <f>VLOOKUP(ROW()-1,Data[],16,FALSE)</f>
        <v/>
      </c>
    </row>
    <row r="99" spans="1:4" x14ac:dyDescent="0.25">
      <c r="A99" s="12" t="str">
        <f>IFERROR(VLOOKUP(ROW()-1,BookieName[],2,FALSE),"")</f>
        <v/>
      </c>
      <c r="B99" s="11" t="str">
        <f>VLOOKUP(ROW()-1,Data[],3,FALSE)</f>
        <v/>
      </c>
      <c r="C99" s="19" t="str">
        <f>IFERROR(IF(BookBalance[Balance]="","",BookBalance[Balance]/G$9),"")</f>
        <v/>
      </c>
      <c r="D99" s="11" t="str">
        <f>VLOOKUP(ROW()-1,Data[],16,FALSE)</f>
        <v/>
      </c>
    </row>
    <row r="100" spans="1:4" x14ac:dyDescent="0.25">
      <c r="A100" s="12" t="str">
        <f>IFERROR(VLOOKUP(ROW()-1,BookieName[],2,FALSE),"")</f>
        <v/>
      </c>
      <c r="B100" s="11" t="str">
        <f>VLOOKUP(ROW()-1,Data[],3,FALSE)</f>
        <v/>
      </c>
      <c r="C100" s="19" t="str">
        <f>IFERROR(IF(BookBalance[Balance]="","",BookBalance[Balance]/G$9),"")</f>
        <v/>
      </c>
      <c r="D100" s="11" t="str">
        <f>VLOOKUP(ROW()-1,Data[],16,FALSE)</f>
        <v/>
      </c>
    </row>
    <row r="101" spans="1:4" x14ac:dyDescent="0.25">
      <c r="A101" s="12" t="str">
        <f>IFERROR(VLOOKUP(ROW()-1,BookieName[],2,FALSE),"")</f>
        <v/>
      </c>
      <c r="B101" s="11" t="str">
        <f>VLOOKUP(ROW()-1,Data[],3,FALSE)</f>
        <v/>
      </c>
      <c r="C101" s="19" t="str">
        <f>IFERROR(IF(BookBalance[Balance]="","",BookBalance[Balance]/G$9),"")</f>
        <v/>
      </c>
      <c r="D101" s="11" t="str">
        <f>VLOOKUP(ROW()-1,Data[],16,FALSE)</f>
        <v/>
      </c>
    </row>
    <row r="102" spans="1:4" x14ac:dyDescent="0.25">
      <c r="A102" s="12" t="str">
        <f>IFERROR(VLOOKUP(ROW()-1,BookieName[],2,FALSE),"")</f>
        <v/>
      </c>
      <c r="B102" s="11" t="str">
        <f>VLOOKUP(ROW()-1,Data[],3,FALSE)</f>
        <v/>
      </c>
      <c r="C102" s="19" t="str">
        <f>IFERROR(IF(BookBalance[Balance]="","",BookBalance[Balance]/G$9),"")</f>
        <v/>
      </c>
      <c r="D102" s="11" t="str">
        <f>VLOOKUP(ROW()-1,Data[],16,FALSE)</f>
        <v/>
      </c>
    </row>
    <row r="103" spans="1:4" x14ac:dyDescent="0.25">
      <c r="A103" s="12" t="str">
        <f>IFERROR(VLOOKUP(ROW()-1,BookieName[],2,FALSE),"")</f>
        <v/>
      </c>
      <c r="B103" s="11" t="str">
        <f>VLOOKUP(ROW()-1,Data[],3,FALSE)</f>
        <v/>
      </c>
      <c r="C103" s="19" t="str">
        <f>IFERROR(IF(BookBalance[Balance]="","",BookBalance[Balance]/G$9),"")</f>
        <v/>
      </c>
      <c r="D103" s="11" t="str">
        <f>VLOOKUP(ROW()-1,Data[],16,FALSE)</f>
        <v/>
      </c>
    </row>
    <row r="104" spans="1:4" x14ac:dyDescent="0.25">
      <c r="A104" s="12" t="str">
        <f>IFERROR(VLOOKUP(ROW()-1,BookieName[],2,FALSE),"")</f>
        <v/>
      </c>
      <c r="B104" s="11" t="str">
        <f>VLOOKUP(ROW()-1,Data[],3,FALSE)</f>
        <v/>
      </c>
      <c r="C104" s="19" t="str">
        <f>IFERROR(IF(BookBalance[Balance]="","",BookBalance[Balance]/G$9),"")</f>
        <v/>
      </c>
      <c r="D104" s="11" t="str">
        <f>VLOOKUP(ROW()-1,Data[],16,FALSE)</f>
        <v/>
      </c>
    </row>
    <row r="105" spans="1:4" x14ac:dyDescent="0.25">
      <c r="A105" s="12" t="str">
        <f>IFERROR(VLOOKUP(ROW()-1,BookieName[],2,FALSE),"")</f>
        <v/>
      </c>
      <c r="B105" s="11" t="str">
        <f>VLOOKUP(ROW()-1,Data[],3,FALSE)</f>
        <v/>
      </c>
      <c r="C105" s="19" t="str">
        <f>IFERROR(IF(BookBalance[Balance]="","",BookBalance[Balance]/G$9),"")</f>
        <v/>
      </c>
      <c r="D105" s="11" t="str">
        <f>VLOOKUP(ROW()-1,Data[],16,FALSE)</f>
        <v/>
      </c>
    </row>
    <row r="106" spans="1:4" x14ac:dyDescent="0.25">
      <c r="A106" s="12" t="str">
        <f>IFERROR(VLOOKUP(ROW()-1,BookieName[],2,FALSE),"")</f>
        <v/>
      </c>
      <c r="B106" s="11" t="str">
        <f>VLOOKUP(ROW()-1,Data[],3,FALSE)</f>
        <v/>
      </c>
      <c r="C106" s="19" t="str">
        <f>IFERROR(IF(BookBalance[Balance]="","",BookBalance[Balance]/G$9),"")</f>
        <v/>
      </c>
      <c r="D106" s="11" t="str">
        <f>VLOOKUP(ROW()-1,Data[],16,FALSE)</f>
        <v/>
      </c>
    </row>
    <row r="107" spans="1:4" x14ac:dyDescent="0.25">
      <c r="A107" s="12" t="str">
        <f>IFERROR(VLOOKUP(ROW()-1,BookieName[],2,FALSE),"")</f>
        <v/>
      </c>
      <c r="B107" s="11" t="str">
        <f>VLOOKUP(ROW()-1,Data[],3,FALSE)</f>
        <v/>
      </c>
      <c r="C107" s="19" t="str">
        <f>IFERROR(IF(BookBalance[Balance]="","",BookBalance[Balance]/G$9),"")</f>
        <v/>
      </c>
      <c r="D107" s="11" t="str">
        <f>VLOOKUP(ROW()-1,Data[],16,FALSE)</f>
        <v/>
      </c>
    </row>
    <row r="108" spans="1:4" x14ac:dyDescent="0.25">
      <c r="A108" s="12" t="str">
        <f>IFERROR(VLOOKUP(ROW()-1,BookieName[],2,FALSE),"")</f>
        <v/>
      </c>
      <c r="B108" s="11" t="str">
        <f>VLOOKUP(ROW()-1,Data[],3,FALSE)</f>
        <v/>
      </c>
      <c r="C108" s="19" t="str">
        <f>IFERROR(IF(BookBalance[Balance]="","",BookBalance[Balance]/G$9),"")</f>
        <v/>
      </c>
      <c r="D108" s="11" t="str">
        <f>VLOOKUP(ROW()-1,Data[],16,FALSE)</f>
        <v/>
      </c>
    </row>
    <row r="109" spans="1:4" x14ac:dyDescent="0.25">
      <c r="A109" s="12" t="str">
        <f>IFERROR(VLOOKUP(ROW()-1,BookieName[],2,FALSE),"")</f>
        <v/>
      </c>
      <c r="B109" s="11" t="str">
        <f>VLOOKUP(ROW()-1,Data[],3,FALSE)</f>
        <v/>
      </c>
      <c r="C109" s="19" t="str">
        <f>IFERROR(IF(BookBalance[Balance]="","",BookBalance[Balance]/G$9),"")</f>
        <v/>
      </c>
      <c r="D109" s="11" t="str">
        <f>VLOOKUP(ROW()-1,Data[],16,FALSE)</f>
        <v/>
      </c>
    </row>
    <row r="110" spans="1:4" x14ac:dyDescent="0.25">
      <c r="A110" s="12" t="str">
        <f>IFERROR(VLOOKUP(ROW()-1,BookieName[],2,FALSE),"")</f>
        <v/>
      </c>
      <c r="B110" s="11" t="str">
        <f>VLOOKUP(ROW()-1,Data[],3,FALSE)</f>
        <v/>
      </c>
      <c r="C110" s="19" t="str">
        <f>IFERROR(IF(BookBalance[Balance]="","",BookBalance[Balance]/G$9),"")</f>
        <v/>
      </c>
      <c r="D110" s="11" t="str">
        <f>VLOOKUP(ROW()-1,Data[],16,FALSE)</f>
        <v/>
      </c>
    </row>
  </sheetData>
  <pageMargins left="0.7" right="0.7" top="0.75" bottom="0.75" header="0.3" footer="0.3"/>
  <pageSetup paperSize="9" orientation="portrait" r:id="rId1"/>
  <legacyDrawing r:id="rId2"/>
  <tableParts count="2">
    <tablePart r:id="rId3"/>
    <tablePart r:id="rId4"/>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
  <dimension ref="A1:S5028"/>
  <sheetViews>
    <sheetView showGridLines="0" showRowColHeaders="0" topLeftCell="B1" workbookViewId="0">
      <selection activeCell="E38" sqref="E38"/>
    </sheetView>
  </sheetViews>
  <sheetFormatPr defaultRowHeight="11.25" x14ac:dyDescent="0.2"/>
  <cols>
    <col min="1" max="1" width="4.28515625" style="79" hidden="1" customWidth="1"/>
    <col min="2" max="2" width="9" style="79" bestFit="1" customWidth="1"/>
    <col min="3" max="3" width="11.28515625" style="79" bestFit="1" customWidth="1"/>
    <col min="4" max="4" width="7.140625" style="79" bestFit="1" customWidth="1"/>
    <col min="5" max="5" width="10.28515625" style="79" customWidth="1"/>
    <col min="6" max="6" width="10.5703125" style="79" bestFit="1" customWidth="1"/>
    <col min="7" max="7" width="1.85546875" style="79" customWidth="1"/>
    <col min="8" max="8" width="4.28515625" style="79" hidden="1" customWidth="1"/>
    <col min="9" max="9" width="9.140625" style="79"/>
    <col min="10" max="10" width="11.28515625" style="79" bestFit="1" customWidth="1"/>
    <col min="11" max="11" width="8.140625" style="79" bestFit="1" customWidth="1"/>
    <col min="12" max="12" width="41.140625" style="79" bestFit="1" customWidth="1"/>
    <col min="13" max="13" width="1.5703125" style="79" customWidth="1"/>
    <col min="14" max="14" width="4.28515625" style="79" hidden="1" customWidth="1"/>
    <col min="15" max="15" width="9" style="79" bestFit="1" customWidth="1"/>
    <col min="16" max="16" width="7.5703125" style="79" bestFit="1" customWidth="1"/>
    <col min="17" max="17" width="7.140625" style="79" bestFit="1" customWidth="1"/>
    <col min="18" max="18" width="10.42578125" style="79" bestFit="1" customWidth="1"/>
    <col min="19" max="19" width="23" style="79" bestFit="1" customWidth="1"/>
    <col min="20" max="16384" width="9.140625" style="79"/>
  </cols>
  <sheetData>
    <row r="1" spans="1:19" x14ac:dyDescent="0.2">
      <c r="A1" s="79" t="s">
        <v>29</v>
      </c>
      <c r="B1" s="79" t="s">
        <v>3</v>
      </c>
      <c r="C1" s="79" t="s">
        <v>31</v>
      </c>
      <c r="D1" s="79" t="s">
        <v>20</v>
      </c>
      <c r="E1" s="79" t="s">
        <v>34</v>
      </c>
      <c r="F1" s="79" t="s">
        <v>5</v>
      </c>
      <c r="H1" s="79" t="s">
        <v>29</v>
      </c>
      <c r="I1" s="79" t="s">
        <v>3</v>
      </c>
      <c r="J1" s="79" t="s">
        <v>31</v>
      </c>
      <c r="K1" s="79" t="s">
        <v>34</v>
      </c>
      <c r="L1" s="79" t="s">
        <v>5</v>
      </c>
      <c r="N1" s="79" t="s">
        <v>29</v>
      </c>
      <c r="O1" s="79" t="s">
        <v>3</v>
      </c>
      <c r="P1" s="79" t="s">
        <v>31</v>
      </c>
      <c r="Q1" s="79" t="s">
        <v>20</v>
      </c>
      <c r="R1" s="79" t="s">
        <v>34</v>
      </c>
      <c r="S1" s="79" t="s">
        <v>5</v>
      </c>
    </row>
    <row r="2" spans="1:19" x14ac:dyDescent="0.2">
      <c r="A2" s="79">
        <f>ROW()-1</f>
        <v>1</v>
      </c>
      <c r="B2" s="115"/>
      <c r="D2" s="116"/>
      <c r="H2" s="79">
        <f>ROW()-1</f>
        <v>1</v>
      </c>
      <c r="J2" s="79" t="s">
        <v>32</v>
      </c>
      <c r="L2" s="79" t="s">
        <v>122</v>
      </c>
      <c r="N2" s="79">
        <f t="shared" ref="N2:N13" si="0">ROW()-1</f>
        <v>1</v>
      </c>
      <c r="Q2" s="116"/>
    </row>
    <row r="3" spans="1:19" x14ac:dyDescent="0.2">
      <c r="A3" s="79">
        <f t="shared" ref="A3:A7" si="1">ROW()-1</f>
        <v>2</v>
      </c>
      <c r="B3" s="115"/>
      <c r="C3" s="99"/>
      <c r="D3" s="117"/>
      <c r="E3" s="99"/>
      <c r="H3" s="124">
        <f>ROW()-1</f>
        <v>2</v>
      </c>
      <c r="I3" s="124"/>
      <c r="J3" s="124"/>
      <c r="K3" s="124"/>
      <c r="L3" s="124"/>
      <c r="N3" s="124">
        <f>ROW()-1</f>
        <v>2</v>
      </c>
      <c r="O3" s="124"/>
      <c r="P3" s="124"/>
      <c r="Q3" s="128"/>
      <c r="R3" s="124"/>
      <c r="S3" s="124"/>
    </row>
    <row r="4" spans="1:19" x14ac:dyDescent="0.2">
      <c r="A4" s="79">
        <f>ROW()-1</f>
        <v>3</v>
      </c>
      <c r="B4" s="115"/>
      <c r="C4" s="99"/>
      <c r="D4" s="117"/>
      <c r="E4" s="99"/>
      <c r="H4" s="124">
        <f>ROW()-1</f>
        <v>3</v>
      </c>
      <c r="I4" s="124"/>
      <c r="J4" s="124"/>
      <c r="K4" s="124"/>
      <c r="L4" s="124"/>
      <c r="N4" s="79">
        <f t="shared" si="0"/>
        <v>3</v>
      </c>
      <c r="Q4" s="116"/>
    </row>
    <row r="5" spans="1:19" x14ac:dyDescent="0.2">
      <c r="A5" s="124">
        <f>ROW()-1</f>
        <v>4</v>
      </c>
      <c r="B5" s="125"/>
      <c r="C5" s="126"/>
      <c r="D5" s="127"/>
      <c r="E5" s="126"/>
      <c r="F5" s="124"/>
      <c r="H5" s="79">
        <f t="shared" ref="H5:H6" si="2">ROW()-1</f>
        <v>4</v>
      </c>
      <c r="I5" s="99"/>
      <c r="J5" s="99"/>
      <c r="K5" s="99"/>
      <c r="L5" s="99"/>
      <c r="N5" s="79">
        <f t="shared" si="0"/>
        <v>4</v>
      </c>
      <c r="Q5" s="116"/>
    </row>
    <row r="6" spans="1:19" x14ac:dyDescent="0.2">
      <c r="A6" s="79">
        <f>ROW()-1</f>
        <v>5</v>
      </c>
      <c r="B6" s="115"/>
      <c r="C6" s="99"/>
      <c r="D6" s="117"/>
      <c r="E6" s="99"/>
      <c r="H6" s="79">
        <f t="shared" si="2"/>
        <v>5</v>
      </c>
      <c r="N6" s="79">
        <f t="shared" si="0"/>
        <v>5</v>
      </c>
      <c r="Q6" s="116"/>
    </row>
    <row r="7" spans="1:19" x14ac:dyDescent="0.2">
      <c r="A7" s="79">
        <f t="shared" si="1"/>
        <v>6</v>
      </c>
      <c r="B7" s="115"/>
      <c r="C7" s="99"/>
      <c r="D7" s="117"/>
      <c r="E7" s="99"/>
      <c r="I7" s="99"/>
      <c r="J7" s="99"/>
      <c r="K7" s="99"/>
      <c r="L7" s="99"/>
      <c r="N7" s="79">
        <f t="shared" si="0"/>
        <v>6</v>
      </c>
      <c r="Q7" s="116"/>
    </row>
    <row r="8" spans="1:19" x14ac:dyDescent="0.2">
      <c r="A8" s="79">
        <f t="shared" ref="A8:A20" si="3">ROW()-1</f>
        <v>7</v>
      </c>
      <c r="B8" s="115"/>
      <c r="C8" s="99"/>
      <c r="D8" s="117"/>
      <c r="E8" s="99"/>
      <c r="N8" s="79">
        <f t="shared" si="0"/>
        <v>7</v>
      </c>
      <c r="Q8" s="116"/>
    </row>
    <row r="9" spans="1:19" x14ac:dyDescent="0.2">
      <c r="A9" s="79">
        <f t="shared" si="3"/>
        <v>8</v>
      </c>
      <c r="B9" s="115"/>
      <c r="C9" s="99"/>
      <c r="D9" s="117"/>
      <c r="E9" s="99"/>
      <c r="N9" s="79">
        <f t="shared" si="0"/>
        <v>8</v>
      </c>
      <c r="Q9" s="116"/>
    </row>
    <row r="10" spans="1:19" x14ac:dyDescent="0.2">
      <c r="A10" s="79">
        <f t="shared" si="3"/>
        <v>9</v>
      </c>
      <c r="B10" s="115"/>
      <c r="C10" s="99"/>
      <c r="D10" s="117"/>
      <c r="E10" s="99"/>
      <c r="N10" s="79">
        <f t="shared" si="0"/>
        <v>9</v>
      </c>
      <c r="Q10" s="116"/>
    </row>
    <row r="11" spans="1:19" x14ac:dyDescent="0.2">
      <c r="A11" s="79">
        <f t="shared" si="3"/>
        <v>10</v>
      </c>
      <c r="B11" s="115"/>
      <c r="C11" s="99"/>
      <c r="D11" s="117"/>
      <c r="E11" s="99"/>
      <c r="N11" s="79">
        <f t="shared" si="0"/>
        <v>10</v>
      </c>
      <c r="Q11" s="116"/>
    </row>
    <row r="12" spans="1:19" x14ac:dyDescent="0.2">
      <c r="A12" s="79">
        <f t="shared" si="3"/>
        <v>11</v>
      </c>
      <c r="B12" s="115"/>
      <c r="C12" s="99"/>
      <c r="D12" s="117"/>
      <c r="E12" s="99"/>
      <c r="N12" s="79">
        <f t="shared" si="0"/>
        <v>11</v>
      </c>
      <c r="Q12" s="116"/>
    </row>
    <row r="13" spans="1:19" x14ac:dyDescent="0.2">
      <c r="A13" s="79">
        <f t="shared" si="3"/>
        <v>12</v>
      </c>
      <c r="B13" s="115"/>
      <c r="C13" s="99"/>
      <c r="D13" s="117"/>
      <c r="E13" s="99"/>
      <c r="N13" s="79">
        <f t="shared" si="0"/>
        <v>12</v>
      </c>
      <c r="Q13" s="116"/>
    </row>
    <row r="14" spans="1:19" x14ac:dyDescent="0.2">
      <c r="A14" s="79">
        <f t="shared" si="3"/>
        <v>13</v>
      </c>
      <c r="B14" s="115"/>
      <c r="C14" s="99"/>
      <c r="D14" s="117"/>
      <c r="E14" s="99"/>
      <c r="N14" s="79">
        <f t="shared" ref="N14:N20" si="4">ROW()-1</f>
        <v>13</v>
      </c>
      <c r="Q14" s="116"/>
    </row>
    <row r="15" spans="1:19" x14ac:dyDescent="0.2">
      <c r="A15" s="79">
        <f t="shared" si="3"/>
        <v>14</v>
      </c>
      <c r="B15" s="115"/>
      <c r="C15" s="99"/>
      <c r="D15" s="117"/>
      <c r="E15" s="99"/>
      <c r="N15" s="79">
        <f t="shared" si="4"/>
        <v>14</v>
      </c>
      <c r="Q15" s="116"/>
    </row>
    <row r="16" spans="1:19" x14ac:dyDescent="0.2">
      <c r="A16" s="79">
        <f t="shared" si="3"/>
        <v>15</v>
      </c>
      <c r="B16" s="115"/>
      <c r="C16" s="99"/>
      <c r="D16" s="117"/>
      <c r="E16" s="99"/>
      <c r="N16" s="79">
        <f t="shared" si="4"/>
        <v>15</v>
      </c>
      <c r="Q16" s="116"/>
    </row>
    <row r="17" spans="1:19" x14ac:dyDescent="0.2">
      <c r="A17" s="79">
        <f t="shared" si="3"/>
        <v>16</v>
      </c>
      <c r="B17" s="115"/>
      <c r="C17" s="99"/>
      <c r="D17" s="117"/>
      <c r="E17" s="99"/>
      <c r="N17" s="79">
        <f t="shared" si="4"/>
        <v>16</v>
      </c>
      <c r="Q17" s="116"/>
    </row>
    <row r="18" spans="1:19" x14ac:dyDescent="0.2">
      <c r="A18" s="79">
        <f t="shared" si="3"/>
        <v>17</v>
      </c>
      <c r="B18" s="115"/>
      <c r="C18" s="99"/>
      <c r="D18" s="117"/>
      <c r="E18" s="99"/>
      <c r="N18" s="79">
        <f t="shared" si="4"/>
        <v>17</v>
      </c>
      <c r="Q18" s="116"/>
    </row>
    <row r="19" spans="1:19" x14ac:dyDescent="0.2">
      <c r="A19" s="79">
        <f t="shared" si="3"/>
        <v>18</v>
      </c>
      <c r="B19" s="115"/>
      <c r="C19" s="99"/>
      <c r="D19" s="117"/>
      <c r="E19" s="99"/>
      <c r="N19" s="79">
        <f t="shared" si="4"/>
        <v>18</v>
      </c>
      <c r="Q19" s="116"/>
    </row>
    <row r="20" spans="1:19" x14ac:dyDescent="0.2">
      <c r="A20" s="79">
        <f t="shared" si="3"/>
        <v>19</v>
      </c>
      <c r="B20" s="115"/>
      <c r="C20" s="99"/>
      <c r="D20" s="117"/>
      <c r="E20" s="99"/>
      <c r="N20" s="79">
        <f t="shared" si="4"/>
        <v>19</v>
      </c>
      <c r="Q20" s="116"/>
    </row>
    <row r="21" spans="1:19" x14ac:dyDescent="0.2">
      <c r="A21" s="79">
        <f t="shared" ref="A21:A26" si="5">ROW()-1</f>
        <v>20</v>
      </c>
      <c r="B21" s="115"/>
      <c r="C21" s="99"/>
      <c r="D21" s="117"/>
      <c r="E21" s="99"/>
      <c r="N21" s="99"/>
      <c r="O21" s="99"/>
      <c r="P21" s="99"/>
      <c r="Q21" s="117"/>
      <c r="R21" s="99"/>
      <c r="S21" s="99"/>
    </row>
    <row r="22" spans="1:19" x14ac:dyDescent="0.2">
      <c r="A22" s="79">
        <f t="shared" si="5"/>
        <v>21</v>
      </c>
      <c r="B22" s="115"/>
      <c r="C22" s="99"/>
      <c r="D22" s="117"/>
      <c r="E22" s="99"/>
      <c r="N22" s="99"/>
      <c r="O22" s="99"/>
      <c r="P22" s="99"/>
      <c r="Q22" s="117"/>
      <c r="R22" s="99"/>
      <c r="S22" s="99"/>
    </row>
    <row r="23" spans="1:19" x14ac:dyDescent="0.2">
      <c r="A23" s="79">
        <f t="shared" si="5"/>
        <v>22</v>
      </c>
      <c r="B23" s="115"/>
      <c r="C23" s="99"/>
      <c r="D23" s="117"/>
      <c r="E23" s="99"/>
    </row>
    <row r="24" spans="1:19" x14ac:dyDescent="0.2">
      <c r="A24" s="79">
        <f t="shared" si="5"/>
        <v>23</v>
      </c>
      <c r="B24" s="115"/>
      <c r="C24" s="99"/>
      <c r="D24" s="117"/>
      <c r="E24" s="99"/>
    </row>
    <row r="25" spans="1:19" x14ac:dyDescent="0.2">
      <c r="A25" s="79">
        <f t="shared" si="5"/>
        <v>24</v>
      </c>
      <c r="B25" s="115"/>
      <c r="C25" s="99"/>
      <c r="D25" s="117"/>
      <c r="E25" s="99"/>
    </row>
    <row r="26" spans="1:19" x14ac:dyDescent="0.2">
      <c r="A26" s="79">
        <f t="shared" si="5"/>
        <v>25</v>
      </c>
      <c r="B26" s="115"/>
      <c r="C26" s="99"/>
      <c r="D26" s="117"/>
      <c r="E26" s="99"/>
    </row>
    <row r="27" spans="1:19" x14ac:dyDescent="0.2">
      <c r="A27" s="79">
        <f t="shared" ref="A27:A32" si="6">ROW()-1</f>
        <v>26</v>
      </c>
      <c r="B27" s="115"/>
      <c r="C27" s="99"/>
      <c r="D27" s="117"/>
      <c r="E27" s="99"/>
    </row>
    <row r="28" spans="1:19" x14ac:dyDescent="0.2">
      <c r="A28" s="79">
        <f t="shared" si="6"/>
        <v>27</v>
      </c>
      <c r="B28" s="115"/>
      <c r="C28" s="99"/>
      <c r="D28" s="117"/>
      <c r="E28" s="99"/>
    </row>
    <row r="29" spans="1:19" x14ac:dyDescent="0.2">
      <c r="A29" s="79">
        <f t="shared" si="6"/>
        <v>28</v>
      </c>
      <c r="B29" s="115"/>
      <c r="C29" s="99"/>
      <c r="D29" s="117"/>
      <c r="E29" s="99"/>
    </row>
    <row r="30" spans="1:19" x14ac:dyDescent="0.2">
      <c r="A30" s="79">
        <f t="shared" si="6"/>
        <v>29</v>
      </c>
      <c r="B30" s="115"/>
      <c r="C30" s="99"/>
      <c r="D30" s="117"/>
      <c r="E30" s="99"/>
    </row>
    <row r="31" spans="1:19" x14ac:dyDescent="0.2">
      <c r="A31" s="79">
        <f t="shared" si="6"/>
        <v>30</v>
      </c>
      <c r="B31" s="115"/>
      <c r="C31" s="99"/>
      <c r="D31" s="117"/>
      <c r="E31" s="99"/>
    </row>
    <row r="32" spans="1:19" x14ac:dyDescent="0.2">
      <c r="A32" s="79">
        <f t="shared" si="6"/>
        <v>31</v>
      </c>
      <c r="B32" s="115"/>
      <c r="C32" s="99"/>
      <c r="D32" s="117"/>
      <c r="E32" s="99"/>
    </row>
    <row r="33" spans="1:6" x14ac:dyDescent="0.2">
      <c r="B33" s="115"/>
      <c r="C33" s="99"/>
      <c r="D33" s="117"/>
      <c r="E33" s="99"/>
    </row>
    <row r="34" spans="1:6" x14ac:dyDescent="0.2">
      <c r="A34" s="99"/>
      <c r="B34" s="118"/>
      <c r="C34" s="99"/>
      <c r="D34" s="117"/>
      <c r="E34" s="99"/>
      <c r="F34" s="99"/>
    </row>
    <row r="35" spans="1:6" x14ac:dyDescent="0.2">
      <c r="B35" s="115"/>
      <c r="D35" s="116"/>
    </row>
    <row r="36" spans="1:6" x14ac:dyDescent="0.2">
      <c r="B36" s="115"/>
      <c r="D36" s="116"/>
    </row>
    <row r="37" spans="1:6" x14ac:dyDescent="0.2">
      <c r="B37" s="115"/>
      <c r="D37" s="116"/>
    </row>
    <row r="38" spans="1:6" x14ac:dyDescent="0.2">
      <c r="B38" s="115"/>
      <c r="D38" s="116"/>
    </row>
    <row r="39" spans="1:6" x14ac:dyDescent="0.2">
      <c r="B39" s="115"/>
      <c r="D39" s="116"/>
    </row>
    <row r="40" spans="1:6" x14ac:dyDescent="0.2">
      <c r="B40" s="115"/>
      <c r="D40" s="116"/>
    </row>
    <row r="41" spans="1:6" x14ac:dyDescent="0.2">
      <c r="B41" s="115"/>
      <c r="D41" s="116"/>
    </row>
    <row r="42" spans="1:6" x14ac:dyDescent="0.2">
      <c r="B42" s="115"/>
      <c r="D42" s="116"/>
    </row>
    <row r="43" spans="1:6" x14ac:dyDescent="0.2">
      <c r="B43" s="115"/>
      <c r="D43" s="116"/>
    </row>
    <row r="44" spans="1:6" x14ac:dyDescent="0.2">
      <c r="B44" s="115"/>
      <c r="D44" s="116"/>
    </row>
    <row r="45" spans="1:6" x14ac:dyDescent="0.2">
      <c r="B45" s="115"/>
      <c r="D45" s="116"/>
    </row>
    <row r="46" spans="1:6" x14ac:dyDescent="0.2">
      <c r="B46" s="115"/>
      <c r="D46" s="116"/>
    </row>
    <row r="47" spans="1:6" x14ac:dyDescent="0.2">
      <c r="B47" s="115"/>
      <c r="D47" s="116"/>
    </row>
    <row r="48" spans="1:6" x14ac:dyDescent="0.2">
      <c r="B48" s="115"/>
      <c r="D48" s="116"/>
    </row>
    <row r="49" spans="2:4" x14ac:dyDescent="0.2">
      <c r="B49" s="115"/>
      <c r="D49" s="116"/>
    </row>
    <row r="50" spans="2:4" x14ac:dyDescent="0.2">
      <c r="B50" s="115"/>
      <c r="D50" s="116"/>
    </row>
    <row r="51" spans="2:4" x14ac:dyDescent="0.2">
      <c r="B51" s="115"/>
      <c r="D51" s="116"/>
    </row>
    <row r="52" spans="2:4" x14ac:dyDescent="0.2">
      <c r="B52" s="115"/>
      <c r="D52" s="116"/>
    </row>
    <row r="53" spans="2:4" x14ac:dyDescent="0.2">
      <c r="B53" s="115"/>
      <c r="D53" s="116"/>
    </row>
    <row r="54" spans="2:4" x14ac:dyDescent="0.2">
      <c r="B54" s="115"/>
      <c r="D54" s="116"/>
    </row>
    <row r="55" spans="2:4" x14ac:dyDescent="0.2">
      <c r="B55" s="115"/>
      <c r="D55" s="116"/>
    </row>
    <row r="56" spans="2:4" x14ac:dyDescent="0.2">
      <c r="B56" s="115"/>
      <c r="D56" s="116"/>
    </row>
    <row r="57" spans="2:4" x14ac:dyDescent="0.2">
      <c r="B57" s="115"/>
      <c r="D57" s="116"/>
    </row>
    <row r="58" spans="2:4" x14ac:dyDescent="0.2">
      <c r="B58" s="115"/>
      <c r="D58" s="116"/>
    </row>
    <row r="59" spans="2:4" x14ac:dyDescent="0.2">
      <c r="B59" s="115"/>
      <c r="D59" s="116"/>
    </row>
    <row r="60" spans="2:4" x14ac:dyDescent="0.2">
      <c r="B60" s="115"/>
      <c r="D60" s="116"/>
    </row>
    <row r="61" spans="2:4" x14ac:dyDescent="0.2">
      <c r="B61" s="115"/>
      <c r="D61" s="116"/>
    </row>
    <row r="62" spans="2:4" x14ac:dyDescent="0.2">
      <c r="B62" s="115"/>
      <c r="D62" s="116"/>
    </row>
    <row r="63" spans="2:4" x14ac:dyDescent="0.2">
      <c r="B63" s="115"/>
      <c r="D63" s="116"/>
    </row>
    <row r="64" spans="2:4" x14ac:dyDescent="0.2">
      <c r="B64" s="115"/>
      <c r="D64" s="116"/>
    </row>
    <row r="65" spans="2:4" x14ac:dyDescent="0.2">
      <c r="B65" s="115"/>
      <c r="D65" s="116"/>
    </row>
    <row r="66" spans="2:4" x14ac:dyDescent="0.2">
      <c r="B66" s="115"/>
      <c r="D66" s="116"/>
    </row>
    <row r="67" spans="2:4" x14ac:dyDescent="0.2">
      <c r="B67" s="115"/>
      <c r="D67" s="116"/>
    </row>
    <row r="68" spans="2:4" x14ac:dyDescent="0.2">
      <c r="B68" s="115"/>
      <c r="D68" s="116"/>
    </row>
    <row r="69" spans="2:4" x14ac:dyDescent="0.2">
      <c r="B69" s="115"/>
      <c r="D69" s="116"/>
    </row>
    <row r="70" spans="2:4" x14ac:dyDescent="0.2">
      <c r="B70" s="115"/>
      <c r="D70" s="116"/>
    </row>
    <row r="71" spans="2:4" x14ac:dyDescent="0.2">
      <c r="B71" s="115"/>
      <c r="D71" s="116"/>
    </row>
    <row r="72" spans="2:4" x14ac:dyDescent="0.2">
      <c r="B72" s="115"/>
      <c r="D72" s="116"/>
    </row>
    <row r="73" spans="2:4" x14ac:dyDescent="0.2">
      <c r="B73" s="115"/>
      <c r="D73" s="116"/>
    </row>
    <row r="74" spans="2:4" x14ac:dyDescent="0.2">
      <c r="B74" s="115"/>
      <c r="D74" s="116"/>
    </row>
    <row r="75" spans="2:4" x14ac:dyDescent="0.2">
      <c r="B75" s="115"/>
      <c r="D75" s="116"/>
    </row>
    <row r="76" spans="2:4" x14ac:dyDescent="0.2">
      <c r="B76" s="115"/>
      <c r="D76" s="116"/>
    </row>
    <row r="77" spans="2:4" x14ac:dyDescent="0.2">
      <c r="B77" s="115"/>
      <c r="D77" s="116"/>
    </row>
    <row r="78" spans="2:4" x14ac:dyDescent="0.2">
      <c r="B78" s="115"/>
      <c r="D78" s="116"/>
    </row>
    <row r="79" spans="2:4" x14ac:dyDescent="0.2">
      <c r="B79" s="115"/>
      <c r="D79" s="116"/>
    </row>
    <row r="80" spans="2:4" x14ac:dyDescent="0.2">
      <c r="B80" s="115"/>
      <c r="D80" s="116"/>
    </row>
    <row r="81" spans="2:4" x14ac:dyDescent="0.2">
      <c r="B81" s="115"/>
      <c r="D81" s="116"/>
    </row>
    <row r="82" spans="2:4" x14ac:dyDescent="0.2">
      <c r="B82" s="115"/>
      <c r="D82" s="116"/>
    </row>
    <row r="83" spans="2:4" x14ac:dyDescent="0.2">
      <c r="B83" s="115"/>
      <c r="D83" s="116"/>
    </row>
    <row r="84" spans="2:4" x14ac:dyDescent="0.2">
      <c r="B84" s="115"/>
      <c r="D84" s="116"/>
    </row>
    <row r="85" spans="2:4" x14ac:dyDescent="0.2">
      <c r="B85" s="115"/>
      <c r="D85" s="116"/>
    </row>
    <row r="86" spans="2:4" x14ac:dyDescent="0.2">
      <c r="B86" s="115"/>
      <c r="D86" s="116"/>
    </row>
    <row r="87" spans="2:4" x14ac:dyDescent="0.2">
      <c r="B87" s="115"/>
      <c r="D87" s="116"/>
    </row>
    <row r="88" spans="2:4" x14ac:dyDescent="0.2">
      <c r="B88" s="115"/>
      <c r="D88" s="116"/>
    </row>
    <row r="89" spans="2:4" x14ac:dyDescent="0.2">
      <c r="B89" s="115"/>
      <c r="D89" s="116"/>
    </row>
    <row r="90" spans="2:4" x14ac:dyDescent="0.2">
      <c r="B90" s="115"/>
      <c r="D90" s="116"/>
    </row>
    <row r="91" spans="2:4" x14ac:dyDescent="0.2">
      <c r="B91" s="115"/>
      <c r="D91" s="116"/>
    </row>
    <row r="92" spans="2:4" x14ac:dyDescent="0.2">
      <c r="B92" s="115"/>
      <c r="D92" s="116"/>
    </row>
    <row r="93" spans="2:4" x14ac:dyDescent="0.2">
      <c r="B93" s="115"/>
      <c r="D93" s="116"/>
    </row>
    <row r="94" spans="2:4" x14ac:dyDescent="0.2">
      <c r="B94" s="115"/>
      <c r="D94" s="116"/>
    </row>
    <row r="95" spans="2:4" x14ac:dyDescent="0.2">
      <c r="B95" s="115"/>
      <c r="D95" s="116"/>
    </row>
    <row r="96" spans="2:4" x14ac:dyDescent="0.2">
      <c r="B96" s="115"/>
      <c r="D96" s="116"/>
    </row>
    <row r="97" spans="2:4" x14ac:dyDescent="0.2">
      <c r="B97" s="115"/>
      <c r="D97" s="116"/>
    </row>
    <row r="98" spans="2:4" x14ac:dyDescent="0.2">
      <c r="B98" s="115"/>
      <c r="D98" s="116"/>
    </row>
    <row r="99" spans="2:4" x14ac:dyDescent="0.2">
      <c r="B99" s="115"/>
      <c r="D99" s="116"/>
    </row>
    <row r="100" spans="2:4" x14ac:dyDescent="0.2">
      <c r="B100" s="115"/>
      <c r="D100" s="116"/>
    </row>
    <row r="101" spans="2:4" x14ac:dyDescent="0.2">
      <c r="B101" s="115"/>
      <c r="D101" s="116"/>
    </row>
    <row r="102" spans="2:4" x14ac:dyDescent="0.2">
      <c r="B102" s="115"/>
      <c r="D102" s="116"/>
    </row>
    <row r="103" spans="2:4" x14ac:dyDescent="0.2">
      <c r="B103" s="115"/>
      <c r="D103" s="116"/>
    </row>
    <row r="104" spans="2:4" x14ac:dyDescent="0.2">
      <c r="B104" s="115"/>
      <c r="D104" s="116"/>
    </row>
    <row r="105" spans="2:4" x14ac:dyDescent="0.2">
      <c r="B105" s="115"/>
      <c r="D105" s="116"/>
    </row>
    <row r="106" spans="2:4" x14ac:dyDescent="0.2">
      <c r="B106" s="115"/>
      <c r="D106" s="116"/>
    </row>
    <row r="107" spans="2:4" x14ac:dyDescent="0.2">
      <c r="B107" s="115"/>
      <c r="D107" s="116"/>
    </row>
    <row r="108" spans="2:4" x14ac:dyDescent="0.2">
      <c r="B108" s="115"/>
      <c r="D108" s="116"/>
    </row>
    <row r="109" spans="2:4" x14ac:dyDescent="0.2">
      <c r="B109" s="115"/>
      <c r="D109" s="116"/>
    </row>
    <row r="110" spans="2:4" x14ac:dyDescent="0.2">
      <c r="B110" s="115"/>
      <c r="D110" s="116"/>
    </row>
    <row r="111" spans="2:4" x14ac:dyDescent="0.2">
      <c r="B111" s="115"/>
      <c r="D111" s="116"/>
    </row>
    <row r="112" spans="2:4" x14ac:dyDescent="0.2">
      <c r="B112" s="115"/>
      <c r="D112" s="116"/>
    </row>
    <row r="113" spans="2:4" x14ac:dyDescent="0.2">
      <c r="B113" s="115"/>
      <c r="D113" s="116"/>
    </row>
    <row r="114" spans="2:4" x14ac:dyDescent="0.2">
      <c r="B114" s="115"/>
      <c r="D114" s="116"/>
    </row>
    <row r="115" spans="2:4" x14ac:dyDescent="0.2">
      <c r="B115" s="115"/>
      <c r="D115" s="116"/>
    </row>
    <row r="116" spans="2:4" x14ac:dyDescent="0.2">
      <c r="B116" s="115"/>
      <c r="D116" s="116"/>
    </row>
    <row r="117" spans="2:4" x14ac:dyDescent="0.2">
      <c r="B117" s="115"/>
      <c r="D117" s="116"/>
    </row>
    <row r="118" spans="2:4" x14ac:dyDescent="0.2">
      <c r="B118" s="115"/>
      <c r="D118" s="116"/>
    </row>
    <row r="119" spans="2:4" x14ac:dyDescent="0.2">
      <c r="B119" s="115"/>
      <c r="D119" s="116"/>
    </row>
    <row r="120" spans="2:4" x14ac:dyDescent="0.2">
      <c r="B120" s="115"/>
      <c r="D120" s="116"/>
    </row>
    <row r="121" spans="2:4" x14ac:dyDescent="0.2">
      <c r="B121" s="115"/>
      <c r="D121" s="116"/>
    </row>
    <row r="122" spans="2:4" x14ac:dyDescent="0.2">
      <c r="B122" s="115"/>
      <c r="D122" s="116"/>
    </row>
    <row r="123" spans="2:4" x14ac:dyDescent="0.2">
      <c r="B123" s="115"/>
      <c r="D123" s="116"/>
    </row>
    <row r="124" spans="2:4" x14ac:dyDescent="0.2">
      <c r="B124" s="115"/>
      <c r="D124" s="116"/>
    </row>
    <row r="125" spans="2:4" x14ac:dyDescent="0.2">
      <c r="B125" s="115"/>
      <c r="D125" s="116"/>
    </row>
    <row r="126" spans="2:4" x14ac:dyDescent="0.2">
      <c r="B126" s="115"/>
      <c r="D126" s="116"/>
    </row>
    <row r="127" spans="2:4" x14ac:dyDescent="0.2">
      <c r="B127" s="115"/>
      <c r="D127" s="116"/>
    </row>
    <row r="128" spans="2:4" x14ac:dyDescent="0.2">
      <c r="B128" s="115"/>
      <c r="D128" s="116"/>
    </row>
    <row r="129" spans="2:4" x14ac:dyDescent="0.2">
      <c r="B129" s="115"/>
      <c r="D129" s="116"/>
    </row>
    <row r="130" spans="2:4" x14ac:dyDescent="0.2">
      <c r="B130" s="115"/>
      <c r="D130" s="116"/>
    </row>
    <row r="131" spans="2:4" x14ac:dyDescent="0.2">
      <c r="B131" s="115"/>
      <c r="D131" s="116"/>
    </row>
    <row r="132" spans="2:4" x14ac:dyDescent="0.2">
      <c r="B132" s="115"/>
      <c r="D132" s="116"/>
    </row>
    <row r="133" spans="2:4" x14ac:dyDescent="0.2">
      <c r="B133" s="115"/>
      <c r="D133" s="116"/>
    </row>
    <row r="134" spans="2:4" x14ac:dyDescent="0.2">
      <c r="B134" s="115"/>
      <c r="D134" s="116"/>
    </row>
    <row r="135" spans="2:4" x14ac:dyDescent="0.2">
      <c r="B135" s="115"/>
      <c r="D135" s="116"/>
    </row>
    <row r="136" spans="2:4" x14ac:dyDescent="0.2">
      <c r="B136" s="115"/>
      <c r="D136" s="116"/>
    </row>
    <row r="137" spans="2:4" x14ac:dyDescent="0.2">
      <c r="B137" s="115"/>
      <c r="D137" s="116"/>
    </row>
    <row r="138" spans="2:4" x14ac:dyDescent="0.2">
      <c r="B138" s="115"/>
      <c r="D138" s="116"/>
    </row>
    <row r="139" spans="2:4" x14ac:dyDescent="0.2">
      <c r="B139" s="115"/>
      <c r="D139" s="116"/>
    </row>
    <row r="140" spans="2:4" x14ac:dyDescent="0.2">
      <c r="B140" s="115"/>
      <c r="D140" s="116"/>
    </row>
    <row r="141" spans="2:4" x14ac:dyDescent="0.2">
      <c r="B141" s="115"/>
      <c r="D141" s="116"/>
    </row>
    <row r="142" spans="2:4" x14ac:dyDescent="0.2">
      <c r="B142" s="115"/>
      <c r="D142" s="116"/>
    </row>
    <row r="143" spans="2:4" x14ac:dyDescent="0.2">
      <c r="B143" s="115"/>
      <c r="D143" s="116"/>
    </row>
    <row r="144" spans="2:4" x14ac:dyDescent="0.2">
      <c r="B144" s="115"/>
      <c r="D144" s="116"/>
    </row>
    <row r="145" spans="2:4" x14ac:dyDescent="0.2">
      <c r="B145" s="115"/>
      <c r="D145" s="116"/>
    </row>
    <row r="146" spans="2:4" x14ac:dyDescent="0.2">
      <c r="B146" s="115"/>
      <c r="D146" s="116"/>
    </row>
    <row r="147" spans="2:4" x14ac:dyDescent="0.2">
      <c r="B147" s="115"/>
      <c r="D147" s="116"/>
    </row>
    <row r="148" spans="2:4" x14ac:dyDescent="0.2">
      <c r="B148" s="115"/>
      <c r="D148" s="116"/>
    </row>
    <row r="149" spans="2:4" x14ac:dyDescent="0.2">
      <c r="B149" s="115"/>
      <c r="D149" s="116"/>
    </row>
    <row r="150" spans="2:4" x14ac:dyDescent="0.2">
      <c r="B150" s="115"/>
      <c r="D150" s="116"/>
    </row>
    <row r="151" spans="2:4" x14ac:dyDescent="0.2">
      <c r="B151" s="115"/>
      <c r="D151" s="116"/>
    </row>
    <row r="152" spans="2:4" x14ac:dyDescent="0.2">
      <c r="B152" s="115"/>
      <c r="D152" s="116"/>
    </row>
    <row r="153" spans="2:4" x14ac:dyDescent="0.2">
      <c r="B153" s="115"/>
      <c r="D153" s="116"/>
    </row>
    <row r="154" spans="2:4" x14ac:dyDescent="0.2">
      <c r="B154" s="115"/>
      <c r="D154" s="116"/>
    </row>
    <row r="155" spans="2:4" x14ac:dyDescent="0.2">
      <c r="B155" s="115"/>
      <c r="D155" s="116"/>
    </row>
    <row r="156" spans="2:4" x14ac:dyDescent="0.2">
      <c r="B156" s="115"/>
      <c r="D156" s="116"/>
    </row>
    <row r="157" spans="2:4" x14ac:dyDescent="0.2">
      <c r="B157" s="115"/>
      <c r="D157" s="116"/>
    </row>
    <row r="158" spans="2:4" x14ac:dyDescent="0.2">
      <c r="B158" s="115"/>
      <c r="D158" s="116"/>
    </row>
    <row r="159" spans="2:4" x14ac:dyDescent="0.2">
      <c r="B159" s="115"/>
      <c r="D159" s="116"/>
    </row>
    <row r="160" spans="2:4" x14ac:dyDescent="0.2">
      <c r="B160" s="115"/>
      <c r="D160" s="116"/>
    </row>
    <row r="161" spans="2:4" x14ac:dyDescent="0.2">
      <c r="B161" s="115"/>
      <c r="D161" s="116"/>
    </row>
    <row r="162" spans="2:4" x14ac:dyDescent="0.2">
      <c r="B162" s="115"/>
      <c r="D162" s="116"/>
    </row>
    <row r="163" spans="2:4" x14ac:dyDescent="0.2">
      <c r="B163" s="115"/>
      <c r="D163" s="116"/>
    </row>
    <row r="164" spans="2:4" x14ac:dyDescent="0.2">
      <c r="B164" s="115"/>
      <c r="D164" s="116"/>
    </row>
    <row r="165" spans="2:4" x14ac:dyDescent="0.2">
      <c r="B165" s="115"/>
      <c r="D165" s="116"/>
    </row>
    <row r="166" spans="2:4" x14ac:dyDescent="0.2">
      <c r="B166" s="115"/>
      <c r="D166" s="116"/>
    </row>
    <row r="167" spans="2:4" x14ac:dyDescent="0.2">
      <c r="B167" s="115"/>
      <c r="D167" s="116"/>
    </row>
    <row r="168" spans="2:4" x14ac:dyDescent="0.2">
      <c r="B168" s="115"/>
      <c r="D168" s="116"/>
    </row>
    <row r="169" spans="2:4" x14ac:dyDescent="0.2">
      <c r="B169" s="115"/>
      <c r="D169" s="116"/>
    </row>
    <row r="170" spans="2:4" x14ac:dyDescent="0.2">
      <c r="B170" s="115"/>
      <c r="D170" s="116"/>
    </row>
    <row r="171" spans="2:4" x14ac:dyDescent="0.2">
      <c r="B171" s="115"/>
      <c r="D171" s="116"/>
    </row>
    <row r="172" spans="2:4" x14ac:dyDescent="0.2">
      <c r="B172" s="115"/>
      <c r="D172" s="116"/>
    </row>
    <row r="173" spans="2:4" x14ac:dyDescent="0.2">
      <c r="B173" s="115"/>
      <c r="D173" s="116"/>
    </row>
    <row r="174" spans="2:4" x14ac:dyDescent="0.2">
      <c r="B174" s="115"/>
      <c r="D174" s="116"/>
    </row>
    <row r="175" spans="2:4" x14ac:dyDescent="0.2">
      <c r="B175" s="115"/>
      <c r="D175" s="116"/>
    </row>
    <row r="176" spans="2:4" x14ac:dyDescent="0.2">
      <c r="B176" s="115"/>
      <c r="D176" s="116"/>
    </row>
    <row r="177" spans="2:4" x14ac:dyDescent="0.2">
      <c r="B177" s="115"/>
      <c r="D177" s="116"/>
    </row>
    <row r="178" spans="2:4" x14ac:dyDescent="0.2">
      <c r="B178" s="115"/>
      <c r="D178" s="116"/>
    </row>
    <row r="179" spans="2:4" x14ac:dyDescent="0.2">
      <c r="B179" s="115"/>
      <c r="D179" s="116"/>
    </row>
    <row r="180" spans="2:4" x14ac:dyDescent="0.2">
      <c r="B180" s="115"/>
      <c r="D180" s="116"/>
    </row>
    <row r="181" spans="2:4" x14ac:dyDescent="0.2">
      <c r="B181" s="115"/>
      <c r="D181" s="116"/>
    </row>
    <row r="182" spans="2:4" x14ac:dyDescent="0.2">
      <c r="B182" s="115"/>
      <c r="D182" s="116"/>
    </row>
    <row r="183" spans="2:4" x14ac:dyDescent="0.2">
      <c r="B183" s="115"/>
      <c r="D183" s="116"/>
    </row>
    <row r="184" spans="2:4" x14ac:dyDescent="0.2">
      <c r="B184" s="115"/>
      <c r="D184" s="116"/>
    </row>
    <row r="185" spans="2:4" x14ac:dyDescent="0.2">
      <c r="B185" s="115"/>
      <c r="D185" s="116"/>
    </row>
    <row r="186" spans="2:4" x14ac:dyDescent="0.2">
      <c r="B186" s="115"/>
      <c r="D186" s="116"/>
    </row>
    <row r="187" spans="2:4" x14ac:dyDescent="0.2">
      <c r="B187" s="115"/>
      <c r="D187" s="116"/>
    </row>
    <row r="188" spans="2:4" x14ac:dyDescent="0.2">
      <c r="B188" s="115"/>
      <c r="D188" s="116"/>
    </row>
    <row r="189" spans="2:4" x14ac:dyDescent="0.2">
      <c r="B189" s="115"/>
      <c r="D189" s="116"/>
    </row>
    <row r="190" spans="2:4" x14ac:dyDescent="0.2">
      <c r="B190" s="115"/>
      <c r="D190" s="116"/>
    </row>
    <row r="191" spans="2:4" x14ac:dyDescent="0.2">
      <c r="B191" s="115"/>
      <c r="D191" s="116"/>
    </row>
    <row r="192" spans="2:4" x14ac:dyDescent="0.2">
      <c r="B192" s="115"/>
      <c r="D192" s="116"/>
    </row>
    <row r="193" spans="2:4" x14ac:dyDescent="0.2">
      <c r="B193" s="115"/>
      <c r="D193" s="116"/>
    </row>
    <row r="194" spans="2:4" x14ac:dyDescent="0.2">
      <c r="B194" s="115"/>
      <c r="D194" s="116"/>
    </row>
    <row r="195" spans="2:4" x14ac:dyDescent="0.2">
      <c r="B195" s="115"/>
      <c r="D195" s="116"/>
    </row>
    <row r="196" spans="2:4" x14ac:dyDescent="0.2">
      <c r="B196" s="115"/>
      <c r="D196" s="116"/>
    </row>
    <row r="197" spans="2:4" x14ac:dyDescent="0.2">
      <c r="B197" s="115"/>
      <c r="D197" s="116"/>
    </row>
    <row r="198" spans="2:4" x14ac:dyDescent="0.2">
      <c r="B198" s="115"/>
      <c r="D198" s="116"/>
    </row>
    <row r="199" spans="2:4" x14ac:dyDescent="0.2">
      <c r="B199" s="115"/>
      <c r="D199" s="116"/>
    </row>
    <row r="200" spans="2:4" x14ac:dyDescent="0.2">
      <c r="B200" s="115"/>
      <c r="D200" s="116"/>
    </row>
    <row r="201" spans="2:4" x14ac:dyDescent="0.2">
      <c r="B201" s="115"/>
      <c r="D201" s="116"/>
    </row>
    <row r="202" spans="2:4" x14ac:dyDescent="0.2">
      <c r="B202" s="115"/>
      <c r="D202" s="116"/>
    </row>
    <row r="203" spans="2:4" x14ac:dyDescent="0.2">
      <c r="B203" s="115"/>
      <c r="D203" s="116"/>
    </row>
    <row r="204" spans="2:4" x14ac:dyDescent="0.2">
      <c r="B204" s="115"/>
      <c r="D204" s="116"/>
    </row>
    <row r="205" spans="2:4" x14ac:dyDescent="0.2">
      <c r="B205" s="115"/>
      <c r="D205" s="116"/>
    </row>
    <row r="206" spans="2:4" x14ac:dyDescent="0.2">
      <c r="B206" s="115"/>
      <c r="D206" s="116"/>
    </row>
    <row r="207" spans="2:4" x14ac:dyDescent="0.2">
      <c r="B207" s="115"/>
      <c r="D207" s="116"/>
    </row>
    <row r="208" spans="2:4" x14ac:dyDescent="0.2">
      <c r="B208" s="115"/>
      <c r="D208" s="116"/>
    </row>
    <row r="209" spans="2:4" x14ac:dyDescent="0.2">
      <c r="B209" s="115"/>
      <c r="D209" s="116"/>
    </row>
    <row r="210" spans="2:4" x14ac:dyDescent="0.2">
      <c r="B210" s="115"/>
      <c r="D210" s="116"/>
    </row>
    <row r="211" spans="2:4" x14ac:dyDescent="0.2">
      <c r="B211" s="115"/>
      <c r="D211" s="116"/>
    </row>
    <row r="212" spans="2:4" x14ac:dyDescent="0.2">
      <c r="B212" s="115"/>
      <c r="D212" s="116"/>
    </row>
    <row r="213" spans="2:4" x14ac:dyDescent="0.2">
      <c r="B213" s="115"/>
      <c r="D213" s="116"/>
    </row>
    <row r="214" spans="2:4" x14ac:dyDescent="0.2">
      <c r="B214" s="115"/>
      <c r="D214" s="116"/>
    </row>
    <row r="215" spans="2:4" x14ac:dyDescent="0.2">
      <c r="B215" s="115"/>
      <c r="D215" s="116"/>
    </row>
    <row r="216" spans="2:4" x14ac:dyDescent="0.2">
      <c r="B216" s="115"/>
      <c r="D216" s="116"/>
    </row>
    <row r="217" spans="2:4" x14ac:dyDescent="0.2">
      <c r="B217" s="115"/>
      <c r="D217" s="116"/>
    </row>
    <row r="218" spans="2:4" x14ac:dyDescent="0.2">
      <c r="B218" s="115"/>
      <c r="D218" s="116"/>
    </row>
    <row r="219" spans="2:4" x14ac:dyDescent="0.2">
      <c r="B219" s="115"/>
      <c r="D219" s="116"/>
    </row>
    <row r="220" spans="2:4" x14ac:dyDescent="0.2">
      <c r="B220" s="115"/>
      <c r="D220" s="116"/>
    </row>
    <row r="221" spans="2:4" x14ac:dyDescent="0.2">
      <c r="B221" s="115"/>
      <c r="D221" s="116"/>
    </row>
    <row r="222" spans="2:4" x14ac:dyDescent="0.2">
      <c r="B222" s="115"/>
      <c r="D222" s="116"/>
    </row>
    <row r="223" spans="2:4" x14ac:dyDescent="0.2">
      <c r="B223" s="115"/>
      <c r="D223" s="116"/>
    </row>
    <row r="224" spans="2:4" x14ac:dyDescent="0.2">
      <c r="B224" s="115"/>
      <c r="D224" s="116"/>
    </row>
    <row r="225" spans="2:4" x14ac:dyDescent="0.2">
      <c r="B225" s="115"/>
      <c r="D225" s="116"/>
    </row>
    <row r="226" spans="2:4" x14ac:dyDescent="0.2">
      <c r="B226" s="115"/>
      <c r="D226" s="116"/>
    </row>
    <row r="227" spans="2:4" x14ac:dyDescent="0.2">
      <c r="B227" s="115"/>
      <c r="D227" s="116"/>
    </row>
    <row r="228" spans="2:4" x14ac:dyDescent="0.2">
      <c r="B228" s="115"/>
      <c r="D228" s="116"/>
    </row>
    <row r="229" spans="2:4" x14ac:dyDescent="0.2">
      <c r="B229" s="115"/>
      <c r="D229" s="116"/>
    </row>
    <row r="230" spans="2:4" x14ac:dyDescent="0.2">
      <c r="B230" s="115"/>
      <c r="D230" s="116"/>
    </row>
    <row r="231" spans="2:4" x14ac:dyDescent="0.2">
      <c r="B231" s="115"/>
      <c r="D231" s="116"/>
    </row>
    <row r="232" spans="2:4" x14ac:dyDescent="0.2">
      <c r="B232" s="115"/>
      <c r="D232" s="116"/>
    </row>
    <row r="233" spans="2:4" x14ac:dyDescent="0.2">
      <c r="B233" s="115"/>
      <c r="D233" s="116"/>
    </row>
    <row r="234" spans="2:4" x14ac:dyDescent="0.2">
      <c r="B234" s="115"/>
      <c r="D234" s="116"/>
    </row>
    <row r="235" spans="2:4" x14ac:dyDescent="0.2">
      <c r="B235" s="115"/>
      <c r="D235" s="116"/>
    </row>
    <row r="236" spans="2:4" x14ac:dyDescent="0.2">
      <c r="B236" s="115"/>
      <c r="D236" s="116"/>
    </row>
    <row r="237" spans="2:4" x14ac:dyDescent="0.2">
      <c r="B237" s="115"/>
      <c r="D237" s="116"/>
    </row>
    <row r="238" spans="2:4" x14ac:dyDescent="0.2">
      <c r="B238" s="115"/>
      <c r="D238" s="116"/>
    </row>
    <row r="239" spans="2:4" x14ac:dyDescent="0.2">
      <c r="B239" s="115"/>
      <c r="D239" s="116"/>
    </row>
    <row r="240" spans="2:4" x14ac:dyDescent="0.2">
      <c r="B240" s="115"/>
      <c r="D240" s="116"/>
    </row>
    <row r="241" spans="2:4" x14ac:dyDescent="0.2">
      <c r="B241" s="115"/>
      <c r="D241" s="116"/>
    </row>
    <row r="242" spans="2:4" x14ac:dyDescent="0.2">
      <c r="B242" s="115"/>
      <c r="D242" s="116"/>
    </row>
    <row r="243" spans="2:4" x14ac:dyDescent="0.2">
      <c r="B243" s="115"/>
      <c r="D243" s="116"/>
    </row>
    <row r="244" spans="2:4" x14ac:dyDescent="0.2">
      <c r="B244" s="115"/>
      <c r="D244" s="116"/>
    </row>
    <row r="245" spans="2:4" x14ac:dyDescent="0.2">
      <c r="B245" s="115"/>
      <c r="D245" s="116"/>
    </row>
    <row r="246" spans="2:4" x14ac:dyDescent="0.2">
      <c r="B246" s="115"/>
      <c r="D246" s="116"/>
    </row>
    <row r="247" spans="2:4" x14ac:dyDescent="0.2">
      <c r="B247" s="115"/>
      <c r="D247" s="116"/>
    </row>
    <row r="248" spans="2:4" x14ac:dyDescent="0.2">
      <c r="B248" s="115"/>
      <c r="D248" s="116"/>
    </row>
    <row r="249" spans="2:4" x14ac:dyDescent="0.2">
      <c r="B249" s="115"/>
      <c r="D249" s="116"/>
    </row>
    <row r="250" spans="2:4" x14ac:dyDescent="0.2">
      <c r="B250" s="115"/>
      <c r="D250" s="116"/>
    </row>
    <row r="251" spans="2:4" x14ac:dyDescent="0.2">
      <c r="B251" s="115"/>
      <c r="D251" s="116"/>
    </row>
    <row r="252" spans="2:4" x14ac:dyDescent="0.2">
      <c r="B252" s="115"/>
      <c r="D252" s="116"/>
    </row>
    <row r="253" spans="2:4" x14ac:dyDescent="0.2">
      <c r="B253" s="115"/>
      <c r="D253" s="116"/>
    </row>
    <row r="254" spans="2:4" x14ac:dyDescent="0.2">
      <c r="B254" s="115"/>
      <c r="D254" s="116"/>
    </row>
    <row r="255" spans="2:4" x14ac:dyDescent="0.2">
      <c r="B255" s="115"/>
      <c r="D255" s="116"/>
    </row>
    <row r="256" spans="2:4" x14ac:dyDescent="0.2">
      <c r="B256" s="115"/>
      <c r="D256" s="116"/>
    </row>
    <row r="257" spans="2:4" x14ac:dyDescent="0.2">
      <c r="B257" s="115"/>
      <c r="D257" s="116"/>
    </row>
    <row r="258" spans="2:4" x14ac:dyDescent="0.2">
      <c r="B258" s="115"/>
      <c r="D258" s="116"/>
    </row>
    <row r="259" spans="2:4" x14ac:dyDescent="0.2">
      <c r="B259" s="115"/>
      <c r="D259" s="116"/>
    </row>
    <row r="260" spans="2:4" x14ac:dyDescent="0.2">
      <c r="B260" s="115"/>
      <c r="D260" s="116"/>
    </row>
    <row r="261" spans="2:4" x14ac:dyDescent="0.2">
      <c r="B261" s="115"/>
      <c r="D261" s="116"/>
    </row>
    <row r="262" spans="2:4" x14ac:dyDescent="0.2">
      <c r="B262" s="115"/>
      <c r="D262" s="116"/>
    </row>
    <row r="263" spans="2:4" x14ac:dyDescent="0.2">
      <c r="B263" s="115"/>
      <c r="D263" s="116"/>
    </row>
    <row r="264" spans="2:4" x14ac:dyDescent="0.2">
      <c r="B264" s="115"/>
      <c r="D264" s="116"/>
    </row>
    <row r="265" spans="2:4" x14ac:dyDescent="0.2">
      <c r="B265" s="115"/>
      <c r="D265" s="116"/>
    </row>
    <row r="266" spans="2:4" x14ac:dyDescent="0.2">
      <c r="B266" s="115"/>
      <c r="D266" s="116"/>
    </row>
    <row r="267" spans="2:4" x14ac:dyDescent="0.2">
      <c r="B267" s="115"/>
      <c r="D267" s="116"/>
    </row>
    <row r="268" spans="2:4" x14ac:dyDescent="0.2">
      <c r="B268" s="115"/>
      <c r="D268" s="116"/>
    </row>
    <row r="269" spans="2:4" x14ac:dyDescent="0.2">
      <c r="B269" s="115"/>
      <c r="D269" s="116"/>
    </row>
    <row r="270" spans="2:4" x14ac:dyDescent="0.2">
      <c r="B270" s="115"/>
      <c r="D270" s="116"/>
    </row>
    <row r="271" spans="2:4" x14ac:dyDescent="0.2">
      <c r="B271" s="115"/>
      <c r="D271" s="116"/>
    </row>
    <row r="272" spans="2:4" x14ac:dyDescent="0.2">
      <c r="B272" s="115"/>
      <c r="D272" s="116"/>
    </row>
    <row r="273" spans="2:4" x14ac:dyDescent="0.2">
      <c r="B273" s="115"/>
      <c r="D273" s="116"/>
    </row>
    <row r="274" spans="2:4" x14ac:dyDescent="0.2">
      <c r="B274" s="115"/>
      <c r="D274" s="116"/>
    </row>
    <row r="275" spans="2:4" x14ac:dyDescent="0.2">
      <c r="B275" s="115"/>
      <c r="D275" s="116"/>
    </row>
    <row r="276" spans="2:4" x14ac:dyDescent="0.2">
      <c r="B276" s="115"/>
      <c r="D276" s="116"/>
    </row>
    <row r="277" spans="2:4" x14ac:dyDescent="0.2">
      <c r="B277" s="115"/>
      <c r="D277" s="116"/>
    </row>
    <row r="278" spans="2:4" x14ac:dyDescent="0.2">
      <c r="B278" s="115"/>
      <c r="D278" s="116"/>
    </row>
    <row r="279" spans="2:4" x14ac:dyDescent="0.2">
      <c r="B279" s="115"/>
      <c r="D279" s="116"/>
    </row>
    <row r="280" spans="2:4" x14ac:dyDescent="0.2">
      <c r="B280" s="115"/>
      <c r="D280" s="116"/>
    </row>
    <row r="281" spans="2:4" x14ac:dyDescent="0.2">
      <c r="B281" s="115"/>
      <c r="D281" s="116"/>
    </row>
    <row r="282" spans="2:4" x14ac:dyDescent="0.2">
      <c r="B282" s="115"/>
      <c r="D282" s="116"/>
    </row>
    <row r="283" spans="2:4" x14ac:dyDescent="0.2">
      <c r="B283" s="115"/>
      <c r="D283" s="116"/>
    </row>
    <row r="284" spans="2:4" x14ac:dyDescent="0.2">
      <c r="B284" s="115"/>
      <c r="D284" s="116"/>
    </row>
    <row r="285" spans="2:4" x14ac:dyDescent="0.2">
      <c r="B285" s="115"/>
      <c r="D285" s="116"/>
    </row>
    <row r="286" spans="2:4" x14ac:dyDescent="0.2">
      <c r="B286" s="115"/>
      <c r="D286" s="116"/>
    </row>
    <row r="287" spans="2:4" x14ac:dyDescent="0.2">
      <c r="B287" s="115"/>
      <c r="D287" s="116"/>
    </row>
    <row r="288" spans="2:4" x14ac:dyDescent="0.2">
      <c r="B288" s="115"/>
      <c r="D288" s="116"/>
    </row>
    <row r="289" spans="2:4" x14ac:dyDescent="0.2">
      <c r="B289" s="115"/>
      <c r="D289" s="116"/>
    </row>
    <row r="290" spans="2:4" x14ac:dyDescent="0.2">
      <c r="B290" s="115"/>
      <c r="D290" s="116"/>
    </row>
    <row r="291" spans="2:4" x14ac:dyDescent="0.2">
      <c r="B291" s="115"/>
      <c r="D291" s="116"/>
    </row>
    <row r="292" spans="2:4" x14ac:dyDescent="0.2">
      <c r="B292" s="115"/>
      <c r="D292" s="116"/>
    </row>
    <row r="293" spans="2:4" x14ac:dyDescent="0.2">
      <c r="B293" s="115"/>
      <c r="D293" s="116"/>
    </row>
    <row r="294" spans="2:4" x14ac:dyDescent="0.2">
      <c r="B294" s="115"/>
      <c r="D294" s="116"/>
    </row>
    <row r="295" spans="2:4" x14ac:dyDescent="0.2">
      <c r="B295" s="115"/>
      <c r="D295" s="116"/>
    </row>
    <row r="296" spans="2:4" x14ac:dyDescent="0.2">
      <c r="B296" s="115"/>
      <c r="D296" s="116"/>
    </row>
    <row r="297" spans="2:4" x14ac:dyDescent="0.2">
      <c r="B297" s="115"/>
      <c r="D297" s="116"/>
    </row>
    <row r="298" spans="2:4" x14ac:dyDescent="0.2">
      <c r="B298" s="115"/>
      <c r="D298" s="116"/>
    </row>
    <row r="299" spans="2:4" x14ac:dyDescent="0.2">
      <c r="B299" s="115"/>
      <c r="D299" s="116"/>
    </row>
    <row r="300" spans="2:4" x14ac:dyDescent="0.2">
      <c r="B300" s="115"/>
      <c r="D300" s="116"/>
    </row>
    <row r="301" spans="2:4" x14ac:dyDescent="0.2">
      <c r="B301" s="115"/>
      <c r="D301" s="116"/>
    </row>
    <row r="302" spans="2:4" x14ac:dyDescent="0.2">
      <c r="B302" s="115"/>
      <c r="D302" s="116"/>
    </row>
    <row r="303" spans="2:4" x14ac:dyDescent="0.2">
      <c r="B303" s="115"/>
      <c r="D303" s="116"/>
    </row>
    <row r="304" spans="2:4" x14ac:dyDescent="0.2">
      <c r="B304" s="115"/>
      <c r="D304" s="116"/>
    </row>
    <row r="305" spans="2:4" x14ac:dyDescent="0.2">
      <c r="B305" s="115"/>
      <c r="D305" s="116"/>
    </row>
    <row r="306" spans="2:4" x14ac:dyDescent="0.2">
      <c r="B306" s="115"/>
      <c r="D306" s="116"/>
    </row>
    <row r="307" spans="2:4" x14ac:dyDescent="0.2">
      <c r="B307" s="115"/>
      <c r="D307" s="116"/>
    </row>
    <row r="308" spans="2:4" x14ac:dyDescent="0.2">
      <c r="B308" s="115"/>
      <c r="D308" s="116"/>
    </row>
    <row r="309" spans="2:4" x14ac:dyDescent="0.2">
      <c r="B309" s="115"/>
      <c r="D309" s="116"/>
    </row>
    <row r="310" spans="2:4" x14ac:dyDescent="0.2">
      <c r="B310" s="115"/>
      <c r="D310" s="116"/>
    </row>
    <row r="311" spans="2:4" x14ac:dyDescent="0.2">
      <c r="B311" s="115"/>
      <c r="D311" s="116"/>
    </row>
    <row r="312" spans="2:4" x14ac:dyDescent="0.2">
      <c r="B312" s="115"/>
      <c r="D312" s="116"/>
    </row>
    <row r="313" spans="2:4" x14ac:dyDescent="0.2">
      <c r="B313" s="115"/>
      <c r="D313" s="116"/>
    </row>
    <row r="314" spans="2:4" x14ac:dyDescent="0.2">
      <c r="B314" s="115"/>
      <c r="D314" s="116"/>
    </row>
    <row r="315" spans="2:4" x14ac:dyDescent="0.2">
      <c r="B315" s="115"/>
      <c r="D315" s="116"/>
    </row>
    <row r="316" spans="2:4" x14ac:dyDescent="0.2">
      <c r="B316" s="115"/>
      <c r="D316" s="116"/>
    </row>
    <row r="317" spans="2:4" x14ac:dyDescent="0.2">
      <c r="B317" s="115"/>
      <c r="D317" s="116"/>
    </row>
    <row r="318" spans="2:4" x14ac:dyDescent="0.2">
      <c r="B318" s="115"/>
      <c r="D318" s="116"/>
    </row>
    <row r="319" spans="2:4" x14ac:dyDescent="0.2">
      <c r="B319" s="115"/>
      <c r="D319" s="116"/>
    </row>
    <row r="320" spans="2:4" x14ac:dyDescent="0.2">
      <c r="B320" s="115"/>
      <c r="D320" s="116"/>
    </row>
    <row r="321" spans="2:4" x14ac:dyDescent="0.2">
      <c r="B321" s="115"/>
      <c r="D321" s="116"/>
    </row>
    <row r="322" spans="2:4" x14ac:dyDescent="0.2">
      <c r="B322" s="115"/>
      <c r="D322" s="116"/>
    </row>
    <row r="323" spans="2:4" x14ac:dyDescent="0.2">
      <c r="B323" s="115"/>
      <c r="D323" s="116"/>
    </row>
    <row r="324" spans="2:4" x14ac:dyDescent="0.2">
      <c r="B324" s="115"/>
      <c r="D324" s="116"/>
    </row>
    <row r="325" spans="2:4" x14ac:dyDescent="0.2">
      <c r="B325" s="115"/>
      <c r="D325" s="116"/>
    </row>
    <row r="326" spans="2:4" x14ac:dyDescent="0.2">
      <c r="B326" s="115"/>
      <c r="D326" s="116"/>
    </row>
    <row r="327" spans="2:4" x14ac:dyDescent="0.2">
      <c r="B327" s="115"/>
      <c r="D327" s="116"/>
    </row>
    <row r="328" spans="2:4" x14ac:dyDescent="0.2">
      <c r="B328" s="115"/>
      <c r="D328" s="116"/>
    </row>
    <row r="329" spans="2:4" x14ac:dyDescent="0.2">
      <c r="B329" s="115"/>
      <c r="D329" s="116"/>
    </row>
    <row r="330" spans="2:4" x14ac:dyDescent="0.2">
      <c r="B330" s="115"/>
      <c r="D330" s="116"/>
    </row>
    <row r="331" spans="2:4" x14ac:dyDescent="0.2">
      <c r="B331" s="115"/>
      <c r="D331" s="116"/>
    </row>
    <row r="332" spans="2:4" x14ac:dyDescent="0.2">
      <c r="B332" s="115"/>
      <c r="D332" s="116"/>
    </row>
    <row r="333" spans="2:4" x14ac:dyDescent="0.2">
      <c r="B333" s="115"/>
      <c r="D333" s="116"/>
    </row>
    <row r="334" spans="2:4" x14ac:dyDescent="0.2">
      <c r="B334" s="115"/>
      <c r="D334" s="116"/>
    </row>
    <row r="335" spans="2:4" x14ac:dyDescent="0.2">
      <c r="B335" s="115"/>
      <c r="D335" s="116"/>
    </row>
    <row r="336" spans="2:4" x14ac:dyDescent="0.2">
      <c r="B336" s="115"/>
      <c r="D336" s="116"/>
    </row>
    <row r="337" spans="2:4" x14ac:dyDescent="0.2">
      <c r="B337" s="115"/>
      <c r="D337" s="116"/>
    </row>
    <row r="338" spans="2:4" x14ac:dyDescent="0.2">
      <c r="B338" s="115"/>
      <c r="D338" s="116"/>
    </row>
    <row r="339" spans="2:4" x14ac:dyDescent="0.2">
      <c r="B339" s="115"/>
      <c r="D339" s="116"/>
    </row>
    <row r="340" spans="2:4" x14ac:dyDescent="0.2">
      <c r="B340" s="115"/>
      <c r="D340" s="116"/>
    </row>
    <row r="341" spans="2:4" x14ac:dyDescent="0.2">
      <c r="B341" s="115"/>
      <c r="D341" s="116"/>
    </row>
    <row r="342" spans="2:4" x14ac:dyDescent="0.2">
      <c r="B342" s="115"/>
      <c r="D342" s="116"/>
    </row>
    <row r="343" spans="2:4" x14ac:dyDescent="0.2">
      <c r="B343" s="115"/>
      <c r="D343" s="116"/>
    </row>
    <row r="344" spans="2:4" x14ac:dyDescent="0.2">
      <c r="B344" s="115"/>
      <c r="D344" s="116"/>
    </row>
    <row r="345" spans="2:4" x14ac:dyDescent="0.2">
      <c r="B345" s="115"/>
      <c r="D345" s="116"/>
    </row>
    <row r="346" spans="2:4" x14ac:dyDescent="0.2">
      <c r="B346" s="115"/>
      <c r="D346" s="116"/>
    </row>
    <row r="347" spans="2:4" x14ac:dyDescent="0.2">
      <c r="B347" s="115"/>
      <c r="D347" s="116"/>
    </row>
    <row r="348" spans="2:4" x14ac:dyDescent="0.2">
      <c r="B348" s="115"/>
      <c r="D348" s="116"/>
    </row>
    <row r="349" spans="2:4" x14ac:dyDescent="0.2">
      <c r="B349" s="115"/>
      <c r="D349" s="116"/>
    </row>
    <row r="350" spans="2:4" x14ac:dyDescent="0.2">
      <c r="B350" s="115"/>
      <c r="D350" s="116"/>
    </row>
    <row r="351" spans="2:4" x14ac:dyDescent="0.2">
      <c r="B351" s="115"/>
      <c r="D351" s="116"/>
    </row>
    <row r="352" spans="2:4" x14ac:dyDescent="0.2">
      <c r="B352" s="115"/>
      <c r="D352" s="116"/>
    </row>
    <row r="353" spans="2:4" x14ac:dyDescent="0.2">
      <c r="B353" s="115"/>
      <c r="D353" s="116"/>
    </row>
    <row r="354" spans="2:4" x14ac:dyDescent="0.2">
      <c r="B354" s="115"/>
      <c r="D354" s="116"/>
    </row>
    <row r="355" spans="2:4" x14ac:dyDescent="0.2">
      <c r="B355" s="115"/>
      <c r="D355" s="116"/>
    </row>
    <row r="356" spans="2:4" x14ac:dyDescent="0.2">
      <c r="B356" s="115"/>
      <c r="D356" s="116"/>
    </row>
    <row r="357" spans="2:4" x14ac:dyDescent="0.2">
      <c r="B357" s="115"/>
      <c r="D357" s="116"/>
    </row>
    <row r="358" spans="2:4" x14ac:dyDescent="0.2">
      <c r="B358" s="115"/>
      <c r="D358" s="116"/>
    </row>
    <row r="359" spans="2:4" x14ac:dyDescent="0.2">
      <c r="B359" s="115"/>
      <c r="D359" s="116"/>
    </row>
    <row r="360" spans="2:4" x14ac:dyDescent="0.2">
      <c r="B360" s="115"/>
      <c r="D360" s="116"/>
    </row>
    <row r="361" spans="2:4" x14ac:dyDescent="0.2">
      <c r="B361" s="115"/>
      <c r="D361" s="116"/>
    </row>
    <row r="362" spans="2:4" x14ac:dyDescent="0.2">
      <c r="B362" s="115"/>
      <c r="D362" s="116"/>
    </row>
    <row r="363" spans="2:4" x14ac:dyDescent="0.2">
      <c r="B363" s="115"/>
      <c r="D363" s="116"/>
    </row>
    <row r="364" spans="2:4" x14ac:dyDescent="0.2">
      <c r="B364" s="115"/>
      <c r="D364" s="116"/>
    </row>
    <row r="365" spans="2:4" x14ac:dyDescent="0.2">
      <c r="B365" s="115"/>
      <c r="D365" s="116"/>
    </row>
    <row r="366" spans="2:4" x14ac:dyDescent="0.2">
      <c r="B366" s="115"/>
      <c r="D366" s="116"/>
    </row>
    <row r="367" spans="2:4" x14ac:dyDescent="0.2">
      <c r="B367" s="115"/>
      <c r="D367" s="116"/>
    </row>
    <row r="368" spans="2:4" x14ac:dyDescent="0.2">
      <c r="B368" s="115"/>
      <c r="D368" s="116"/>
    </row>
    <row r="369" spans="2:4" x14ac:dyDescent="0.2">
      <c r="B369" s="115"/>
      <c r="D369" s="116"/>
    </row>
    <row r="370" spans="2:4" x14ac:dyDescent="0.2">
      <c r="B370" s="115"/>
      <c r="D370" s="116"/>
    </row>
    <row r="371" spans="2:4" x14ac:dyDescent="0.2">
      <c r="B371" s="115"/>
      <c r="D371" s="116"/>
    </row>
    <row r="372" spans="2:4" x14ac:dyDescent="0.2">
      <c r="B372" s="115"/>
      <c r="D372" s="116"/>
    </row>
    <row r="373" spans="2:4" x14ac:dyDescent="0.2">
      <c r="B373" s="115"/>
      <c r="D373" s="116"/>
    </row>
    <row r="374" spans="2:4" x14ac:dyDescent="0.2">
      <c r="B374" s="115"/>
      <c r="D374" s="116"/>
    </row>
    <row r="375" spans="2:4" x14ac:dyDescent="0.2">
      <c r="B375" s="115"/>
      <c r="D375" s="116"/>
    </row>
    <row r="376" spans="2:4" x14ac:dyDescent="0.2">
      <c r="B376" s="115"/>
      <c r="D376" s="116"/>
    </row>
    <row r="377" spans="2:4" x14ac:dyDescent="0.2">
      <c r="B377" s="115"/>
      <c r="D377" s="116"/>
    </row>
    <row r="378" spans="2:4" x14ac:dyDescent="0.2">
      <c r="B378" s="115"/>
      <c r="D378" s="116"/>
    </row>
    <row r="379" spans="2:4" x14ac:dyDescent="0.2">
      <c r="B379" s="115"/>
      <c r="D379" s="116"/>
    </row>
    <row r="380" spans="2:4" x14ac:dyDescent="0.2">
      <c r="B380" s="115"/>
      <c r="D380" s="116"/>
    </row>
    <row r="381" spans="2:4" x14ac:dyDescent="0.2">
      <c r="B381" s="115"/>
      <c r="D381" s="116"/>
    </row>
    <row r="382" spans="2:4" x14ac:dyDescent="0.2">
      <c r="B382" s="115"/>
      <c r="D382" s="116"/>
    </row>
    <row r="383" spans="2:4" x14ac:dyDescent="0.2">
      <c r="B383" s="115"/>
      <c r="D383" s="116"/>
    </row>
    <row r="384" spans="2:4" x14ac:dyDescent="0.2">
      <c r="B384" s="115"/>
      <c r="D384" s="116"/>
    </row>
    <row r="385" spans="2:4" x14ac:dyDescent="0.2">
      <c r="B385" s="115"/>
      <c r="D385" s="116"/>
    </row>
    <row r="386" spans="2:4" x14ac:dyDescent="0.2">
      <c r="B386" s="115"/>
      <c r="D386" s="116"/>
    </row>
    <row r="387" spans="2:4" x14ac:dyDescent="0.2">
      <c r="B387" s="115"/>
      <c r="D387" s="116"/>
    </row>
    <row r="388" spans="2:4" x14ac:dyDescent="0.2">
      <c r="B388" s="115"/>
      <c r="D388" s="116"/>
    </row>
    <row r="389" spans="2:4" x14ac:dyDescent="0.2">
      <c r="B389" s="115"/>
      <c r="D389" s="116"/>
    </row>
    <row r="390" spans="2:4" x14ac:dyDescent="0.2">
      <c r="B390" s="115"/>
      <c r="D390" s="116"/>
    </row>
    <row r="391" spans="2:4" x14ac:dyDescent="0.2">
      <c r="B391" s="115"/>
      <c r="D391" s="116"/>
    </row>
    <row r="392" spans="2:4" x14ac:dyDescent="0.2">
      <c r="B392" s="115"/>
      <c r="D392" s="116"/>
    </row>
    <row r="393" spans="2:4" x14ac:dyDescent="0.2">
      <c r="B393" s="115"/>
      <c r="D393" s="116"/>
    </row>
    <row r="394" spans="2:4" x14ac:dyDescent="0.2">
      <c r="B394" s="115"/>
      <c r="D394" s="116"/>
    </row>
    <row r="395" spans="2:4" x14ac:dyDescent="0.2">
      <c r="B395" s="115"/>
      <c r="D395" s="116"/>
    </row>
    <row r="396" spans="2:4" x14ac:dyDescent="0.2">
      <c r="B396" s="115"/>
      <c r="D396" s="116"/>
    </row>
    <row r="397" spans="2:4" x14ac:dyDescent="0.2">
      <c r="B397" s="115"/>
      <c r="D397" s="116"/>
    </row>
    <row r="398" spans="2:4" x14ac:dyDescent="0.2">
      <c r="B398" s="115"/>
      <c r="D398" s="116"/>
    </row>
    <row r="399" spans="2:4" x14ac:dyDescent="0.2">
      <c r="B399" s="115"/>
      <c r="D399" s="116"/>
    </row>
    <row r="400" spans="2:4" x14ac:dyDescent="0.2">
      <c r="B400" s="115"/>
      <c r="D400" s="116"/>
    </row>
    <row r="401" spans="2:4" x14ac:dyDescent="0.2">
      <c r="B401" s="115"/>
      <c r="D401" s="116"/>
    </row>
    <row r="402" spans="2:4" x14ac:dyDescent="0.2">
      <c r="B402" s="115"/>
      <c r="D402" s="116"/>
    </row>
    <row r="403" spans="2:4" x14ac:dyDescent="0.2">
      <c r="B403" s="115"/>
      <c r="D403" s="116"/>
    </row>
    <row r="404" spans="2:4" x14ac:dyDescent="0.2">
      <c r="B404" s="115"/>
      <c r="D404" s="116"/>
    </row>
    <row r="405" spans="2:4" x14ac:dyDescent="0.2">
      <c r="B405" s="115"/>
      <c r="D405" s="116"/>
    </row>
    <row r="406" spans="2:4" x14ac:dyDescent="0.2">
      <c r="B406" s="115"/>
      <c r="D406" s="116"/>
    </row>
    <row r="407" spans="2:4" x14ac:dyDescent="0.2">
      <c r="B407" s="115"/>
      <c r="D407" s="116"/>
    </row>
    <row r="408" spans="2:4" x14ac:dyDescent="0.2">
      <c r="B408" s="115"/>
      <c r="D408" s="116"/>
    </row>
    <row r="409" spans="2:4" x14ac:dyDescent="0.2">
      <c r="B409" s="115"/>
      <c r="D409" s="116"/>
    </row>
    <row r="410" spans="2:4" x14ac:dyDescent="0.2">
      <c r="B410" s="115"/>
      <c r="D410" s="116"/>
    </row>
    <row r="411" spans="2:4" x14ac:dyDescent="0.2">
      <c r="B411" s="115"/>
      <c r="D411" s="116"/>
    </row>
    <row r="412" spans="2:4" x14ac:dyDescent="0.2">
      <c r="B412" s="115"/>
      <c r="D412" s="116"/>
    </row>
    <row r="413" spans="2:4" x14ac:dyDescent="0.2">
      <c r="B413" s="115"/>
      <c r="D413" s="116"/>
    </row>
    <row r="414" spans="2:4" x14ac:dyDescent="0.2">
      <c r="B414" s="115"/>
      <c r="D414" s="116"/>
    </row>
    <row r="415" spans="2:4" x14ac:dyDescent="0.2">
      <c r="B415" s="115"/>
      <c r="D415" s="116"/>
    </row>
    <row r="416" spans="2:4" x14ac:dyDescent="0.2">
      <c r="B416" s="115"/>
      <c r="D416" s="116"/>
    </row>
    <row r="417" spans="2:4" x14ac:dyDescent="0.2">
      <c r="B417" s="115"/>
      <c r="D417" s="116"/>
    </row>
    <row r="418" spans="2:4" x14ac:dyDescent="0.2">
      <c r="B418" s="115"/>
      <c r="D418" s="116"/>
    </row>
    <row r="419" spans="2:4" x14ac:dyDescent="0.2">
      <c r="B419" s="115"/>
      <c r="D419" s="116"/>
    </row>
    <row r="420" spans="2:4" x14ac:dyDescent="0.2">
      <c r="B420" s="115"/>
      <c r="D420" s="116"/>
    </row>
    <row r="421" spans="2:4" x14ac:dyDescent="0.2">
      <c r="B421" s="115"/>
      <c r="D421" s="116"/>
    </row>
    <row r="422" spans="2:4" x14ac:dyDescent="0.2">
      <c r="B422" s="115"/>
      <c r="D422" s="116"/>
    </row>
    <row r="423" spans="2:4" x14ac:dyDescent="0.2">
      <c r="B423" s="115"/>
      <c r="D423" s="116"/>
    </row>
    <row r="424" spans="2:4" x14ac:dyDescent="0.2">
      <c r="B424" s="115"/>
      <c r="D424" s="116"/>
    </row>
    <row r="425" spans="2:4" x14ac:dyDescent="0.2">
      <c r="B425" s="115"/>
      <c r="D425" s="116"/>
    </row>
    <row r="426" spans="2:4" x14ac:dyDescent="0.2">
      <c r="B426" s="115"/>
      <c r="D426" s="116"/>
    </row>
    <row r="427" spans="2:4" x14ac:dyDescent="0.2">
      <c r="B427" s="115"/>
      <c r="D427" s="116"/>
    </row>
    <row r="428" spans="2:4" x14ac:dyDescent="0.2">
      <c r="B428" s="115"/>
      <c r="D428" s="116"/>
    </row>
    <row r="429" spans="2:4" x14ac:dyDescent="0.2">
      <c r="B429" s="115"/>
      <c r="D429" s="116"/>
    </row>
    <row r="430" spans="2:4" x14ac:dyDescent="0.2">
      <c r="B430" s="115"/>
      <c r="D430" s="116"/>
    </row>
    <row r="431" spans="2:4" x14ac:dyDescent="0.2">
      <c r="B431" s="115"/>
      <c r="D431" s="116"/>
    </row>
    <row r="432" spans="2:4" x14ac:dyDescent="0.2">
      <c r="B432" s="115"/>
      <c r="D432" s="116"/>
    </row>
    <row r="433" spans="2:4" x14ac:dyDescent="0.2">
      <c r="B433" s="115"/>
      <c r="D433" s="116"/>
    </row>
    <row r="434" spans="2:4" x14ac:dyDescent="0.2">
      <c r="B434" s="115"/>
      <c r="D434" s="116"/>
    </row>
    <row r="435" spans="2:4" x14ac:dyDescent="0.2">
      <c r="B435" s="115"/>
      <c r="D435" s="116"/>
    </row>
    <row r="436" spans="2:4" x14ac:dyDescent="0.2">
      <c r="B436" s="115"/>
      <c r="D436" s="116"/>
    </row>
    <row r="437" spans="2:4" x14ac:dyDescent="0.2">
      <c r="B437" s="115"/>
      <c r="D437" s="116"/>
    </row>
    <row r="438" spans="2:4" x14ac:dyDescent="0.2">
      <c r="B438" s="115"/>
      <c r="D438" s="116"/>
    </row>
    <row r="439" spans="2:4" x14ac:dyDescent="0.2">
      <c r="B439" s="115"/>
      <c r="D439" s="116"/>
    </row>
    <row r="440" spans="2:4" x14ac:dyDescent="0.2">
      <c r="B440" s="115"/>
      <c r="D440" s="116"/>
    </row>
    <row r="441" spans="2:4" x14ac:dyDescent="0.2">
      <c r="B441" s="115"/>
      <c r="D441" s="116"/>
    </row>
    <row r="442" spans="2:4" x14ac:dyDescent="0.2">
      <c r="B442" s="115"/>
      <c r="D442" s="116"/>
    </row>
    <row r="443" spans="2:4" x14ac:dyDescent="0.2">
      <c r="B443" s="115"/>
      <c r="D443" s="116"/>
    </row>
    <row r="444" spans="2:4" x14ac:dyDescent="0.2">
      <c r="B444" s="115"/>
      <c r="D444" s="116"/>
    </row>
    <row r="445" spans="2:4" x14ac:dyDescent="0.2">
      <c r="B445" s="115"/>
      <c r="D445" s="116"/>
    </row>
    <row r="446" spans="2:4" x14ac:dyDescent="0.2">
      <c r="B446" s="115"/>
      <c r="D446" s="116"/>
    </row>
    <row r="447" spans="2:4" x14ac:dyDescent="0.2">
      <c r="B447" s="115"/>
      <c r="D447" s="116"/>
    </row>
    <row r="448" spans="2:4" x14ac:dyDescent="0.2">
      <c r="B448" s="115"/>
      <c r="D448" s="116"/>
    </row>
    <row r="449" spans="2:4" x14ac:dyDescent="0.2">
      <c r="B449" s="115"/>
      <c r="D449" s="116"/>
    </row>
    <row r="450" spans="2:4" x14ac:dyDescent="0.2">
      <c r="B450" s="115"/>
      <c r="D450" s="116"/>
    </row>
    <row r="451" spans="2:4" x14ac:dyDescent="0.2">
      <c r="B451" s="115"/>
      <c r="D451" s="116"/>
    </row>
    <row r="452" spans="2:4" x14ac:dyDescent="0.2">
      <c r="B452" s="115"/>
      <c r="D452" s="116"/>
    </row>
    <row r="453" spans="2:4" x14ac:dyDescent="0.2">
      <c r="B453" s="115"/>
      <c r="D453" s="116"/>
    </row>
    <row r="454" spans="2:4" x14ac:dyDescent="0.2">
      <c r="B454" s="115"/>
      <c r="D454" s="116"/>
    </row>
    <row r="455" spans="2:4" x14ac:dyDescent="0.2">
      <c r="B455" s="115"/>
      <c r="D455" s="116"/>
    </row>
    <row r="456" spans="2:4" x14ac:dyDescent="0.2">
      <c r="B456" s="115"/>
      <c r="D456" s="116"/>
    </row>
    <row r="457" spans="2:4" x14ac:dyDescent="0.2">
      <c r="B457" s="115"/>
      <c r="D457" s="116"/>
    </row>
    <row r="458" spans="2:4" x14ac:dyDescent="0.2">
      <c r="B458" s="115"/>
      <c r="D458" s="116"/>
    </row>
    <row r="459" spans="2:4" x14ac:dyDescent="0.2">
      <c r="B459" s="115"/>
      <c r="D459" s="116"/>
    </row>
    <row r="460" spans="2:4" x14ac:dyDescent="0.2">
      <c r="B460" s="115"/>
      <c r="D460" s="116"/>
    </row>
    <row r="461" spans="2:4" x14ac:dyDescent="0.2">
      <c r="B461" s="115"/>
      <c r="D461" s="116"/>
    </row>
    <row r="462" spans="2:4" x14ac:dyDescent="0.2">
      <c r="B462" s="115"/>
      <c r="D462" s="116"/>
    </row>
    <row r="463" spans="2:4" x14ac:dyDescent="0.2">
      <c r="B463" s="115"/>
      <c r="D463" s="116"/>
    </row>
    <row r="464" spans="2:4" x14ac:dyDescent="0.2">
      <c r="B464" s="115"/>
      <c r="D464" s="116"/>
    </row>
    <row r="465" spans="2:4" x14ac:dyDescent="0.2">
      <c r="B465" s="115"/>
      <c r="D465" s="116"/>
    </row>
    <row r="466" spans="2:4" x14ac:dyDescent="0.2">
      <c r="B466" s="115"/>
      <c r="D466" s="116"/>
    </row>
    <row r="467" spans="2:4" x14ac:dyDescent="0.2">
      <c r="B467" s="115"/>
      <c r="D467" s="116"/>
    </row>
    <row r="468" spans="2:4" x14ac:dyDescent="0.2">
      <c r="B468" s="115"/>
      <c r="D468" s="116"/>
    </row>
    <row r="469" spans="2:4" x14ac:dyDescent="0.2">
      <c r="B469" s="115"/>
      <c r="D469" s="116"/>
    </row>
    <row r="470" spans="2:4" x14ac:dyDescent="0.2">
      <c r="B470" s="115"/>
      <c r="D470" s="116"/>
    </row>
    <row r="471" spans="2:4" x14ac:dyDescent="0.2">
      <c r="B471" s="115"/>
      <c r="D471" s="116"/>
    </row>
    <row r="472" spans="2:4" x14ac:dyDescent="0.2">
      <c r="B472" s="115"/>
      <c r="D472" s="116"/>
    </row>
    <row r="473" spans="2:4" x14ac:dyDescent="0.2">
      <c r="B473" s="115"/>
      <c r="D473" s="116"/>
    </row>
    <row r="474" spans="2:4" x14ac:dyDescent="0.2">
      <c r="B474" s="115"/>
      <c r="D474" s="116"/>
    </row>
    <row r="475" spans="2:4" x14ac:dyDescent="0.2">
      <c r="B475" s="115"/>
      <c r="D475" s="116"/>
    </row>
    <row r="476" spans="2:4" x14ac:dyDescent="0.2">
      <c r="B476" s="115"/>
      <c r="D476" s="116"/>
    </row>
    <row r="477" spans="2:4" x14ac:dyDescent="0.2">
      <c r="B477" s="115"/>
      <c r="D477" s="116"/>
    </row>
    <row r="478" spans="2:4" x14ac:dyDescent="0.2">
      <c r="B478" s="115"/>
      <c r="D478" s="116"/>
    </row>
    <row r="479" spans="2:4" x14ac:dyDescent="0.2">
      <c r="B479" s="115"/>
      <c r="D479" s="116"/>
    </row>
    <row r="480" spans="2:4" x14ac:dyDescent="0.2">
      <c r="B480" s="115"/>
      <c r="D480" s="116"/>
    </row>
    <row r="481" spans="2:4" x14ac:dyDescent="0.2">
      <c r="B481" s="115"/>
      <c r="D481" s="116"/>
    </row>
    <row r="482" spans="2:4" x14ac:dyDescent="0.2">
      <c r="B482" s="115"/>
      <c r="D482" s="116"/>
    </row>
    <row r="483" spans="2:4" x14ac:dyDescent="0.2">
      <c r="B483" s="115"/>
      <c r="D483" s="116"/>
    </row>
    <row r="484" spans="2:4" x14ac:dyDescent="0.2">
      <c r="B484" s="115"/>
      <c r="D484" s="116"/>
    </row>
    <row r="485" spans="2:4" x14ac:dyDescent="0.2">
      <c r="B485" s="115"/>
      <c r="D485" s="116"/>
    </row>
    <row r="486" spans="2:4" x14ac:dyDescent="0.2">
      <c r="B486" s="115"/>
      <c r="D486" s="116"/>
    </row>
    <row r="487" spans="2:4" x14ac:dyDescent="0.2">
      <c r="B487" s="115"/>
      <c r="D487" s="116"/>
    </row>
    <row r="488" spans="2:4" x14ac:dyDescent="0.2">
      <c r="B488" s="115"/>
      <c r="D488" s="116"/>
    </row>
    <row r="489" spans="2:4" x14ac:dyDescent="0.2">
      <c r="B489" s="115"/>
      <c r="D489" s="116"/>
    </row>
    <row r="490" spans="2:4" x14ac:dyDescent="0.2">
      <c r="B490" s="115"/>
      <c r="D490" s="116"/>
    </row>
    <row r="491" spans="2:4" x14ac:dyDescent="0.2">
      <c r="B491" s="115"/>
      <c r="D491" s="116"/>
    </row>
    <row r="492" spans="2:4" x14ac:dyDescent="0.2">
      <c r="B492" s="115"/>
      <c r="D492" s="116"/>
    </row>
    <row r="493" spans="2:4" x14ac:dyDescent="0.2">
      <c r="B493" s="115"/>
      <c r="D493" s="116"/>
    </row>
    <row r="494" spans="2:4" x14ac:dyDescent="0.2">
      <c r="B494" s="115"/>
      <c r="D494" s="116"/>
    </row>
    <row r="495" spans="2:4" x14ac:dyDescent="0.2">
      <c r="B495" s="115"/>
      <c r="D495" s="116"/>
    </row>
    <row r="496" spans="2:4" x14ac:dyDescent="0.2">
      <c r="B496" s="115"/>
      <c r="D496" s="116"/>
    </row>
    <row r="497" spans="2:4" x14ac:dyDescent="0.2">
      <c r="B497" s="115"/>
      <c r="D497" s="116"/>
    </row>
    <row r="498" spans="2:4" x14ac:dyDescent="0.2">
      <c r="B498" s="115"/>
      <c r="D498" s="116"/>
    </row>
    <row r="499" spans="2:4" x14ac:dyDescent="0.2">
      <c r="B499" s="115"/>
      <c r="D499" s="116"/>
    </row>
    <row r="500" spans="2:4" x14ac:dyDescent="0.2">
      <c r="B500" s="115"/>
      <c r="D500" s="116"/>
    </row>
    <row r="501" spans="2:4" x14ac:dyDescent="0.2">
      <c r="B501" s="115"/>
      <c r="D501" s="116"/>
    </row>
    <row r="502" spans="2:4" x14ac:dyDescent="0.2">
      <c r="B502" s="115"/>
      <c r="D502" s="116"/>
    </row>
    <row r="503" spans="2:4" x14ac:dyDescent="0.2">
      <c r="B503" s="115"/>
      <c r="D503" s="116"/>
    </row>
    <row r="504" spans="2:4" x14ac:dyDescent="0.2">
      <c r="B504" s="115"/>
      <c r="D504" s="116"/>
    </row>
    <row r="505" spans="2:4" x14ac:dyDescent="0.2">
      <c r="B505" s="115"/>
      <c r="D505" s="116"/>
    </row>
    <row r="506" spans="2:4" x14ac:dyDescent="0.2">
      <c r="B506" s="115"/>
      <c r="D506" s="116"/>
    </row>
    <row r="507" spans="2:4" x14ac:dyDescent="0.2">
      <c r="B507" s="115"/>
      <c r="D507" s="116"/>
    </row>
    <row r="508" spans="2:4" x14ac:dyDescent="0.2">
      <c r="B508" s="115"/>
      <c r="D508" s="116"/>
    </row>
    <row r="509" spans="2:4" x14ac:dyDescent="0.2">
      <c r="B509" s="115"/>
      <c r="D509" s="116"/>
    </row>
    <row r="510" spans="2:4" x14ac:dyDescent="0.2">
      <c r="B510" s="115"/>
      <c r="D510" s="116"/>
    </row>
    <row r="511" spans="2:4" x14ac:dyDescent="0.2">
      <c r="B511" s="115"/>
      <c r="D511" s="116"/>
    </row>
    <row r="512" spans="2:4" x14ac:dyDescent="0.2">
      <c r="B512" s="115"/>
      <c r="D512" s="116"/>
    </row>
    <row r="513" spans="2:4" x14ac:dyDescent="0.2">
      <c r="B513" s="115"/>
      <c r="D513" s="116"/>
    </row>
    <row r="514" spans="2:4" x14ac:dyDescent="0.2">
      <c r="B514" s="115"/>
      <c r="D514" s="116"/>
    </row>
    <row r="515" spans="2:4" x14ac:dyDescent="0.2">
      <c r="B515" s="115"/>
      <c r="D515" s="116"/>
    </row>
    <row r="516" spans="2:4" x14ac:dyDescent="0.2">
      <c r="B516" s="115"/>
      <c r="D516" s="116"/>
    </row>
    <row r="517" spans="2:4" x14ac:dyDescent="0.2">
      <c r="B517" s="115"/>
      <c r="D517" s="116"/>
    </row>
    <row r="518" spans="2:4" x14ac:dyDescent="0.2">
      <c r="B518" s="115"/>
      <c r="D518" s="116"/>
    </row>
    <row r="519" spans="2:4" x14ac:dyDescent="0.2">
      <c r="B519" s="115"/>
      <c r="D519" s="116"/>
    </row>
    <row r="520" spans="2:4" x14ac:dyDescent="0.2">
      <c r="B520" s="115"/>
      <c r="D520" s="116"/>
    </row>
    <row r="521" spans="2:4" x14ac:dyDescent="0.2">
      <c r="B521" s="115"/>
      <c r="D521" s="116"/>
    </row>
    <row r="522" spans="2:4" x14ac:dyDescent="0.2">
      <c r="B522" s="115"/>
      <c r="D522" s="116"/>
    </row>
    <row r="523" spans="2:4" x14ac:dyDescent="0.2">
      <c r="B523" s="115"/>
      <c r="D523" s="116"/>
    </row>
    <row r="524" spans="2:4" x14ac:dyDescent="0.2">
      <c r="B524" s="115"/>
      <c r="D524" s="116"/>
    </row>
    <row r="525" spans="2:4" x14ac:dyDescent="0.2">
      <c r="B525" s="115"/>
      <c r="D525" s="116"/>
    </row>
    <row r="526" spans="2:4" x14ac:dyDescent="0.2">
      <c r="B526" s="115"/>
      <c r="D526" s="116"/>
    </row>
    <row r="527" spans="2:4" x14ac:dyDescent="0.2">
      <c r="B527" s="115"/>
      <c r="D527" s="116"/>
    </row>
    <row r="528" spans="2:4" x14ac:dyDescent="0.2">
      <c r="B528" s="115"/>
      <c r="D528" s="116"/>
    </row>
    <row r="529" spans="2:4" x14ac:dyDescent="0.2">
      <c r="B529" s="115"/>
      <c r="D529" s="116"/>
    </row>
    <row r="530" spans="2:4" x14ac:dyDescent="0.2">
      <c r="B530" s="115"/>
      <c r="D530" s="116"/>
    </row>
    <row r="531" spans="2:4" x14ac:dyDescent="0.2">
      <c r="B531" s="115"/>
      <c r="D531" s="116"/>
    </row>
    <row r="532" spans="2:4" x14ac:dyDescent="0.2">
      <c r="B532" s="115"/>
      <c r="D532" s="116"/>
    </row>
    <row r="533" spans="2:4" x14ac:dyDescent="0.2">
      <c r="B533" s="115"/>
      <c r="D533" s="116"/>
    </row>
    <row r="534" spans="2:4" x14ac:dyDescent="0.2">
      <c r="B534" s="115"/>
      <c r="D534" s="116"/>
    </row>
    <row r="535" spans="2:4" x14ac:dyDescent="0.2">
      <c r="B535" s="115"/>
      <c r="D535" s="116"/>
    </row>
    <row r="536" spans="2:4" x14ac:dyDescent="0.2">
      <c r="B536" s="115"/>
      <c r="D536" s="116"/>
    </row>
    <row r="537" spans="2:4" x14ac:dyDescent="0.2">
      <c r="B537" s="115"/>
      <c r="D537" s="116"/>
    </row>
    <row r="538" spans="2:4" x14ac:dyDescent="0.2">
      <c r="B538" s="115"/>
      <c r="D538" s="116"/>
    </row>
    <row r="539" spans="2:4" x14ac:dyDescent="0.2">
      <c r="B539" s="115"/>
      <c r="D539" s="116"/>
    </row>
    <row r="540" spans="2:4" x14ac:dyDescent="0.2">
      <c r="B540" s="115"/>
      <c r="D540" s="116"/>
    </row>
    <row r="541" spans="2:4" x14ac:dyDescent="0.2">
      <c r="B541" s="115"/>
      <c r="D541" s="116"/>
    </row>
    <row r="542" spans="2:4" x14ac:dyDescent="0.2">
      <c r="B542" s="115"/>
      <c r="D542" s="116"/>
    </row>
    <row r="543" spans="2:4" x14ac:dyDescent="0.2">
      <c r="B543" s="115"/>
      <c r="D543" s="116"/>
    </row>
    <row r="544" spans="2:4" x14ac:dyDescent="0.2">
      <c r="B544" s="115"/>
      <c r="D544" s="116"/>
    </row>
    <row r="545" spans="2:4" x14ac:dyDescent="0.2">
      <c r="B545" s="115"/>
      <c r="D545" s="116"/>
    </row>
    <row r="546" spans="2:4" x14ac:dyDescent="0.2">
      <c r="B546" s="115"/>
      <c r="D546" s="116"/>
    </row>
    <row r="547" spans="2:4" x14ac:dyDescent="0.2">
      <c r="B547" s="115"/>
      <c r="D547" s="116"/>
    </row>
    <row r="548" spans="2:4" x14ac:dyDescent="0.2">
      <c r="B548" s="115"/>
      <c r="D548" s="116"/>
    </row>
    <row r="549" spans="2:4" x14ac:dyDescent="0.2">
      <c r="B549" s="115"/>
      <c r="D549" s="116"/>
    </row>
    <row r="550" spans="2:4" x14ac:dyDescent="0.2">
      <c r="B550" s="115"/>
      <c r="D550" s="116"/>
    </row>
    <row r="551" spans="2:4" x14ac:dyDescent="0.2">
      <c r="B551" s="115"/>
      <c r="D551" s="116"/>
    </row>
    <row r="552" spans="2:4" x14ac:dyDescent="0.2">
      <c r="B552" s="115"/>
      <c r="D552" s="116"/>
    </row>
    <row r="553" spans="2:4" x14ac:dyDescent="0.2">
      <c r="B553" s="115"/>
      <c r="D553" s="116"/>
    </row>
    <row r="554" spans="2:4" x14ac:dyDescent="0.2">
      <c r="B554" s="115"/>
      <c r="D554" s="116"/>
    </row>
    <row r="555" spans="2:4" x14ac:dyDescent="0.2">
      <c r="B555" s="115"/>
      <c r="D555" s="116"/>
    </row>
    <row r="556" spans="2:4" x14ac:dyDescent="0.2">
      <c r="B556" s="115"/>
      <c r="D556" s="116"/>
    </row>
    <row r="557" spans="2:4" x14ac:dyDescent="0.2">
      <c r="B557" s="115"/>
      <c r="D557" s="116"/>
    </row>
    <row r="558" spans="2:4" x14ac:dyDescent="0.2">
      <c r="B558" s="115"/>
      <c r="D558" s="116"/>
    </row>
    <row r="559" spans="2:4" x14ac:dyDescent="0.2">
      <c r="B559" s="115"/>
      <c r="D559" s="116"/>
    </row>
    <row r="560" spans="2:4" x14ac:dyDescent="0.2">
      <c r="B560" s="115"/>
      <c r="D560" s="116"/>
    </row>
    <row r="561" spans="2:4" x14ac:dyDescent="0.2">
      <c r="B561" s="115"/>
      <c r="D561" s="116"/>
    </row>
    <row r="562" spans="2:4" x14ac:dyDescent="0.2">
      <c r="B562" s="115"/>
      <c r="D562" s="116"/>
    </row>
    <row r="563" spans="2:4" x14ac:dyDescent="0.2">
      <c r="B563" s="115"/>
      <c r="D563" s="116"/>
    </row>
    <row r="564" spans="2:4" x14ac:dyDescent="0.2">
      <c r="B564" s="115"/>
      <c r="D564" s="116"/>
    </row>
    <row r="565" spans="2:4" x14ac:dyDescent="0.2">
      <c r="B565" s="115"/>
      <c r="D565" s="116"/>
    </row>
    <row r="566" spans="2:4" x14ac:dyDescent="0.2">
      <c r="B566" s="115"/>
      <c r="D566" s="116"/>
    </row>
    <row r="567" spans="2:4" x14ac:dyDescent="0.2">
      <c r="B567" s="115"/>
      <c r="D567" s="116"/>
    </row>
    <row r="568" spans="2:4" x14ac:dyDescent="0.2">
      <c r="B568" s="115"/>
      <c r="D568" s="116"/>
    </row>
    <row r="569" spans="2:4" x14ac:dyDescent="0.2">
      <c r="B569" s="115"/>
      <c r="D569" s="116"/>
    </row>
    <row r="570" spans="2:4" x14ac:dyDescent="0.2">
      <c r="B570" s="115"/>
      <c r="D570" s="116"/>
    </row>
    <row r="571" spans="2:4" x14ac:dyDescent="0.2">
      <c r="B571" s="115"/>
      <c r="D571" s="116"/>
    </row>
    <row r="572" spans="2:4" x14ac:dyDescent="0.2">
      <c r="B572" s="115"/>
      <c r="D572" s="116"/>
    </row>
    <row r="573" spans="2:4" x14ac:dyDescent="0.2">
      <c r="B573" s="115"/>
      <c r="D573" s="116"/>
    </row>
    <row r="574" spans="2:4" x14ac:dyDescent="0.2">
      <c r="B574" s="115"/>
      <c r="D574" s="116"/>
    </row>
    <row r="575" spans="2:4" x14ac:dyDescent="0.2">
      <c r="B575" s="115"/>
      <c r="D575" s="116"/>
    </row>
    <row r="576" spans="2:4" x14ac:dyDescent="0.2">
      <c r="B576" s="115"/>
      <c r="D576" s="116"/>
    </row>
    <row r="577" spans="2:4" x14ac:dyDescent="0.2">
      <c r="B577" s="115"/>
      <c r="D577" s="116"/>
    </row>
    <row r="578" spans="2:4" x14ac:dyDescent="0.2">
      <c r="B578" s="115"/>
      <c r="D578" s="116"/>
    </row>
    <row r="579" spans="2:4" x14ac:dyDescent="0.2">
      <c r="B579" s="115"/>
      <c r="D579" s="116"/>
    </row>
    <row r="580" spans="2:4" x14ac:dyDescent="0.2">
      <c r="B580" s="115"/>
      <c r="D580" s="116"/>
    </row>
    <row r="581" spans="2:4" x14ac:dyDescent="0.2">
      <c r="B581" s="115"/>
      <c r="D581" s="116"/>
    </row>
    <row r="582" spans="2:4" x14ac:dyDescent="0.2">
      <c r="B582" s="115"/>
      <c r="D582" s="116"/>
    </row>
    <row r="583" spans="2:4" x14ac:dyDescent="0.2">
      <c r="B583" s="115"/>
      <c r="D583" s="116"/>
    </row>
    <row r="584" spans="2:4" x14ac:dyDescent="0.2">
      <c r="B584" s="115"/>
      <c r="D584" s="116"/>
    </row>
    <row r="585" spans="2:4" x14ac:dyDescent="0.2">
      <c r="B585" s="115"/>
      <c r="D585" s="116"/>
    </row>
    <row r="586" spans="2:4" x14ac:dyDescent="0.2">
      <c r="B586" s="115"/>
      <c r="D586" s="116"/>
    </row>
    <row r="587" spans="2:4" x14ac:dyDescent="0.2">
      <c r="B587" s="115"/>
      <c r="D587" s="116"/>
    </row>
    <row r="588" spans="2:4" x14ac:dyDescent="0.2">
      <c r="B588" s="115"/>
      <c r="D588" s="116"/>
    </row>
    <row r="589" spans="2:4" x14ac:dyDescent="0.2">
      <c r="B589" s="115"/>
      <c r="D589" s="116"/>
    </row>
    <row r="590" spans="2:4" x14ac:dyDescent="0.2">
      <c r="B590" s="115"/>
      <c r="D590" s="116"/>
    </row>
    <row r="591" spans="2:4" x14ac:dyDescent="0.2">
      <c r="B591" s="115"/>
      <c r="D591" s="116"/>
    </row>
    <row r="592" spans="2:4" x14ac:dyDescent="0.2">
      <c r="B592" s="115"/>
      <c r="D592" s="116"/>
    </row>
    <row r="593" spans="2:4" x14ac:dyDescent="0.2">
      <c r="B593" s="115"/>
      <c r="D593" s="116"/>
    </row>
    <row r="594" spans="2:4" x14ac:dyDescent="0.2">
      <c r="B594" s="115"/>
      <c r="D594" s="116"/>
    </row>
    <row r="595" spans="2:4" x14ac:dyDescent="0.2">
      <c r="B595" s="115"/>
      <c r="D595" s="116"/>
    </row>
    <row r="596" spans="2:4" x14ac:dyDescent="0.2">
      <c r="B596" s="115"/>
      <c r="D596" s="116"/>
    </row>
    <row r="597" spans="2:4" x14ac:dyDescent="0.2">
      <c r="B597" s="115"/>
      <c r="D597" s="116"/>
    </row>
    <row r="598" spans="2:4" x14ac:dyDescent="0.2">
      <c r="B598" s="115"/>
      <c r="D598" s="116"/>
    </row>
    <row r="599" spans="2:4" x14ac:dyDescent="0.2">
      <c r="B599" s="115"/>
      <c r="D599" s="116"/>
    </row>
    <row r="600" spans="2:4" x14ac:dyDescent="0.2">
      <c r="B600" s="115"/>
      <c r="D600" s="116"/>
    </row>
    <row r="601" spans="2:4" x14ac:dyDescent="0.2">
      <c r="B601" s="115"/>
      <c r="D601" s="116"/>
    </row>
    <row r="602" spans="2:4" x14ac:dyDescent="0.2">
      <c r="B602" s="115"/>
      <c r="D602" s="116"/>
    </row>
    <row r="603" spans="2:4" x14ac:dyDescent="0.2">
      <c r="B603" s="115"/>
      <c r="D603" s="116"/>
    </row>
    <row r="604" spans="2:4" x14ac:dyDescent="0.2">
      <c r="B604" s="115"/>
      <c r="D604" s="116"/>
    </row>
    <row r="605" spans="2:4" x14ac:dyDescent="0.2">
      <c r="B605" s="115"/>
      <c r="D605" s="116"/>
    </row>
    <row r="606" spans="2:4" x14ac:dyDescent="0.2">
      <c r="B606" s="115"/>
      <c r="D606" s="116"/>
    </row>
    <row r="607" spans="2:4" x14ac:dyDescent="0.2">
      <c r="B607" s="115"/>
      <c r="D607" s="116"/>
    </row>
    <row r="608" spans="2:4" x14ac:dyDescent="0.2">
      <c r="B608" s="115"/>
      <c r="D608" s="116"/>
    </row>
    <row r="609" spans="2:4" x14ac:dyDescent="0.2">
      <c r="B609" s="115"/>
      <c r="D609" s="116"/>
    </row>
    <row r="610" spans="2:4" x14ac:dyDescent="0.2">
      <c r="B610" s="115"/>
      <c r="D610" s="116"/>
    </row>
    <row r="611" spans="2:4" x14ac:dyDescent="0.2">
      <c r="B611" s="115"/>
      <c r="D611" s="116"/>
    </row>
    <row r="612" spans="2:4" x14ac:dyDescent="0.2">
      <c r="B612" s="115"/>
      <c r="D612" s="116"/>
    </row>
    <row r="613" spans="2:4" x14ac:dyDescent="0.2">
      <c r="B613" s="115"/>
      <c r="D613" s="116"/>
    </row>
    <row r="614" spans="2:4" x14ac:dyDescent="0.2">
      <c r="B614" s="115"/>
      <c r="D614" s="116"/>
    </row>
    <row r="615" spans="2:4" x14ac:dyDescent="0.2">
      <c r="B615" s="115"/>
      <c r="D615" s="116"/>
    </row>
    <row r="616" spans="2:4" x14ac:dyDescent="0.2">
      <c r="B616" s="115"/>
      <c r="D616" s="116"/>
    </row>
    <row r="617" spans="2:4" x14ac:dyDescent="0.2">
      <c r="B617" s="115"/>
      <c r="D617" s="116"/>
    </row>
    <row r="618" spans="2:4" x14ac:dyDescent="0.2">
      <c r="B618" s="115"/>
      <c r="D618" s="116"/>
    </row>
    <row r="619" spans="2:4" x14ac:dyDescent="0.2">
      <c r="B619" s="115"/>
      <c r="D619" s="116"/>
    </row>
    <row r="620" spans="2:4" x14ac:dyDescent="0.2">
      <c r="B620" s="115"/>
      <c r="D620" s="116"/>
    </row>
    <row r="621" spans="2:4" x14ac:dyDescent="0.2">
      <c r="B621" s="115"/>
      <c r="D621" s="116"/>
    </row>
    <row r="622" spans="2:4" x14ac:dyDescent="0.2">
      <c r="B622" s="115"/>
      <c r="D622" s="116"/>
    </row>
    <row r="623" spans="2:4" x14ac:dyDescent="0.2">
      <c r="B623" s="115"/>
      <c r="D623" s="116"/>
    </row>
    <row r="624" spans="2:4" x14ac:dyDescent="0.2">
      <c r="B624" s="115"/>
      <c r="D624" s="116"/>
    </row>
    <row r="625" spans="2:4" x14ac:dyDescent="0.2">
      <c r="B625" s="115"/>
      <c r="D625" s="116"/>
    </row>
    <row r="626" spans="2:4" x14ac:dyDescent="0.2">
      <c r="B626" s="115"/>
      <c r="D626" s="116"/>
    </row>
    <row r="627" spans="2:4" x14ac:dyDescent="0.2">
      <c r="B627" s="115"/>
      <c r="D627" s="116"/>
    </row>
    <row r="628" spans="2:4" x14ac:dyDescent="0.2">
      <c r="B628" s="115"/>
      <c r="D628" s="116"/>
    </row>
    <row r="629" spans="2:4" x14ac:dyDescent="0.2">
      <c r="B629" s="115"/>
      <c r="D629" s="116"/>
    </row>
    <row r="630" spans="2:4" x14ac:dyDescent="0.2">
      <c r="B630" s="115"/>
      <c r="D630" s="116"/>
    </row>
    <row r="631" spans="2:4" x14ac:dyDescent="0.2">
      <c r="B631" s="115"/>
      <c r="D631" s="116"/>
    </row>
    <row r="632" spans="2:4" x14ac:dyDescent="0.2">
      <c r="B632" s="115"/>
      <c r="D632" s="116"/>
    </row>
    <row r="633" spans="2:4" x14ac:dyDescent="0.2">
      <c r="B633" s="115"/>
      <c r="D633" s="116"/>
    </row>
    <row r="634" spans="2:4" x14ac:dyDescent="0.2">
      <c r="B634" s="115"/>
      <c r="D634" s="116"/>
    </row>
    <row r="635" spans="2:4" x14ac:dyDescent="0.2">
      <c r="B635" s="115"/>
      <c r="D635" s="116"/>
    </row>
    <row r="636" spans="2:4" x14ac:dyDescent="0.2">
      <c r="B636" s="115"/>
      <c r="D636" s="116"/>
    </row>
    <row r="637" spans="2:4" x14ac:dyDescent="0.2">
      <c r="B637" s="115"/>
      <c r="D637" s="116"/>
    </row>
    <row r="638" spans="2:4" x14ac:dyDescent="0.2">
      <c r="B638" s="115"/>
      <c r="D638" s="116"/>
    </row>
    <row r="639" spans="2:4" x14ac:dyDescent="0.2">
      <c r="B639" s="115"/>
      <c r="D639" s="116"/>
    </row>
    <row r="640" spans="2:4" x14ac:dyDescent="0.2">
      <c r="B640" s="115"/>
      <c r="D640" s="116"/>
    </row>
    <row r="641" spans="2:4" x14ac:dyDescent="0.2">
      <c r="B641" s="115"/>
      <c r="D641" s="116"/>
    </row>
    <row r="642" spans="2:4" x14ac:dyDescent="0.2">
      <c r="B642" s="115"/>
      <c r="D642" s="116"/>
    </row>
    <row r="643" spans="2:4" x14ac:dyDescent="0.2">
      <c r="B643" s="115"/>
      <c r="D643" s="116"/>
    </row>
    <row r="644" spans="2:4" x14ac:dyDescent="0.2">
      <c r="B644" s="115"/>
      <c r="D644" s="116"/>
    </row>
    <row r="645" spans="2:4" x14ac:dyDescent="0.2">
      <c r="B645" s="115"/>
      <c r="D645" s="116"/>
    </row>
    <row r="646" spans="2:4" x14ac:dyDescent="0.2">
      <c r="B646" s="115"/>
      <c r="D646" s="116"/>
    </row>
    <row r="647" spans="2:4" x14ac:dyDescent="0.2">
      <c r="B647" s="115"/>
      <c r="D647" s="116"/>
    </row>
    <row r="648" spans="2:4" x14ac:dyDescent="0.2">
      <c r="B648" s="115"/>
      <c r="D648" s="116"/>
    </row>
    <row r="649" spans="2:4" x14ac:dyDescent="0.2">
      <c r="B649" s="115"/>
      <c r="D649" s="116"/>
    </row>
    <row r="650" spans="2:4" x14ac:dyDescent="0.2">
      <c r="B650" s="115"/>
      <c r="D650" s="116"/>
    </row>
    <row r="651" spans="2:4" x14ac:dyDescent="0.2">
      <c r="B651" s="115"/>
      <c r="D651" s="116"/>
    </row>
    <row r="652" spans="2:4" x14ac:dyDescent="0.2">
      <c r="B652" s="115"/>
      <c r="D652" s="116"/>
    </row>
    <row r="653" spans="2:4" x14ac:dyDescent="0.2">
      <c r="B653" s="115"/>
      <c r="D653" s="116"/>
    </row>
    <row r="654" spans="2:4" x14ac:dyDescent="0.2">
      <c r="B654" s="115"/>
      <c r="D654" s="116"/>
    </row>
    <row r="655" spans="2:4" x14ac:dyDescent="0.2">
      <c r="B655" s="115"/>
      <c r="D655" s="116"/>
    </row>
    <row r="656" spans="2:4" x14ac:dyDescent="0.2">
      <c r="B656" s="115"/>
      <c r="D656" s="116"/>
    </row>
    <row r="657" spans="2:4" x14ac:dyDescent="0.2">
      <c r="B657" s="115"/>
      <c r="D657" s="116"/>
    </row>
    <row r="658" spans="2:4" x14ac:dyDescent="0.2">
      <c r="B658" s="115"/>
      <c r="D658" s="116"/>
    </row>
    <row r="659" spans="2:4" x14ac:dyDescent="0.2">
      <c r="B659" s="115"/>
      <c r="D659" s="116"/>
    </row>
    <row r="660" spans="2:4" x14ac:dyDescent="0.2">
      <c r="B660" s="115"/>
      <c r="D660" s="116"/>
    </row>
    <row r="661" spans="2:4" x14ac:dyDescent="0.2">
      <c r="B661" s="115"/>
      <c r="D661" s="116"/>
    </row>
    <row r="662" spans="2:4" x14ac:dyDescent="0.2">
      <c r="B662" s="115"/>
      <c r="D662" s="116"/>
    </row>
    <row r="663" spans="2:4" x14ac:dyDescent="0.2">
      <c r="B663" s="115"/>
      <c r="D663" s="116"/>
    </row>
    <row r="664" spans="2:4" x14ac:dyDescent="0.2">
      <c r="B664" s="115"/>
      <c r="D664" s="116"/>
    </row>
    <row r="665" spans="2:4" x14ac:dyDescent="0.2">
      <c r="B665" s="115"/>
      <c r="D665" s="116"/>
    </row>
    <row r="666" spans="2:4" x14ac:dyDescent="0.2">
      <c r="B666" s="115"/>
      <c r="D666" s="116"/>
    </row>
    <row r="667" spans="2:4" x14ac:dyDescent="0.2">
      <c r="B667" s="115"/>
      <c r="D667" s="116"/>
    </row>
    <row r="668" spans="2:4" x14ac:dyDescent="0.2">
      <c r="B668" s="115"/>
      <c r="D668" s="116"/>
    </row>
    <row r="669" spans="2:4" x14ac:dyDescent="0.2">
      <c r="B669" s="115"/>
      <c r="D669" s="116"/>
    </row>
    <row r="670" spans="2:4" x14ac:dyDescent="0.2">
      <c r="B670" s="115"/>
      <c r="D670" s="116"/>
    </row>
    <row r="671" spans="2:4" x14ac:dyDescent="0.2">
      <c r="B671" s="115"/>
      <c r="D671" s="116"/>
    </row>
    <row r="672" spans="2:4" x14ac:dyDescent="0.2">
      <c r="B672" s="115"/>
      <c r="D672" s="116"/>
    </row>
    <row r="673" spans="2:4" x14ac:dyDescent="0.2">
      <c r="B673" s="115"/>
      <c r="D673" s="116"/>
    </row>
    <row r="674" spans="2:4" x14ac:dyDescent="0.2">
      <c r="B674" s="115"/>
      <c r="D674" s="116"/>
    </row>
    <row r="675" spans="2:4" x14ac:dyDescent="0.2">
      <c r="B675" s="115"/>
      <c r="D675" s="116"/>
    </row>
    <row r="676" spans="2:4" x14ac:dyDescent="0.2">
      <c r="B676" s="115"/>
      <c r="D676" s="116"/>
    </row>
    <row r="677" spans="2:4" x14ac:dyDescent="0.2">
      <c r="B677" s="115"/>
      <c r="D677" s="116"/>
    </row>
    <row r="678" spans="2:4" x14ac:dyDescent="0.2">
      <c r="B678" s="115"/>
      <c r="D678" s="116"/>
    </row>
    <row r="679" spans="2:4" x14ac:dyDescent="0.2">
      <c r="B679" s="115"/>
      <c r="D679" s="116"/>
    </row>
    <row r="680" spans="2:4" x14ac:dyDescent="0.2">
      <c r="B680" s="115"/>
      <c r="D680" s="116"/>
    </row>
    <row r="681" spans="2:4" x14ac:dyDescent="0.2">
      <c r="B681" s="115"/>
      <c r="D681" s="116"/>
    </row>
    <row r="682" spans="2:4" x14ac:dyDescent="0.2">
      <c r="B682" s="115"/>
      <c r="D682" s="116"/>
    </row>
    <row r="683" spans="2:4" x14ac:dyDescent="0.2">
      <c r="B683" s="115"/>
      <c r="D683" s="116"/>
    </row>
    <row r="684" spans="2:4" x14ac:dyDescent="0.2">
      <c r="B684" s="115"/>
      <c r="D684" s="116"/>
    </row>
    <row r="685" spans="2:4" x14ac:dyDescent="0.2">
      <c r="B685" s="115"/>
      <c r="D685" s="116"/>
    </row>
    <row r="686" spans="2:4" x14ac:dyDescent="0.2">
      <c r="B686" s="115"/>
      <c r="D686" s="116"/>
    </row>
    <row r="687" spans="2:4" x14ac:dyDescent="0.2">
      <c r="B687" s="115"/>
      <c r="D687" s="116"/>
    </row>
    <row r="688" spans="2:4" x14ac:dyDescent="0.2">
      <c r="B688" s="115"/>
      <c r="D688" s="116"/>
    </row>
    <row r="689" spans="2:4" x14ac:dyDescent="0.2">
      <c r="B689" s="115"/>
      <c r="D689" s="116"/>
    </row>
    <row r="690" spans="2:4" x14ac:dyDescent="0.2">
      <c r="B690" s="115"/>
      <c r="D690" s="116"/>
    </row>
    <row r="691" spans="2:4" x14ac:dyDescent="0.2">
      <c r="B691" s="115"/>
      <c r="D691" s="116"/>
    </row>
    <row r="692" spans="2:4" x14ac:dyDescent="0.2">
      <c r="B692" s="115"/>
      <c r="D692" s="116"/>
    </row>
    <row r="693" spans="2:4" x14ac:dyDescent="0.2">
      <c r="B693" s="115"/>
      <c r="D693" s="116"/>
    </row>
    <row r="694" spans="2:4" x14ac:dyDescent="0.2">
      <c r="B694" s="115"/>
      <c r="D694" s="116"/>
    </row>
    <row r="695" spans="2:4" x14ac:dyDescent="0.2">
      <c r="B695" s="115"/>
      <c r="D695" s="116"/>
    </row>
    <row r="696" spans="2:4" x14ac:dyDescent="0.2">
      <c r="B696" s="115"/>
      <c r="D696" s="116"/>
    </row>
    <row r="697" spans="2:4" x14ac:dyDescent="0.2">
      <c r="B697" s="115"/>
      <c r="D697" s="116"/>
    </row>
    <row r="698" spans="2:4" x14ac:dyDescent="0.2">
      <c r="B698" s="115"/>
      <c r="D698" s="116"/>
    </row>
    <row r="699" spans="2:4" x14ac:dyDescent="0.2">
      <c r="B699" s="115"/>
      <c r="D699" s="116"/>
    </row>
    <row r="700" spans="2:4" x14ac:dyDescent="0.2">
      <c r="B700" s="115"/>
      <c r="D700" s="116"/>
    </row>
    <row r="701" spans="2:4" x14ac:dyDescent="0.2">
      <c r="B701" s="115"/>
      <c r="D701" s="116"/>
    </row>
    <row r="702" spans="2:4" x14ac:dyDescent="0.2">
      <c r="B702" s="115"/>
      <c r="D702" s="116"/>
    </row>
    <row r="703" spans="2:4" x14ac:dyDescent="0.2">
      <c r="B703" s="115"/>
      <c r="D703" s="116"/>
    </row>
    <row r="704" spans="2:4" x14ac:dyDescent="0.2">
      <c r="B704" s="115"/>
      <c r="D704" s="116"/>
    </row>
    <row r="705" spans="2:4" x14ac:dyDescent="0.2">
      <c r="B705" s="115"/>
      <c r="D705" s="116"/>
    </row>
    <row r="706" spans="2:4" x14ac:dyDescent="0.2">
      <c r="B706" s="115"/>
      <c r="D706" s="116"/>
    </row>
    <row r="707" spans="2:4" x14ac:dyDescent="0.2">
      <c r="B707" s="115"/>
      <c r="D707" s="116"/>
    </row>
    <row r="708" spans="2:4" x14ac:dyDescent="0.2">
      <c r="B708" s="115"/>
      <c r="D708" s="116"/>
    </row>
    <row r="709" spans="2:4" x14ac:dyDescent="0.2">
      <c r="B709" s="115"/>
      <c r="D709" s="116"/>
    </row>
    <row r="710" spans="2:4" x14ac:dyDescent="0.2">
      <c r="B710" s="115"/>
      <c r="D710" s="116"/>
    </row>
    <row r="711" spans="2:4" x14ac:dyDescent="0.2">
      <c r="B711" s="115"/>
      <c r="D711" s="116"/>
    </row>
    <row r="712" spans="2:4" x14ac:dyDescent="0.2">
      <c r="B712" s="115"/>
      <c r="D712" s="116"/>
    </row>
    <row r="713" spans="2:4" x14ac:dyDescent="0.2">
      <c r="B713" s="115"/>
      <c r="D713" s="116"/>
    </row>
    <row r="714" spans="2:4" x14ac:dyDescent="0.2">
      <c r="B714" s="115"/>
      <c r="D714" s="116"/>
    </row>
    <row r="715" spans="2:4" x14ac:dyDescent="0.2">
      <c r="B715" s="115"/>
      <c r="D715" s="116"/>
    </row>
    <row r="716" spans="2:4" x14ac:dyDescent="0.2">
      <c r="B716" s="115"/>
      <c r="D716" s="116"/>
    </row>
    <row r="717" spans="2:4" x14ac:dyDescent="0.2">
      <c r="B717" s="115"/>
      <c r="D717" s="116"/>
    </row>
    <row r="718" spans="2:4" x14ac:dyDescent="0.2">
      <c r="B718" s="115"/>
      <c r="D718" s="116"/>
    </row>
    <row r="719" spans="2:4" x14ac:dyDescent="0.2">
      <c r="B719" s="115"/>
      <c r="D719" s="116"/>
    </row>
    <row r="720" spans="2:4" x14ac:dyDescent="0.2">
      <c r="B720" s="115"/>
      <c r="D720" s="116"/>
    </row>
    <row r="721" spans="2:4" x14ac:dyDescent="0.2">
      <c r="B721" s="115"/>
      <c r="D721" s="116"/>
    </row>
    <row r="722" spans="2:4" x14ac:dyDescent="0.2">
      <c r="B722" s="115"/>
      <c r="D722" s="116"/>
    </row>
    <row r="723" spans="2:4" x14ac:dyDescent="0.2">
      <c r="B723" s="115"/>
      <c r="D723" s="116"/>
    </row>
    <row r="724" spans="2:4" x14ac:dyDescent="0.2">
      <c r="B724" s="115"/>
      <c r="D724" s="116"/>
    </row>
    <row r="725" spans="2:4" x14ac:dyDescent="0.2">
      <c r="B725" s="115"/>
      <c r="D725" s="116"/>
    </row>
    <row r="726" spans="2:4" x14ac:dyDescent="0.2">
      <c r="B726" s="115"/>
      <c r="D726" s="116"/>
    </row>
    <row r="727" spans="2:4" x14ac:dyDescent="0.2">
      <c r="B727" s="115"/>
      <c r="D727" s="116"/>
    </row>
    <row r="728" spans="2:4" x14ac:dyDescent="0.2">
      <c r="B728" s="115"/>
      <c r="D728" s="116"/>
    </row>
    <row r="729" spans="2:4" x14ac:dyDescent="0.2">
      <c r="B729" s="115"/>
      <c r="D729" s="116"/>
    </row>
    <row r="730" spans="2:4" x14ac:dyDescent="0.2">
      <c r="B730" s="115"/>
      <c r="D730" s="116"/>
    </row>
    <row r="731" spans="2:4" x14ac:dyDescent="0.2">
      <c r="B731" s="115"/>
      <c r="D731" s="116"/>
    </row>
    <row r="732" spans="2:4" x14ac:dyDescent="0.2">
      <c r="B732" s="115"/>
      <c r="D732" s="116"/>
    </row>
    <row r="733" spans="2:4" x14ac:dyDescent="0.2">
      <c r="B733" s="115"/>
      <c r="D733" s="116"/>
    </row>
    <row r="734" spans="2:4" x14ac:dyDescent="0.2">
      <c r="B734" s="115"/>
      <c r="D734" s="116"/>
    </row>
    <row r="735" spans="2:4" x14ac:dyDescent="0.2">
      <c r="B735" s="115"/>
      <c r="D735" s="116"/>
    </row>
    <row r="736" spans="2:4" x14ac:dyDescent="0.2">
      <c r="B736" s="115"/>
      <c r="D736" s="116"/>
    </row>
    <row r="737" spans="2:4" x14ac:dyDescent="0.2">
      <c r="B737" s="115"/>
      <c r="D737" s="116"/>
    </row>
    <row r="738" spans="2:4" x14ac:dyDescent="0.2">
      <c r="B738" s="115"/>
      <c r="D738" s="116"/>
    </row>
    <row r="739" spans="2:4" x14ac:dyDescent="0.2">
      <c r="B739" s="115"/>
      <c r="D739" s="116"/>
    </row>
    <row r="740" spans="2:4" x14ac:dyDescent="0.2">
      <c r="B740" s="115"/>
      <c r="D740" s="116"/>
    </row>
    <row r="741" spans="2:4" x14ac:dyDescent="0.2">
      <c r="B741" s="115"/>
      <c r="D741" s="116"/>
    </row>
    <row r="742" spans="2:4" x14ac:dyDescent="0.2">
      <c r="B742" s="115"/>
      <c r="D742" s="116"/>
    </row>
    <row r="743" spans="2:4" x14ac:dyDescent="0.2">
      <c r="B743" s="115"/>
      <c r="D743" s="116"/>
    </row>
    <row r="744" spans="2:4" x14ac:dyDescent="0.2">
      <c r="B744" s="115"/>
      <c r="D744" s="116"/>
    </row>
    <row r="745" spans="2:4" x14ac:dyDescent="0.2">
      <c r="B745" s="115"/>
      <c r="D745" s="116"/>
    </row>
    <row r="746" spans="2:4" x14ac:dyDescent="0.2">
      <c r="B746" s="115"/>
      <c r="D746" s="116"/>
    </row>
    <row r="747" spans="2:4" x14ac:dyDescent="0.2">
      <c r="B747" s="115"/>
      <c r="D747" s="116"/>
    </row>
    <row r="748" spans="2:4" x14ac:dyDescent="0.2">
      <c r="B748" s="115"/>
      <c r="D748" s="116"/>
    </row>
    <row r="749" spans="2:4" x14ac:dyDescent="0.2">
      <c r="B749" s="115"/>
      <c r="D749" s="116"/>
    </row>
    <row r="750" spans="2:4" x14ac:dyDescent="0.2">
      <c r="B750" s="115"/>
      <c r="D750" s="116"/>
    </row>
    <row r="751" spans="2:4" x14ac:dyDescent="0.2">
      <c r="B751" s="115"/>
      <c r="D751" s="116"/>
    </row>
    <row r="752" spans="2:4" x14ac:dyDescent="0.2">
      <c r="B752" s="115"/>
      <c r="D752" s="116"/>
    </row>
    <row r="753" spans="2:4" x14ac:dyDescent="0.2">
      <c r="B753" s="115"/>
      <c r="D753" s="116"/>
    </row>
    <row r="754" spans="2:4" x14ac:dyDescent="0.2">
      <c r="B754" s="115"/>
      <c r="D754" s="116"/>
    </row>
    <row r="755" spans="2:4" x14ac:dyDescent="0.2">
      <c r="B755" s="115"/>
      <c r="D755" s="116"/>
    </row>
    <row r="756" spans="2:4" x14ac:dyDescent="0.2">
      <c r="B756" s="115"/>
      <c r="D756" s="116"/>
    </row>
    <row r="757" spans="2:4" x14ac:dyDescent="0.2">
      <c r="B757" s="115"/>
      <c r="D757" s="116"/>
    </row>
    <row r="758" spans="2:4" x14ac:dyDescent="0.2">
      <c r="B758" s="115"/>
      <c r="D758" s="116"/>
    </row>
    <row r="759" spans="2:4" x14ac:dyDescent="0.2">
      <c r="B759" s="115"/>
      <c r="D759" s="116"/>
    </row>
    <row r="760" spans="2:4" x14ac:dyDescent="0.2">
      <c r="B760" s="115"/>
      <c r="D760" s="116"/>
    </row>
    <row r="761" spans="2:4" x14ac:dyDescent="0.2">
      <c r="B761" s="115"/>
      <c r="D761" s="116"/>
    </row>
    <row r="762" spans="2:4" x14ac:dyDescent="0.2">
      <c r="B762" s="115"/>
      <c r="D762" s="116"/>
    </row>
    <row r="763" spans="2:4" x14ac:dyDescent="0.2">
      <c r="B763" s="115"/>
      <c r="D763" s="116"/>
    </row>
    <row r="764" spans="2:4" x14ac:dyDescent="0.2">
      <c r="B764" s="115"/>
      <c r="D764" s="116"/>
    </row>
    <row r="765" spans="2:4" x14ac:dyDescent="0.2">
      <c r="B765" s="115"/>
      <c r="D765" s="116"/>
    </row>
    <row r="766" spans="2:4" x14ac:dyDescent="0.2">
      <c r="B766" s="115"/>
      <c r="D766" s="116"/>
    </row>
    <row r="767" spans="2:4" x14ac:dyDescent="0.2">
      <c r="B767" s="115"/>
      <c r="D767" s="116"/>
    </row>
    <row r="768" spans="2:4" x14ac:dyDescent="0.2">
      <c r="B768" s="115"/>
      <c r="D768" s="116"/>
    </row>
    <row r="769" spans="2:4" x14ac:dyDescent="0.2">
      <c r="B769" s="115"/>
      <c r="D769" s="116"/>
    </row>
    <row r="770" spans="2:4" x14ac:dyDescent="0.2">
      <c r="B770" s="115"/>
      <c r="D770" s="116"/>
    </row>
    <row r="771" spans="2:4" x14ac:dyDescent="0.2">
      <c r="B771" s="115"/>
      <c r="D771" s="116"/>
    </row>
    <row r="772" spans="2:4" x14ac:dyDescent="0.2">
      <c r="B772" s="115"/>
      <c r="D772" s="116"/>
    </row>
    <row r="773" spans="2:4" x14ac:dyDescent="0.2">
      <c r="B773" s="115"/>
      <c r="D773" s="116"/>
    </row>
    <row r="774" spans="2:4" x14ac:dyDescent="0.2">
      <c r="B774" s="115"/>
      <c r="D774" s="116"/>
    </row>
    <row r="775" spans="2:4" x14ac:dyDescent="0.2">
      <c r="B775" s="115"/>
      <c r="D775" s="116"/>
    </row>
    <row r="776" spans="2:4" x14ac:dyDescent="0.2">
      <c r="B776" s="115"/>
      <c r="D776" s="116"/>
    </row>
    <row r="777" spans="2:4" x14ac:dyDescent="0.2">
      <c r="B777" s="115"/>
      <c r="D777" s="116"/>
    </row>
    <row r="778" spans="2:4" x14ac:dyDescent="0.2">
      <c r="B778" s="115"/>
      <c r="D778" s="116"/>
    </row>
    <row r="779" spans="2:4" x14ac:dyDescent="0.2">
      <c r="B779" s="115"/>
      <c r="D779" s="116"/>
    </row>
    <row r="780" spans="2:4" x14ac:dyDescent="0.2">
      <c r="B780" s="115"/>
      <c r="D780" s="116"/>
    </row>
    <row r="781" spans="2:4" x14ac:dyDescent="0.2">
      <c r="B781" s="115"/>
      <c r="D781" s="116"/>
    </row>
    <row r="782" spans="2:4" x14ac:dyDescent="0.2">
      <c r="B782" s="115"/>
      <c r="D782" s="116"/>
    </row>
    <row r="783" spans="2:4" x14ac:dyDescent="0.2">
      <c r="B783" s="115"/>
      <c r="D783" s="116"/>
    </row>
    <row r="784" spans="2:4" x14ac:dyDescent="0.2">
      <c r="B784" s="115"/>
      <c r="D784" s="116"/>
    </row>
    <row r="785" spans="2:4" x14ac:dyDescent="0.2">
      <c r="B785" s="115"/>
      <c r="D785" s="116"/>
    </row>
    <row r="786" spans="2:4" x14ac:dyDescent="0.2">
      <c r="B786" s="115"/>
      <c r="D786" s="116"/>
    </row>
    <row r="787" spans="2:4" x14ac:dyDescent="0.2">
      <c r="B787" s="115"/>
      <c r="D787" s="116"/>
    </row>
    <row r="788" spans="2:4" x14ac:dyDescent="0.2">
      <c r="B788" s="115"/>
      <c r="D788" s="116"/>
    </row>
    <row r="789" spans="2:4" x14ac:dyDescent="0.2">
      <c r="B789" s="115"/>
      <c r="D789" s="116"/>
    </row>
    <row r="790" spans="2:4" x14ac:dyDescent="0.2">
      <c r="B790" s="115"/>
      <c r="D790" s="116"/>
    </row>
    <row r="791" spans="2:4" x14ac:dyDescent="0.2">
      <c r="B791" s="115"/>
      <c r="D791" s="116"/>
    </row>
    <row r="792" spans="2:4" x14ac:dyDescent="0.2">
      <c r="B792" s="115"/>
      <c r="D792" s="116"/>
    </row>
    <row r="793" spans="2:4" x14ac:dyDescent="0.2">
      <c r="B793" s="115"/>
      <c r="D793" s="116"/>
    </row>
    <row r="794" spans="2:4" x14ac:dyDescent="0.2">
      <c r="B794" s="115"/>
      <c r="D794" s="116"/>
    </row>
    <row r="795" spans="2:4" x14ac:dyDescent="0.2">
      <c r="B795" s="115"/>
      <c r="D795" s="116"/>
    </row>
    <row r="796" spans="2:4" x14ac:dyDescent="0.2">
      <c r="B796" s="115"/>
      <c r="D796" s="116"/>
    </row>
    <row r="797" spans="2:4" x14ac:dyDescent="0.2">
      <c r="B797" s="115"/>
      <c r="D797" s="116"/>
    </row>
    <row r="798" spans="2:4" x14ac:dyDescent="0.2">
      <c r="B798" s="115"/>
      <c r="D798" s="116"/>
    </row>
    <row r="799" spans="2:4" x14ac:dyDescent="0.2">
      <c r="B799" s="115"/>
      <c r="D799" s="116"/>
    </row>
    <row r="800" spans="2:4" x14ac:dyDescent="0.2">
      <c r="B800" s="115"/>
      <c r="D800" s="116"/>
    </row>
    <row r="801" spans="2:4" x14ac:dyDescent="0.2">
      <c r="B801" s="115"/>
      <c r="D801" s="116"/>
    </row>
    <row r="802" spans="2:4" x14ac:dyDescent="0.2">
      <c r="B802" s="115"/>
      <c r="D802" s="116"/>
    </row>
    <row r="803" spans="2:4" x14ac:dyDescent="0.2">
      <c r="B803" s="115"/>
      <c r="D803" s="116"/>
    </row>
    <row r="804" spans="2:4" x14ac:dyDescent="0.2">
      <c r="B804" s="115"/>
      <c r="D804" s="116"/>
    </row>
    <row r="805" spans="2:4" x14ac:dyDescent="0.2">
      <c r="B805" s="115"/>
      <c r="D805" s="116"/>
    </row>
    <row r="806" spans="2:4" x14ac:dyDescent="0.2">
      <c r="B806" s="115"/>
      <c r="D806" s="116"/>
    </row>
    <row r="807" spans="2:4" x14ac:dyDescent="0.2">
      <c r="B807" s="115"/>
      <c r="D807" s="116"/>
    </row>
    <row r="808" spans="2:4" x14ac:dyDescent="0.2">
      <c r="B808" s="115"/>
      <c r="D808" s="116"/>
    </row>
    <row r="809" spans="2:4" x14ac:dyDescent="0.2">
      <c r="B809" s="115"/>
      <c r="D809" s="116"/>
    </row>
    <row r="810" spans="2:4" x14ac:dyDescent="0.2">
      <c r="B810" s="115"/>
      <c r="D810" s="116"/>
    </row>
    <row r="811" spans="2:4" x14ac:dyDescent="0.2">
      <c r="B811" s="115"/>
      <c r="D811" s="116"/>
    </row>
    <row r="812" spans="2:4" x14ac:dyDescent="0.2">
      <c r="B812" s="115"/>
      <c r="D812" s="116"/>
    </row>
    <row r="813" spans="2:4" x14ac:dyDescent="0.2">
      <c r="B813" s="115"/>
      <c r="D813" s="116"/>
    </row>
    <row r="814" spans="2:4" x14ac:dyDescent="0.2">
      <c r="B814" s="115"/>
      <c r="D814" s="116"/>
    </row>
    <row r="815" spans="2:4" x14ac:dyDescent="0.2">
      <c r="B815" s="115"/>
      <c r="D815" s="116"/>
    </row>
    <row r="816" spans="2:4" x14ac:dyDescent="0.2">
      <c r="B816" s="115"/>
      <c r="D816" s="116"/>
    </row>
    <row r="817" spans="2:4" x14ac:dyDescent="0.2">
      <c r="B817" s="115"/>
      <c r="D817" s="116"/>
    </row>
    <row r="818" spans="2:4" x14ac:dyDescent="0.2">
      <c r="B818" s="115"/>
      <c r="D818" s="116"/>
    </row>
    <row r="819" spans="2:4" x14ac:dyDescent="0.2">
      <c r="B819" s="115"/>
      <c r="D819" s="116"/>
    </row>
    <row r="820" spans="2:4" x14ac:dyDescent="0.2">
      <c r="B820" s="115"/>
      <c r="D820" s="116"/>
    </row>
    <row r="821" spans="2:4" x14ac:dyDescent="0.2">
      <c r="B821" s="115"/>
      <c r="D821" s="116"/>
    </row>
    <row r="822" spans="2:4" x14ac:dyDescent="0.2">
      <c r="B822" s="115"/>
      <c r="D822" s="116"/>
    </row>
    <row r="823" spans="2:4" x14ac:dyDescent="0.2">
      <c r="B823" s="115"/>
      <c r="D823" s="116"/>
    </row>
    <row r="824" spans="2:4" x14ac:dyDescent="0.2">
      <c r="B824" s="115"/>
      <c r="D824" s="116"/>
    </row>
    <row r="825" spans="2:4" x14ac:dyDescent="0.2">
      <c r="B825" s="115"/>
      <c r="D825" s="116"/>
    </row>
    <row r="826" spans="2:4" x14ac:dyDescent="0.2">
      <c r="B826" s="115"/>
      <c r="D826" s="116"/>
    </row>
    <row r="827" spans="2:4" x14ac:dyDescent="0.2">
      <c r="B827" s="115"/>
      <c r="D827" s="116"/>
    </row>
    <row r="828" spans="2:4" x14ac:dyDescent="0.2">
      <c r="B828" s="115"/>
      <c r="D828" s="116"/>
    </row>
    <row r="829" spans="2:4" x14ac:dyDescent="0.2">
      <c r="B829" s="115"/>
      <c r="D829" s="116"/>
    </row>
    <row r="830" spans="2:4" x14ac:dyDescent="0.2">
      <c r="B830" s="115"/>
      <c r="D830" s="116"/>
    </row>
    <row r="831" spans="2:4" x14ac:dyDescent="0.2">
      <c r="B831" s="115"/>
      <c r="D831" s="116"/>
    </row>
    <row r="832" spans="2:4" x14ac:dyDescent="0.2">
      <c r="B832" s="115"/>
      <c r="D832" s="116"/>
    </row>
    <row r="833" spans="2:4" x14ac:dyDescent="0.2">
      <c r="B833" s="115"/>
      <c r="D833" s="116"/>
    </row>
    <row r="834" spans="2:4" x14ac:dyDescent="0.2">
      <c r="B834" s="115"/>
      <c r="D834" s="116"/>
    </row>
    <row r="835" spans="2:4" x14ac:dyDescent="0.2">
      <c r="B835" s="115"/>
      <c r="D835" s="116"/>
    </row>
    <row r="836" spans="2:4" x14ac:dyDescent="0.2">
      <c r="B836" s="115"/>
      <c r="D836" s="116"/>
    </row>
    <row r="837" spans="2:4" x14ac:dyDescent="0.2">
      <c r="B837" s="115"/>
      <c r="D837" s="116"/>
    </row>
    <row r="838" spans="2:4" x14ac:dyDescent="0.2">
      <c r="B838" s="115"/>
      <c r="D838" s="116"/>
    </row>
    <row r="839" spans="2:4" x14ac:dyDescent="0.2">
      <c r="B839" s="115"/>
      <c r="D839" s="116"/>
    </row>
    <row r="840" spans="2:4" x14ac:dyDescent="0.2">
      <c r="B840" s="115"/>
      <c r="D840" s="116"/>
    </row>
    <row r="841" spans="2:4" x14ac:dyDescent="0.2">
      <c r="B841" s="115"/>
      <c r="D841" s="116"/>
    </row>
    <row r="842" spans="2:4" x14ac:dyDescent="0.2">
      <c r="B842" s="115"/>
      <c r="D842" s="116"/>
    </row>
    <row r="843" spans="2:4" x14ac:dyDescent="0.2">
      <c r="B843" s="115"/>
      <c r="D843" s="116"/>
    </row>
    <row r="844" spans="2:4" x14ac:dyDescent="0.2">
      <c r="B844" s="115"/>
      <c r="D844" s="116"/>
    </row>
    <row r="845" spans="2:4" x14ac:dyDescent="0.2">
      <c r="B845" s="115"/>
      <c r="D845" s="116"/>
    </row>
    <row r="846" spans="2:4" x14ac:dyDescent="0.2">
      <c r="B846" s="115"/>
      <c r="D846" s="116"/>
    </row>
    <row r="847" spans="2:4" x14ac:dyDescent="0.2">
      <c r="B847" s="115"/>
      <c r="D847" s="116"/>
    </row>
    <row r="848" spans="2:4" x14ac:dyDescent="0.2">
      <c r="B848" s="115"/>
      <c r="D848" s="116"/>
    </row>
    <row r="849" spans="2:4" x14ac:dyDescent="0.2">
      <c r="B849" s="115"/>
      <c r="D849" s="116"/>
    </row>
    <row r="850" spans="2:4" x14ac:dyDescent="0.2">
      <c r="B850" s="115"/>
      <c r="D850" s="116"/>
    </row>
    <row r="851" spans="2:4" x14ac:dyDescent="0.2">
      <c r="B851" s="115"/>
      <c r="D851" s="116"/>
    </row>
    <row r="852" spans="2:4" x14ac:dyDescent="0.2">
      <c r="B852" s="115"/>
      <c r="D852" s="116"/>
    </row>
    <row r="853" spans="2:4" x14ac:dyDescent="0.2">
      <c r="B853" s="115"/>
      <c r="D853" s="116"/>
    </row>
    <row r="854" spans="2:4" x14ac:dyDescent="0.2">
      <c r="B854" s="115"/>
      <c r="D854" s="116"/>
    </row>
    <row r="855" spans="2:4" x14ac:dyDescent="0.2">
      <c r="B855" s="115"/>
      <c r="D855" s="116"/>
    </row>
    <row r="856" spans="2:4" x14ac:dyDescent="0.2">
      <c r="B856" s="115"/>
      <c r="D856" s="116"/>
    </row>
    <row r="857" spans="2:4" x14ac:dyDescent="0.2">
      <c r="B857" s="115"/>
      <c r="D857" s="116"/>
    </row>
    <row r="858" spans="2:4" x14ac:dyDescent="0.2">
      <c r="B858" s="115"/>
      <c r="D858" s="116"/>
    </row>
    <row r="859" spans="2:4" x14ac:dyDescent="0.2">
      <c r="B859" s="115"/>
      <c r="D859" s="116"/>
    </row>
    <row r="860" spans="2:4" x14ac:dyDescent="0.2">
      <c r="B860" s="115"/>
      <c r="D860" s="116"/>
    </row>
    <row r="861" spans="2:4" x14ac:dyDescent="0.2">
      <c r="B861" s="115"/>
      <c r="D861" s="116"/>
    </row>
    <row r="862" spans="2:4" x14ac:dyDescent="0.2">
      <c r="B862" s="115"/>
      <c r="D862" s="116"/>
    </row>
    <row r="863" spans="2:4" x14ac:dyDescent="0.2">
      <c r="B863" s="115"/>
      <c r="D863" s="116"/>
    </row>
    <row r="864" spans="2:4" x14ac:dyDescent="0.2">
      <c r="B864" s="115"/>
      <c r="D864" s="116"/>
    </row>
    <row r="865" spans="2:4" x14ac:dyDescent="0.2">
      <c r="B865" s="115"/>
      <c r="D865" s="116"/>
    </row>
    <row r="866" spans="2:4" x14ac:dyDescent="0.2">
      <c r="B866" s="115"/>
      <c r="D866" s="116"/>
    </row>
    <row r="867" spans="2:4" x14ac:dyDescent="0.2">
      <c r="B867" s="115"/>
      <c r="D867" s="116"/>
    </row>
    <row r="868" spans="2:4" x14ac:dyDescent="0.2">
      <c r="B868" s="115"/>
      <c r="D868" s="116"/>
    </row>
    <row r="869" spans="2:4" x14ac:dyDescent="0.2">
      <c r="B869" s="115"/>
      <c r="D869" s="116"/>
    </row>
    <row r="870" spans="2:4" x14ac:dyDescent="0.2">
      <c r="B870" s="115"/>
      <c r="D870" s="116"/>
    </row>
    <row r="871" spans="2:4" x14ac:dyDescent="0.2">
      <c r="B871" s="115"/>
      <c r="D871" s="116"/>
    </row>
    <row r="872" spans="2:4" x14ac:dyDescent="0.2">
      <c r="B872" s="115"/>
      <c r="D872" s="116"/>
    </row>
    <row r="873" spans="2:4" x14ac:dyDescent="0.2">
      <c r="B873" s="115"/>
      <c r="D873" s="116"/>
    </row>
    <row r="874" spans="2:4" x14ac:dyDescent="0.2">
      <c r="B874" s="115"/>
      <c r="D874" s="116"/>
    </row>
    <row r="875" spans="2:4" x14ac:dyDescent="0.2">
      <c r="B875" s="115"/>
      <c r="D875" s="116"/>
    </row>
    <row r="876" spans="2:4" x14ac:dyDescent="0.2">
      <c r="B876" s="115"/>
      <c r="D876" s="116"/>
    </row>
    <row r="877" spans="2:4" x14ac:dyDescent="0.2">
      <c r="B877" s="115"/>
      <c r="D877" s="116"/>
    </row>
    <row r="878" spans="2:4" x14ac:dyDescent="0.2">
      <c r="B878" s="115"/>
      <c r="D878" s="116"/>
    </row>
    <row r="879" spans="2:4" x14ac:dyDescent="0.2">
      <c r="B879" s="115"/>
      <c r="D879" s="116"/>
    </row>
    <row r="880" spans="2:4" x14ac:dyDescent="0.2">
      <c r="B880" s="115"/>
      <c r="D880" s="116"/>
    </row>
    <row r="881" spans="2:4" x14ac:dyDescent="0.2">
      <c r="B881" s="115"/>
      <c r="D881" s="116"/>
    </row>
    <row r="882" spans="2:4" x14ac:dyDescent="0.2">
      <c r="B882" s="115"/>
      <c r="D882" s="116"/>
    </row>
    <row r="883" spans="2:4" x14ac:dyDescent="0.2">
      <c r="B883" s="115"/>
      <c r="D883" s="116"/>
    </row>
    <row r="884" spans="2:4" x14ac:dyDescent="0.2">
      <c r="B884" s="115"/>
      <c r="D884" s="116"/>
    </row>
    <row r="885" spans="2:4" x14ac:dyDescent="0.2">
      <c r="B885" s="115"/>
      <c r="D885" s="116"/>
    </row>
    <row r="886" spans="2:4" x14ac:dyDescent="0.2">
      <c r="B886" s="115"/>
      <c r="D886" s="116"/>
    </row>
    <row r="887" spans="2:4" x14ac:dyDescent="0.2">
      <c r="B887" s="115"/>
      <c r="D887" s="116"/>
    </row>
    <row r="888" spans="2:4" x14ac:dyDescent="0.2">
      <c r="B888" s="115"/>
      <c r="D888" s="116"/>
    </row>
    <row r="889" spans="2:4" x14ac:dyDescent="0.2">
      <c r="B889" s="115"/>
      <c r="D889" s="116"/>
    </row>
    <row r="890" spans="2:4" x14ac:dyDescent="0.2">
      <c r="B890" s="115"/>
      <c r="D890" s="116"/>
    </row>
    <row r="891" spans="2:4" x14ac:dyDescent="0.2">
      <c r="B891" s="115"/>
      <c r="D891" s="116"/>
    </row>
    <row r="892" spans="2:4" x14ac:dyDescent="0.2">
      <c r="B892" s="115"/>
      <c r="D892" s="116"/>
    </row>
    <row r="893" spans="2:4" x14ac:dyDescent="0.2">
      <c r="B893" s="115"/>
      <c r="D893" s="116"/>
    </row>
    <row r="894" spans="2:4" x14ac:dyDescent="0.2">
      <c r="B894" s="115"/>
      <c r="D894" s="116"/>
    </row>
    <row r="895" spans="2:4" x14ac:dyDescent="0.2">
      <c r="B895" s="115"/>
      <c r="D895" s="116"/>
    </row>
    <row r="896" spans="2:4" x14ac:dyDescent="0.2">
      <c r="B896" s="115"/>
      <c r="D896" s="116"/>
    </row>
    <row r="897" spans="2:4" x14ac:dyDescent="0.2">
      <c r="B897" s="115"/>
      <c r="D897" s="116"/>
    </row>
    <row r="898" spans="2:4" x14ac:dyDescent="0.2">
      <c r="B898" s="115"/>
      <c r="D898" s="116"/>
    </row>
    <row r="899" spans="2:4" x14ac:dyDescent="0.2">
      <c r="B899" s="115"/>
      <c r="D899" s="116"/>
    </row>
    <row r="900" spans="2:4" x14ac:dyDescent="0.2">
      <c r="B900" s="115"/>
      <c r="D900" s="116"/>
    </row>
    <row r="901" spans="2:4" x14ac:dyDescent="0.2">
      <c r="B901" s="115"/>
      <c r="D901" s="116"/>
    </row>
    <row r="902" spans="2:4" x14ac:dyDescent="0.2">
      <c r="B902" s="115"/>
      <c r="D902" s="116"/>
    </row>
    <row r="903" spans="2:4" x14ac:dyDescent="0.2">
      <c r="B903" s="115"/>
      <c r="D903" s="116"/>
    </row>
    <row r="904" spans="2:4" x14ac:dyDescent="0.2">
      <c r="B904" s="115"/>
      <c r="D904" s="116"/>
    </row>
    <row r="905" spans="2:4" x14ac:dyDescent="0.2">
      <c r="B905" s="115"/>
      <c r="D905" s="116"/>
    </row>
    <row r="906" spans="2:4" x14ac:dyDescent="0.2">
      <c r="B906" s="115"/>
      <c r="D906" s="116"/>
    </row>
    <row r="907" spans="2:4" x14ac:dyDescent="0.2">
      <c r="B907" s="115"/>
      <c r="D907" s="116"/>
    </row>
    <row r="908" spans="2:4" x14ac:dyDescent="0.2">
      <c r="B908" s="115"/>
      <c r="D908" s="116"/>
    </row>
    <row r="909" spans="2:4" x14ac:dyDescent="0.2">
      <c r="B909" s="115"/>
      <c r="D909" s="116"/>
    </row>
    <row r="910" spans="2:4" x14ac:dyDescent="0.2">
      <c r="B910" s="115"/>
      <c r="D910" s="116"/>
    </row>
    <row r="911" spans="2:4" x14ac:dyDescent="0.2">
      <c r="B911" s="115"/>
      <c r="D911" s="116"/>
    </row>
    <row r="912" spans="2:4" x14ac:dyDescent="0.2">
      <c r="B912" s="115"/>
      <c r="D912" s="116"/>
    </row>
    <row r="913" spans="2:4" x14ac:dyDescent="0.2">
      <c r="B913" s="115"/>
      <c r="D913" s="116"/>
    </row>
    <row r="914" spans="2:4" x14ac:dyDescent="0.2">
      <c r="B914" s="115"/>
      <c r="D914" s="116"/>
    </row>
    <row r="915" spans="2:4" x14ac:dyDescent="0.2">
      <c r="B915" s="115"/>
      <c r="D915" s="116"/>
    </row>
    <row r="916" spans="2:4" x14ac:dyDescent="0.2">
      <c r="B916" s="115"/>
      <c r="D916" s="116"/>
    </row>
    <row r="917" spans="2:4" x14ac:dyDescent="0.2">
      <c r="B917" s="115"/>
      <c r="D917" s="116"/>
    </row>
    <row r="918" spans="2:4" x14ac:dyDescent="0.2">
      <c r="B918" s="115"/>
      <c r="D918" s="116"/>
    </row>
    <row r="919" spans="2:4" x14ac:dyDescent="0.2">
      <c r="B919" s="115"/>
      <c r="D919" s="116"/>
    </row>
    <row r="920" spans="2:4" x14ac:dyDescent="0.2">
      <c r="B920" s="115"/>
      <c r="D920" s="116"/>
    </row>
    <row r="921" spans="2:4" x14ac:dyDescent="0.2">
      <c r="B921" s="115"/>
      <c r="D921" s="116"/>
    </row>
    <row r="922" spans="2:4" x14ac:dyDescent="0.2">
      <c r="B922" s="115"/>
      <c r="D922" s="116"/>
    </row>
    <row r="923" spans="2:4" x14ac:dyDescent="0.2">
      <c r="B923" s="115"/>
      <c r="D923" s="116"/>
    </row>
    <row r="924" spans="2:4" x14ac:dyDescent="0.2">
      <c r="B924" s="115"/>
      <c r="D924" s="116"/>
    </row>
    <row r="925" spans="2:4" x14ac:dyDescent="0.2">
      <c r="B925" s="115"/>
      <c r="D925" s="116"/>
    </row>
    <row r="926" spans="2:4" x14ac:dyDescent="0.2">
      <c r="B926" s="115"/>
      <c r="D926" s="116"/>
    </row>
    <row r="927" spans="2:4" x14ac:dyDescent="0.2">
      <c r="B927" s="115"/>
      <c r="D927" s="116"/>
    </row>
    <row r="928" spans="2:4" x14ac:dyDescent="0.2">
      <c r="B928" s="115"/>
      <c r="D928" s="116"/>
    </row>
    <row r="929" spans="2:4" x14ac:dyDescent="0.2">
      <c r="B929" s="115"/>
      <c r="D929" s="116"/>
    </row>
    <row r="930" spans="2:4" x14ac:dyDescent="0.2">
      <c r="B930" s="115"/>
      <c r="D930" s="116"/>
    </row>
    <row r="931" spans="2:4" x14ac:dyDescent="0.2">
      <c r="B931" s="115"/>
      <c r="D931" s="116"/>
    </row>
    <row r="932" spans="2:4" x14ac:dyDescent="0.2">
      <c r="B932" s="115"/>
      <c r="D932" s="116"/>
    </row>
    <row r="933" spans="2:4" x14ac:dyDescent="0.2">
      <c r="B933" s="115"/>
      <c r="D933" s="116"/>
    </row>
    <row r="934" spans="2:4" x14ac:dyDescent="0.2">
      <c r="B934" s="115"/>
      <c r="D934" s="116"/>
    </row>
    <row r="935" spans="2:4" x14ac:dyDescent="0.2">
      <c r="B935" s="115"/>
      <c r="D935" s="116"/>
    </row>
    <row r="936" spans="2:4" x14ac:dyDescent="0.2">
      <c r="B936" s="115"/>
      <c r="D936" s="116"/>
    </row>
    <row r="937" spans="2:4" x14ac:dyDescent="0.2">
      <c r="B937" s="115"/>
      <c r="D937" s="116"/>
    </row>
    <row r="938" spans="2:4" x14ac:dyDescent="0.2">
      <c r="B938" s="115"/>
      <c r="D938" s="116"/>
    </row>
    <row r="939" spans="2:4" x14ac:dyDescent="0.2">
      <c r="B939" s="115"/>
      <c r="D939" s="116"/>
    </row>
    <row r="940" spans="2:4" x14ac:dyDescent="0.2">
      <c r="B940" s="115"/>
      <c r="D940" s="116"/>
    </row>
    <row r="941" spans="2:4" x14ac:dyDescent="0.2">
      <c r="B941" s="115"/>
      <c r="D941" s="116"/>
    </row>
    <row r="942" spans="2:4" x14ac:dyDescent="0.2">
      <c r="B942" s="115"/>
      <c r="D942" s="116"/>
    </row>
    <row r="943" spans="2:4" x14ac:dyDescent="0.2">
      <c r="B943" s="115"/>
      <c r="D943" s="116"/>
    </row>
    <row r="944" spans="2:4" x14ac:dyDescent="0.2">
      <c r="B944" s="115"/>
      <c r="D944" s="116"/>
    </row>
    <row r="945" spans="2:4" x14ac:dyDescent="0.2">
      <c r="B945" s="115"/>
      <c r="D945" s="116"/>
    </row>
    <row r="946" spans="2:4" x14ac:dyDescent="0.2">
      <c r="B946" s="115"/>
      <c r="D946" s="116"/>
    </row>
    <row r="947" spans="2:4" x14ac:dyDescent="0.2">
      <c r="B947" s="115"/>
      <c r="D947" s="116"/>
    </row>
    <row r="948" spans="2:4" x14ac:dyDescent="0.2">
      <c r="B948" s="115"/>
      <c r="D948" s="116"/>
    </row>
    <row r="949" spans="2:4" x14ac:dyDescent="0.2">
      <c r="B949" s="115"/>
      <c r="D949" s="116"/>
    </row>
    <row r="950" spans="2:4" x14ac:dyDescent="0.2">
      <c r="B950" s="115"/>
      <c r="D950" s="116"/>
    </row>
    <row r="951" spans="2:4" x14ac:dyDescent="0.2">
      <c r="B951" s="115"/>
      <c r="D951" s="116"/>
    </row>
    <row r="952" spans="2:4" x14ac:dyDescent="0.2">
      <c r="B952" s="115"/>
      <c r="D952" s="116"/>
    </row>
    <row r="953" spans="2:4" x14ac:dyDescent="0.2">
      <c r="B953" s="115"/>
      <c r="D953" s="116"/>
    </row>
    <row r="954" spans="2:4" x14ac:dyDescent="0.2">
      <c r="B954" s="115"/>
      <c r="D954" s="116"/>
    </row>
    <row r="955" spans="2:4" x14ac:dyDescent="0.2">
      <c r="B955" s="115"/>
      <c r="D955" s="116"/>
    </row>
    <row r="956" spans="2:4" x14ac:dyDescent="0.2">
      <c r="B956" s="115"/>
      <c r="D956" s="116"/>
    </row>
    <row r="957" spans="2:4" x14ac:dyDescent="0.2">
      <c r="B957" s="115"/>
      <c r="D957" s="116"/>
    </row>
    <row r="958" spans="2:4" x14ac:dyDescent="0.2">
      <c r="B958" s="115"/>
      <c r="D958" s="116"/>
    </row>
    <row r="959" spans="2:4" x14ac:dyDescent="0.2">
      <c r="B959" s="115"/>
      <c r="D959" s="116"/>
    </row>
    <row r="960" spans="2:4" x14ac:dyDescent="0.2">
      <c r="B960" s="115"/>
      <c r="D960" s="116"/>
    </row>
    <row r="961" spans="2:4" x14ac:dyDescent="0.2">
      <c r="B961" s="115"/>
      <c r="D961" s="116"/>
    </row>
    <row r="962" spans="2:4" x14ac:dyDescent="0.2">
      <c r="B962" s="115"/>
      <c r="D962" s="116"/>
    </row>
    <row r="963" spans="2:4" x14ac:dyDescent="0.2">
      <c r="B963" s="115"/>
      <c r="D963" s="116"/>
    </row>
    <row r="964" spans="2:4" x14ac:dyDescent="0.2">
      <c r="B964" s="115"/>
      <c r="D964" s="116"/>
    </row>
    <row r="965" spans="2:4" x14ac:dyDescent="0.2">
      <c r="B965" s="115"/>
      <c r="D965" s="116"/>
    </row>
    <row r="966" spans="2:4" x14ac:dyDescent="0.2">
      <c r="B966" s="115"/>
      <c r="D966" s="116"/>
    </row>
    <row r="967" spans="2:4" x14ac:dyDescent="0.2">
      <c r="B967" s="115"/>
      <c r="D967" s="116"/>
    </row>
    <row r="968" spans="2:4" x14ac:dyDescent="0.2">
      <c r="B968" s="115"/>
      <c r="D968" s="116"/>
    </row>
    <row r="969" spans="2:4" x14ac:dyDescent="0.2">
      <c r="B969" s="115"/>
      <c r="D969" s="116"/>
    </row>
    <row r="970" spans="2:4" x14ac:dyDescent="0.2">
      <c r="B970" s="115"/>
      <c r="D970" s="116"/>
    </row>
    <row r="971" spans="2:4" x14ac:dyDescent="0.2">
      <c r="B971" s="115"/>
      <c r="D971" s="116"/>
    </row>
    <row r="972" spans="2:4" x14ac:dyDescent="0.2">
      <c r="B972" s="115"/>
      <c r="D972" s="116"/>
    </row>
    <row r="973" spans="2:4" x14ac:dyDescent="0.2">
      <c r="B973" s="115"/>
      <c r="D973" s="116"/>
    </row>
    <row r="974" spans="2:4" x14ac:dyDescent="0.2">
      <c r="B974" s="115"/>
      <c r="D974" s="116"/>
    </row>
    <row r="975" spans="2:4" x14ac:dyDescent="0.2">
      <c r="B975" s="115"/>
      <c r="D975" s="116"/>
    </row>
    <row r="976" spans="2:4" x14ac:dyDescent="0.2">
      <c r="B976" s="115"/>
      <c r="D976" s="116"/>
    </row>
    <row r="977" spans="2:4" x14ac:dyDescent="0.2">
      <c r="B977" s="115"/>
      <c r="D977" s="116"/>
    </row>
    <row r="978" spans="2:4" x14ac:dyDescent="0.2">
      <c r="B978" s="115"/>
      <c r="D978" s="116"/>
    </row>
    <row r="979" spans="2:4" x14ac:dyDescent="0.2">
      <c r="B979" s="115"/>
      <c r="D979" s="116"/>
    </row>
    <row r="980" spans="2:4" x14ac:dyDescent="0.2">
      <c r="B980" s="115"/>
      <c r="D980" s="116"/>
    </row>
    <row r="981" spans="2:4" x14ac:dyDescent="0.2">
      <c r="B981" s="115"/>
      <c r="D981" s="116"/>
    </row>
    <row r="982" spans="2:4" x14ac:dyDescent="0.2">
      <c r="B982" s="115"/>
      <c r="D982" s="116"/>
    </row>
    <row r="983" spans="2:4" x14ac:dyDescent="0.2">
      <c r="B983" s="115"/>
      <c r="D983" s="116"/>
    </row>
    <row r="984" spans="2:4" x14ac:dyDescent="0.2">
      <c r="B984" s="115"/>
      <c r="D984" s="116"/>
    </row>
    <row r="985" spans="2:4" x14ac:dyDescent="0.2">
      <c r="B985" s="115"/>
      <c r="D985" s="116"/>
    </row>
    <row r="986" spans="2:4" x14ac:dyDescent="0.2">
      <c r="B986" s="115"/>
      <c r="D986" s="116"/>
    </row>
    <row r="987" spans="2:4" x14ac:dyDescent="0.2">
      <c r="B987" s="115"/>
      <c r="D987" s="116"/>
    </row>
    <row r="988" spans="2:4" x14ac:dyDescent="0.2">
      <c r="B988" s="115"/>
      <c r="D988" s="116"/>
    </row>
    <row r="989" spans="2:4" x14ac:dyDescent="0.2">
      <c r="B989" s="115"/>
      <c r="D989" s="116"/>
    </row>
    <row r="990" spans="2:4" x14ac:dyDescent="0.2">
      <c r="B990" s="115"/>
      <c r="D990" s="116"/>
    </row>
    <row r="991" spans="2:4" x14ac:dyDescent="0.2">
      <c r="B991" s="115"/>
      <c r="D991" s="116"/>
    </row>
    <row r="992" spans="2:4" x14ac:dyDescent="0.2">
      <c r="B992" s="115"/>
      <c r="D992" s="116"/>
    </row>
    <row r="993" spans="2:4" x14ac:dyDescent="0.2">
      <c r="B993" s="115"/>
      <c r="D993" s="116"/>
    </row>
    <row r="994" spans="2:4" x14ac:dyDescent="0.2">
      <c r="B994" s="115"/>
      <c r="D994" s="116"/>
    </row>
    <row r="995" spans="2:4" x14ac:dyDescent="0.2">
      <c r="B995" s="115"/>
      <c r="D995" s="116"/>
    </row>
    <row r="996" spans="2:4" x14ac:dyDescent="0.2">
      <c r="B996" s="115"/>
      <c r="D996" s="116"/>
    </row>
    <row r="997" spans="2:4" x14ac:dyDescent="0.2">
      <c r="B997" s="115"/>
      <c r="D997" s="116"/>
    </row>
    <row r="998" spans="2:4" x14ac:dyDescent="0.2">
      <c r="B998" s="115"/>
      <c r="D998" s="116"/>
    </row>
    <row r="999" spans="2:4" x14ac:dyDescent="0.2">
      <c r="B999" s="115"/>
      <c r="D999" s="116"/>
    </row>
    <row r="1000" spans="2:4" x14ac:dyDescent="0.2">
      <c r="B1000" s="115"/>
      <c r="D1000" s="116"/>
    </row>
    <row r="1001" spans="2:4" x14ac:dyDescent="0.2">
      <c r="B1001" s="115"/>
      <c r="D1001" s="116"/>
    </row>
    <row r="1002" spans="2:4" x14ac:dyDescent="0.2">
      <c r="B1002" s="115"/>
      <c r="D1002" s="116"/>
    </row>
    <row r="1003" spans="2:4" x14ac:dyDescent="0.2">
      <c r="B1003" s="115"/>
      <c r="D1003" s="116"/>
    </row>
    <row r="1004" spans="2:4" x14ac:dyDescent="0.2">
      <c r="B1004" s="115"/>
      <c r="D1004" s="116"/>
    </row>
    <row r="1005" spans="2:4" x14ac:dyDescent="0.2">
      <c r="B1005" s="115"/>
      <c r="D1005" s="116"/>
    </row>
    <row r="1006" spans="2:4" x14ac:dyDescent="0.2">
      <c r="B1006" s="115"/>
      <c r="D1006" s="116"/>
    </row>
    <row r="1007" spans="2:4" x14ac:dyDescent="0.2">
      <c r="B1007" s="115"/>
      <c r="D1007" s="116"/>
    </row>
    <row r="1008" spans="2:4" x14ac:dyDescent="0.2">
      <c r="B1008" s="115"/>
      <c r="D1008" s="116"/>
    </row>
    <row r="1009" spans="2:4" x14ac:dyDescent="0.2">
      <c r="B1009" s="115"/>
      <c r="D1009" s="116"/>
    </row>
    <row r="1010" spans="2:4" x14ac:dyDescent="0.2">
      <c r="B1010" s="115"/>
      <c r="D1010" s="116"/>
    </row>
    <row r="1011" spans="2:4" x14ac:dyDescent="0.2">
      <c r="B1011" s="115"/>
      <c r="D1011" s="116"/>
    </row>
    <row r="1012" spans="2:4" x14ac:dyDescent="0.2">
      <c r="B1012" s="115"/>
      <c r="D1012" s="116"/>
    </row>
    <row r="1013" spans="2:4" x14ac:dyDescent="0.2">
      <c r="B1013" s="115"/>
      <c r="D1013" s="116"/>
    </row>
    <row r="1014" spans="2:4" x14ac:dyDescent="0.2">
      <c r="B1014" s="115"/>
      <c r="D1014" s="116"/>
    </row>
    <row r="1015" spans="2:4" x14ac:dyDescent="0.2">
      <c r="B1015" s="115"/>
      <c r="D1015" s="116"/>
    </row>
    <row r="1016" spans="2:4" x14ac:dyDescent="0.2">
      <c r="B1016" s="115"/>
      <c r="D1016" s="116"/>
    </row>
    <row r="1017" spans="2:4" x14ac:dyDescent="0.2">
      <c r="B1017" s="115"/>
      <c r="D1017" s="116"/>
    </row>
    <row r="1018" spans="2:4" x14ac:dyDescent="0.2">
      <c r="B1018" s="115"/>
      <c r="D1018" s="116"/>
    </row>
    <row r="1019" spans="2:4" x14ac:dyDescent="0.2">
      <c r="B1019" s="115"/>
      <c r="D1019" s="116"/>
    </row>
    <row r="1020" spans="2:4" x14ac:dyDescent="0.2">
      <c r="B1020" s="115"/>
      <c r="D1020" s="116"/>
    </row>
    <row r="1021" spans="2:4" x14ac:dyDescent="0.2">
      <c r="B1021" s="115"/>
      <c r="D1021" s="116"/>
    </row>
    <row r="1022" spans="2:4" x14ac:dyDescent="0.2">
      <c r="B1022" s="115"/>
      <c r="D1022" s="116"/>
    </row>
    <row r="1023" spans="2:4" x14ac:dyDescent="0.2">
      <c r="B1023" s="115"/>
      <c r="D1023" s="116"/>
    </row>
    <row r="1024" spans="2:4" x14ac:dyDescent="0.2">
      <c r="B1024" s="115"/>
      <c r="D1024" s="116"/>
    </row>
    <row r="1025" spans="2:4" x14ac:dyDescent="0.2">
      <c r="B1025" s="115"/>
      <c r="D1025" s="116"/>
    </row>
    <row r="1026" spans="2:4" x14ac:dyDescent="0.2">
      <c r="B1026" s="115"/>
      <c r="D1026" s="116"/>
    </row>
    <row r="1027" spans="2:4" x14ac:dyDescent="0.2">
      <c r="B1027" s="115"/>
      <c r="D1027" s="116"/>
    </row>
    <row r="1028" spans="2:4" x14ac:dyDescent="0.2">
      <c r="B1028" s="115"/>
      <c r="D1028" s="116"/>
    </row>
    <row r="1029" spans="2:4" x14ac:dyDescent="0.2">
      <c r="B1029" s="115"/>
      <c r="D1029" s="116"/>
    </row>
    <row r="1030" spans="2:4" x14ac:dyDescent="0.2">
      <c r="B1030" s="115"/>
      <c r="D1030" s="116"/>
    </row>
    <row r="1031" spans="2:4" x14ac:dyDescent="0.2">
      <c r="B1031" s="115"/>
      <c r="D1031" s="116"/>
    </row>
    <row r="1032" spans="2:4" x14ac:dyDescent="0.2">
      <c r="B1032" s="115"/>
      <c r="D1032" s="116"/>
    </row>
    <row r="1033" spans="2:4" x14ac:dyDescent="0.2">
      <c r="B1033" s="115"/>
      <c r="D1033" s="116"/>
    </row>
    <row r="1034" spans="2:4" x14ac:dyDescent="0.2">
      <c r="B1034" s="115"/>
      <c r="D1034" s="116"/>
    </row>
    <row r="1035" spans="2:4" x14ac:dyDescent="0.2">
      <c r="B1035" s="115"/>
      <c r="D1035" s="116"/>
    </row>
    <row r="1036" spans="2:4" x14ac:dyDescent="0.2">
      <c r="B1036" s="115"/>
      <c r="D1036" s="116"/>
    </row>
    <row r="1037" spans="2:4" x14ac:dyDescent="0.2">
      <c r="B1037" s="115"/>
      <c r="D1037" s="116"/>
    </row>
    <row r="1038" spans="2:4" x14ac:dyDescent="0.2">
      <c r="B1038" s="115"/>
      <c r="D1038" s="116"/>
    </row>
    <row r="1039" spans="2:4" x14ac:dyDescent="0.2">
      <c r="B1039" s="115"/>
      <c r="D1039" s="116"/>
    </row>
    <row r="1040" spans="2:4" x14ac:dyDescent="0.2">
      <c r="B1040" s="115"/>
      <c r="D1040" s="116"/>
    </row>
    <row r="1041" spans="2:4" x14ac:dyDescent="0.2">
      <c r="B1041" s="115"/>
      <c r="D1041" s="116"/>
    </row>
    <row r="1042" spans="2:4" x14ac:dyDescent="0.2">
      <c r="B1042" s="115"/>
      <c r="D1042" s="116"/>
    </row>
    <row r="1043" spans="2:4" x14ac:dyDescent="0.2">
      <c r="B1043" s="115"/>
      <c r="D1043" s="116"/>
    </row>
    <row r="1044" spans="2:4" x14ac:dyDescent="0.2">
      <c r="B1044" s="115"/>
      <c r="D1044" s="116"/>
    </row>
    <row r="1045" spans="2:4" x14ac:dyDescent="0.2">
      <c r="B1045" s="115"/>
      <c r="D1045" s="116"/>
    </row>
    <row r="1046" spans="2:4" x14ac:dyDescent="0.2">
      <c r="B1046" s="115"/>
      <c r="D1046" s="116"/>
    </row>
    <row r="1047" spans="2:4" x14ac:dyDescent="0.2">
      <c r="B1047" s="115"/>
      <c r="D1047" s="116"/>
    </row>
    <row r="1048" spans="2:4" x14ac:dyDescent="0.2">
      <c r="B1048" s="115"/>
      <c r="D1048" s="116"/>
    </row>
    <row r="1049" spans="2:4" x14ac:dyDescent="0.2">
      <c r="B1049" s="115"/>
      <c r="D1049" s="116"/>
    </row>
    <row r="1050" spans="2:4" x14ac:dyDescent="0.2">
      <c r="B1050" s="115"/>
      <c r="D1050" s="116"/>
    </row>
    <row r="1051" spans="2:4" x14ac:dyDescent="0.2">
      <c r="B1051" s="115"/>
      <c r="D1051" s="116"/>
    </row>
    <row r="1052" spans="2:4" x14ac:dyDescent="0.2">
      <c r="B1052" s="115"/>
      <c r="D1052" s="116"/>
    </row>
    <row r="1053" spans="2:4" x14ac:dyDescent="0.2">
      <c r="B1053" s="115"/>
      <c r="D1053" s="116"/>
    </row>
    <row r="1054" spans="2:4" x14ac:dyDescent="0.2">
      <c r="B1054" s="115"/>
      <c r="D1054" s="116"/>
    </row>
    <row r="1055" spans="2:4" x14ac:dyDescent="0.2">
      <c r="B1055" s="115"/>
      <c r="D1055" s="116"/>
    </row>
    <row r="1056" spans="2:4" x14ac:dyDescent="0.2">
      <c r="B1056" s="115"/>
      <c r="D1056" s="116"/>
    </row>
    <row r="1057" spans="2:4" x14ac:dyDescent="0.2">
      <c r="B1057" s="115"/>
      <c r="D1057" s="116"/>
    </row>
    <row r="1058" spans="2:4" x14ac:dyDescent="0.2">
      <c r="B1058" s="115"/>
      <c r="D1058" s="116"/>
    </row>
    <row r="1059" spans="2:4" x14ac:dyDescent="0.2">
      <c r="B1059" s="115"/>
      <c r="D1059" s="116"/>
    </row>
    <row r="1060" spans="2:4" x14ac:dyDescent="0.2">
      <c r="B1060" s="115"/>
      <c r="D1060" s="116"/>
    </row>
    <row r="1061" spans="2:4" x14ac:dyDescent="0.2">
      <c r="B1061" s="115"/>
      <c r="D1061" s="116"/>
    </row>
    <row r="1062" spans="2:4" x14ac:dyDescent="0.2">
      <c r="B1062" s="115"/>
      <c r="D1062" s="116"/>
    </row>
    <row r="1063" spans="2:4" x14ac:dyDescent="0.2">
      <c r="B1063" s="115"/>
      <c r="D1063" s="116"/>
    </row>
    <row r="1064" spans="2:4" x14ac:dyDescent="0.2">
      <c r="B1064" s="115"/>
      <c r="D1064" s="116"/>
    </row>
    <row r="1065" spans="2:4" x14ac:dyDescent="0.2">
      <c r="B1065" s="115"/>
      <c r="D1065" s="116"/>
    </row>
    <row r="1066" spans="2:4" x14ac:dyDescent="0.2">
      <c r="B1066" s="115"/>
      <c r="D1066" s="116"/>
    </row>
    <row r="1067" spans="2:4" x14ac:dyDescent="0.2">
      <c r="B1067" s="115"/>
      <c r="D1067" s="116"/>
    </row>
    <row r="1068" spans="2:4" x14ac:dyDescent="0.2">
      <c r="B1068" s="115"/>
      <c r="D1068" s="116"/>
    </row>
    <row r="1069" spans="2:4" x14ac:dyDescent="0.2">
      <c r="B1069" s="115"/>
      <c r="D1069" s="116"/>
    </row>
    <row r="1070" spans="2:4" x14ac:dyDescent="0.2">
      <c r="B1070" s="115"/>
      <c r="D1070" s="116"/>
    </row>
    <row r="1071" spans="2:4" x14ac:dyDescent="0.2">
      <c r="B1071" s="115"/>
      <c r="D1071" s="116"/>
    </row>
    <row r="1072" spans="2:4" x14ac:dyDescent="0.2">
      <c r="B1072" s="115"/>
      <c r="D1072" s="116"/>
    </row>
    <row r="1073" spans="2:4" x14ac:dyDescent="0.2">
      <c r="B1073" s="115"/>
      <c r="D1073" s="116"/>
    </row>
    <row r="1074" spans="2:4" x14ac:dyDescent="0.2">
      <c r="B1074" s="115"/>
      <c r="D1074" s="116"/>
    </row>
    <row r="1075" spans="2:4" x14ac:dyDescent="0.2">
      <c r="B1075" s="115"/>
      <c r="D1075" s="116"/>
    </row>
    <row r="1076" spans="2:4" x14ac:dyDescent="0.2">
      <c r="B1076" s="115"/>
      <c r="D1076" s="116"/>
    </row>
    <row r="1077" spans="2:4" x14ac:dyDescent="0.2">
      <c r="B1077" s="115"/>
      <c r="D1077" s="116"/>
    </row>
    <row r="1078" spans="2:4" x14ac:dyDescent="0.2">
      <c r="B1078" s="115"/>
      <c r="D1078" s="116"/>
    </row>
    <row r="1079" spans="2:4" x14ac:dyDescent="0.2">
      <c r="B1079" s="115"/>
      <c r="D1079" s="116"/>
    </row>
    <row r="1080" spans="2:4" x14ac:dyDescent="0.2">
      <c r="B1080" s="115"/>
      <c r="D1080" s="116"/>
    </row>
    <row r="1081" spans="2:4" x14ac:dyDescent="0.2">
      <c r="B1081" s="115"/>
      <c r="D1081" s="116"/>
    </row>
    <row r="1082" spans="2:4" x14ac:dyDescent="0.2">
      <c r="B1082" s="115"/>
      <c r="D1082" s="116"/>
    </row>
    <row r="1083" spans="2:4" x14ac:dyDescent="0.2">
      <c r="B1083" s="115"/>
      <c r="D1083" s="116"/>
    </row>
    <row r="1084" spans="2:4" x14ac:dyDescent="0.2">
      <c r="B1084" s="115"/>
      <c r="D1084" s="116"/>
    </row>
    <row r="1085" spans="2:4" x14ac:dyDescent="0.2">
      <c r="B1085" s="115"/>
      <c r="D1085" s="116"/>
    </row>
    <row r="1086" spans="2:4" x14ac:dyDescent="0.2">
      <c r="B1086" s="115"/>
      <c r="D1086" s="116"/>
    </row>
    <row r="1087" spans="2:4" x14ac:dyDescent="0.2">
      <c r="B1087" s="115"/>
      <c r="D1087" s="116"/>
    </row>
    <row r="1088" spans="2:4" x14ac:dyDescent="0.2">
      <c r="B1088" s="115"/>
      <c r="D1088" s="116"/>
    </row>
    <row r="1089" spans="2:4" x14ac:dyDescent="0.2">
      <c r="B1089" s="115"/>
      <c r="D1089" s="116"/>
    </row>
    <row r="1090" spans="2:4" x14ac:dyDescent="0.2">
      <c r="B1090" s="115"/>
      <c r="D1090" s="116"/>
    </row>
    <row r="1091" spans="2:4" x14ac:dyDescent="0.2">
      <c r="B1091" s="115"/>
      <c r="D1091" s="116"/>
    </row>
    <row r="1092" spans="2:4" x14ac:dyDescent="0.2">
      <c r="B1092" s="115"/>
      <c r="D1092" s="116"/>
    </row>
    <row r="1093" spans="2:4" x14ac:dyDescent="0.2">
      <c r="B1093" s="115"/>
      <c r="D1093" s="116"/>
    </row>
    <row r="1094" spans="2:4" x14ac:dyDescent="0.2">
      <c r="B1094" s="115"/>
      <c r="D1094" s="116"/>
    </row>
    <row r="1095" spans="2:4" x14ac:dyDescent="0.2">
      <c r="B1095" s="115"/>
      <c r="D1095" s="116"/>
    </row>
    <row r="1096" spans="2:4" x14ac:dyDescent="0.2">
      <c r="B1096" s="115"/>
      <c r="D1096" s="116"/>
    </row>
    <row r="1097" spans="2:4" x14ac:dyDescent="0.2">
      <c r="B1097" s="115"/>
      <c r="D1097" s="116"/>
    </row>
    <row r="1098" spans="2:4" x14ac:dyDescent="0.2">
      <c r="B1098" s="115"/>
      <c r="D1098" s="116"/>
    </row>
    <row r="1099" spans="2:4" x14ac:dyDescent="0.2">
      <c r="B1099" s="115"/>
      <c r="D1099" s="116"/>
    </row>
    <row r="1100" spans="2:4" x14ac:dyDescent="0.2">
      <c r="B1100" s="115"/>
      <c r="D1100" s="116"/>
    </row>
    <row r="1101" spans="2:4" x14ac:dyDescent="0.2">
      <c r="B1101" s="115"/>
      <c r="D1101" s="116"/>
    </row>
    <row r="1102" spans="2:4" x14ac:dyDescent="0.2">
      <c r="B1102" s="115"/>
      <c r="D1102" s="116"/>
    </row>
    <row r="1103" spans="2:4" x14ac:dyDescent="0.2">
      <c r="B1103" s="115"/>
      <c r="D1103" s="116"/>
    </row>
    <row r="1104" spans="2:4" x14ac:dyDescent="0.2">
      <c r="B1104" s="115"/>
      <c r="D1104" s="116"/>
    </row>
    <row r="1105" spans="2:4" x14ac:dyDescent="0.2">
      <c r="B1105" s="115"/>
      <c r="D1105" s="116"/>
    </row>
    <row r="1106" spans="2:4" x14ac:dyDescent="0.2">
      <c r="B1106" s="115"/>
      <c r="D1106" s="116"/>
    </row>
    <row r="1107" spans="2:4" x14ac:dyDescent="0.2">
      <c r="B1107" s="115"/>
      <c r="D1107" s="116"/>
    </row>
    <row r="1108" spans="2:4" x14ac:dyDescent="0.2">
      <c r="B1108" s="115"/>
      <c r="D1108" s="116"/>
    </row>
    <row r="1109" spans="2:4" x14ac:dyDescent="0.2">
      <c r="B1109" s="115"/>
      <c r="D1109" s="116"/>
    </row>
    <row r="1110" spans="2:4" x14ac:dyDescent="0.2">
      <c r="B1110" s="115"/>
      <c r="D1110" s="116"/>
    </row>
    <row r="1111" spans="2:4" x14ac:dyDescent="0.2">
      <c r="B1111" s="115"/>
      <c r="D1111" s="116"/>
    </row>
    <row r="1112" spans="2:4" x14ac:dyDescent="0.2">
      <c r="B1112" s="115"/>
      <c r="D1112" s="116"/>
    </row>
    <row r="1113" spans="2:4" x14ac:dyDescent="0.2">
      <c r="B1113" s="115"/>
      <c r="D1113" s="116"/>
    </row>
    <row r="1114" spans="2:4" x14ac:dyDescent="0.2">
      <c r="B1114" s="115"/>
      <c r="D1114" s="116"/>
    </row>
    <row r="1115" spans="2:4" x14ac:dyDescent="0.2">
      <c r="B1115" s="115"/>
      <c r="D1115" s="116"/>
    </row>
    <row r="1116" spans="2:4" x14ac:dyDescent="0.2">
      <c r="B1116" s="115"/>
      <c r="D1116" s="116"/>
    </row>
    <row r="1117" spans="2:4" x14ac:dyDescent="0.2">
      <c r="B1117" s="115"/>
      <c r="D1117" s="116"/>
    </row>
    <row r="1118" spans="2:4" x14ac:dyDescent="0.2">
      <c r="B1118" s="115"/>
      <c r="D1118" s="116"/>
    </row>
    <row r="1119" spans="2:4" x14ac:dyDescent="0.2">
      <c r="B1119" s="115"/>
      <c r="D1119" s="116"/>
    </row>
    <row r="1120" spans="2:4" x14ac:dyDescent="0.2">
      <c r="B1120" s="115"/>
      <c r="D1120" s="116"/>
    </row>
    <row r="1121" spans="2:4" x14ac:dyDescent="0.2">
      <c r="B1121" s="115"/>
      <c r="D1121" s="116"/>
    </row>
    <row r="1122" spans="2:4" x14ac:dyDescent="0.2">
      <c r="B1122" s="115"/>
      <c r="D1122" s="116"/>
    </row>
    <row r="1123" spans="2:4" x14ac:dyDescent="0.2">
      <c r="B1123" s="115"/>
      <c r="D1123" s="116"/>
    </row>
    <row r="1124" spans="2:4" x14ac:dyDescent="0.2">
      <c r="B1124" s="115"/>
      <c r="D1124" s="116"/>
    </row>
    <row r="1125" spans="2:4" x14ac:dyDescent="0.2">
      <c r="B1125" s="115"/>
      <c r="D1125" s="116"/>
    </row>
    <row r="1126" spans="2:4" x14ac:dyDescent="0.2">
      <c r="B1126" s="115"/>
      <c r="D1126" s="116"/>
    </row>
    <row r="1127" spans="2:4" x14ac:dyDescent="0.2">
      <c r="B1127" s="115"/>
      <c r="D1127" s="116"/>
    </row>
    <row r="1128" spans="2:4" x14ac:dyDescent="0.2">
      <c r="B1128" s="115"/>
      <c r="D1128" s="116"/>
    </row>
    <row r="1129" spans="2:4" x14ac:dyDescent="0.2">
      <c r="B1129" s="115"/>
      <c r="D1129" s="116"/>
    </row>
    <row r="1130" spans="2:4" x14ac:dyDescent="0.2">
      <c r="B1130" s="115"/>
      <c r="D1130" s="116"/>
    </row>
    <row r="1131" spans="2:4" x14ac:dyDescent="0.2">
      <c r="B1131" s="115"/>
      <c r="D1131" s="116"/>
    </row>
    <row r="1132" spans="2:4" x14ac:dyDescent="0.2">
      <c r="B1132" s="115"/>
      <c r="D1132" s="116"/>
    </row>
    <row r="1133" spans="2:4" x14ac:dyDescent="0.2">
      <c r="B1133" s="115"/>
      <c r="D1133" s="116"/>
    </row>
    <row r="1134" spans="2:4" x14ac:dyDescent="0.2">
      <c r="B1134" s="115"/>
      <c r="D1134" s="116"/>
    </row>
    <row r="1135" spans="2:4" x14ac:dyDescent="0.2">
      <c r="B1135" s="115"/>
      <c r="D1135" s="116"/>
    </row>
    <row r="1136" spans="2:4" x14ac:dyDescent="0.2">
      <c r="B1136" s="115"/>
      <c r="D1136" s="116"/>
    </row>
    <row r="1137" spans="2:4" x14ac:dyDescent="0.2">
      <c r="B1137" s="115"/>
      <c r="D1137" s="116"/>
    </row>
    <row r="1138" spans="2:4" x14ac:dyDescent="0.2">
      <c r="B1138" s="115"/>
      <c r="D1138" s="116"/>
    </row>
    <row r="1139" spans="2:4" x14ac:dyDescent="0.2">
      <c r="B1139" s="115"/>
      <c r="D1139" s="116"/>
    </row>
    <row r="1140" spans="2:4" x14ac:dyDescent="0.2">
      <c r="B1140" s="115"/>
      <c r="D1140" s="116"/>
    </row>
    <row r="1141" spans="2:4" x14ac:dyDescent="0.2">
      <c r="B1141" s="115"/>
      <c r="D1141" s="116"/>
    </row>
    <row r="1142" spans="2:4" x14ac:dyDescent="0.2">
      <c r="B1142" s="115"/>
      <c r="D1142" s="116"/>
    </row>
    <row r="1143" spans="2:4" x14ac:dyDescent="0.2">
      <c r="B1143" s="115"/>
      <c r="D1143" s="116"/>
    </row>
    <row r="1144" spans="2:4" x14ac:dyDescent="0.2">
      <c r="B1144" s="115"/>
      <c r="D1144" s="116"/>
    </row>
    <row r="1145" spans="2:4" x14ac:dyDescent="0.2">
      <c r="B1145" s="115"/>
      <c r="D1145" s="116"/>
    </row>
    <row r="1146" spans="2:4" x14ac:dyDescent="0.2">
      <c r="B1146" s="115"/>
      <c r="D1146" s="116"/>
    </row>
    <row r="1147" spans="2:4" x14ac:dyDescent="0.2">
      <c r="B1147" s="115"/>
      <c r="D1147" s="116"/>
    </row>
    <row r="1148" spans="2:4" x14ac:dyDescent="0.2">
      <c r="B1148" s="115"/>
      <c r="D1148" s="116"/>
    </row>
    <row r="1149" spans="2:4" x14ac:dyDescent="0.2">
      <c r="B1149" s="115"/>
      <c r="D1149" s="116"/>
    </row>
    <row r="1150" spans="2:4" x14ac:dyDescent="0.2">
      <c r="B1150" s="115"/>
      <c r="D1150" s="116"/>
    </row>
    <row r="1151" spans="2:4" x14ac:dyDescent="0.2">
      <c r="B1151" s="115"/>
      <c r="D1151" s="116"/>
    </row>
    <row r="1152" spans="2:4" x14ac:dyDescent="0.2">
      <c r="B1152" s="115"/>
      <c r="D1152" s="116"/>
    </row>
    <row r="1153" spans="2:4" x14ac:dyDescent="0.2">
      <c r="B1153" s="115"/>
      <c r="D1153" s="116"/>
    </row>
    <row r="1154" spans="2:4" x14ac:dyDescent="0.2">
      <c r="B1154" s="115"/>
      <c r="D1154" s="116"/>
    </row>
    <row r="1155" spans="2:4" x14ac:dyDescent="0.2">
      <c r="B1155" s="115"/>
      <c r="D1155" s="116"/>
    </row>
    <row r="1156" spans="2:4" x14ac:dyDescent="0.2">
      <c r="B1156" s="115"/>
      <c r="D1156" s="116"/>
    </row>
    <row r="1157" spans="2:4" x14ac:dyDescent="0.2">
      <c r="B1157" s="115"/>
      <c r="D1157" s="116"/>
    </row>
    <row r="1158" spans="2:4" x14ac:dyDescent="0.2">
      <c r="B1158" s="115"/>
      <c r="D1158" s="116"/>
    </row>
    <row r="1159" spans="2:4" x14ac:dyDescent="0.2">
      <c r="B1159" s="115"/>
      <c r="D1159" s="116"/>
    </row>
    <row r="1160" spans="2:4" x14ac:dyDescent="0.2">
      <c r="B1160" s="115"/>
      <c r="D1160" s="116"/>
    </row>
    <row r="1161" spans="2:4" x14ac:dyDescent="0.2">
      <c r="B1161" s="115"/>
      <c r="D1161" s="116"/>
    </row>
    <row r="1162" spans="2:4" x14ac:dyDescent="0.2">
      <c r="B1162" s="115"/>
      <c r="D1162" s="116"/>
    </row>
    <row r="1163" spans="2:4" x14ac:dyDescent="0.2">
      <c r="B1163" s="115"/>
      <c r="D1163" s="116"/>
    </row>
    <row r="1164" spans="2:4" x14ac:dyDescent="0.2">
      <c r="B1164" s="115"/>
      <c r="D1164" s="116"/>
    </row>
    <row r="1165" spans="2:4" x14ac:dyDescent="0.2">
      <c r="B1165" s="115"/>
      <c r="D1165" s="116"/>
    </row>
    <row r="1166" spans="2:4" x14ac:dyDescent="0.2">
      <c r="B1166" s="115"/>
      <c r="D1166" s="116"/>
    </row>
    <row r="1167" spans="2:4" x14ac:dyDescent="0.2">
      <c r="B1167" s="115"/>
      <c r="D1167" s="116"/>
    </row>
    <row r="1168" spans="2:4" x14ac:dyDescent="0.2">
      <c r="B1168" s="115"/>
      <c r="D1168" s="116"/>
    </row>
    <row r="1169" spans="2:4" x14ac:dyDescent="0.2">
      <c r="B1169" s="115"/>
      <c r="D1169" s="116"/>
    </row>
    <row r="1170" spans="2:4" x14ac:dyDescent="0.2">
      <c r="B1170" s="115"/>
      <c r="D1170" s="116"/>
    </row>
    <row r="1171" spans="2:4" x14ac:dyDescent="0.2">
      <c r="B1171" s="115"/>
      <c r="D1171" s="116"/>
    </row>
    <row r="1172" spans="2:4" x14ac:dyDescent="0.2">
      <c r="B1172" s="115"/>
      <c r="D1172" s="116"/>
    </row>
    <row r="1173" spans="2:4" x14ac:dyDescent="0.2">
      <c r="B1173" s="115"/>
      <c r="D1173" s="116"/>
    </row>
    <row r="1174" spans="2:4" x14ac:dyDescent="0.2">
      <c r="B1174" s="115"/>
      <c r="D1174" s="116"/>
    </row>
    <row r="1175" spans="2:4" x14ac:dyDescent="0.2">
      <c r="B1175" s="115"/>
      <c r="D1175" s="116"/>
    </row>
    <row r="1176" spans="2:4" x14ac:dyDescent="0.2">
      <c r="B1176" s="115"/>
      <c r="D1176" s="116"/>
    </row>
    <row r="1177" spans="2:4" x14ac:dyDescent="0.2">
      <c r="B1177" s="115"/>
      <c r="D1177" s="116"/>
    </row>
    <row r="1178" spans="2:4" x14ac:dyDescent="0.2">
      <c r="B1178" s="115"/>
      <c r="D1178" s="116"/>
    </row>
    <row r="1179" spans="2:4" x14ac:dyDescent="0.2">
      <c r="B1179" s="115"/>
      <c r="D1179" s="116"/>
    </row>
    <row r="1180" spans="2:4" x14ac:dyDescent="0.2">
      <c r="B1180" s="115"/>
      <c r="D1180" s="116"/>
    </row>
    <row r="1181" spans="2:4" x14ac:dyDescent="0.2">
      <c r="B1181" s="115"/>
      <c r="D1181" s="116"/>
    </row>
    <row r="1182" spans="2:4" x14ac:dyDescent="0.2">
      <c r="B1182" s="115"/>
      <c r="D1182" s="116"/>
    </row>
    <row r="1183" spans="2:4" x14ac:dyDescent="0.2">
      <c r="B1183" s="115"/>
      <c r="D1183" s="116"/>
    </row>
    <row r="1184" spans="2:4" x14ac:dyDescent="0.2">
      <c r="B1184" s="115"/>
      <c r="D1184" s="116"/>
    </row>
    <row r="1185" spans="2:4" x14ac:dyDescent="0.2">
      <c r="B1185" s="115"/>
      <c r="D1185" s="116"/>
    </row>
    <row r="1186" spans="2:4" x14ac:dyDescent="0.2">
      <c r="B1186" s="115"/>
      <c r="D1186" s="116"/>
    </row>
    <row r="1187" spans="2:4" x14ac:dyDescent="0.2">
      <c r="B1187" s="115"/>
      <c r="D1187" s="116"/>
    </row>
    <row r="1188" spans="2:4" x14ac:dyDescent="0.2">
      <c r="B1188" s="115"/>
      <c r="D1188" s="116"/>
    </row>
    <row r="1189" spans="2:4" x14ac:dyDescent="0.2">
      <c r="B1189" s="115"/>
      <c r="D1189" s="116"/>
    </row>
    <row r="1190" spans="2:4" x14ac:dyDescent="0.2">
      <c r="B1190" s="115"/>
      <c r="D1190" s="116"/>
    </row>
    <row r="1191" spans="2:4" x14ac:dyDescent="0.2">
      <c r="B1191" s="115"/>
      <c r="D1191" s="116"/>
    </row>
    <row r="1192" spans="2:4" x14ac:dyDescent="0.2">
      <c r="B1192" s="115"/>
      <c r="D1192" s="116"/>
    </row>
    <row r="1193" spans="2:4" x14ac:dyDescent="0.2">
      <c r="B1193" s="115"/>
      <c r="D1193" s="116"/>
    </row>
    <row r="1194" spans="2:4" x14ac:dyDescent="0.2">
      <c r="B1194" s="115"/>
      <c r="D1194" s="116"/>
    </row>
    <row r="1195" spans="2:4" x14ac:dyDescent="0.2">
      <c r="B1195" s="115"/>
      <c r="D1195" s="116"/>
    </row>
    <row r="1196" spans="2:4" x14ac:dyDescent="0.2">
      <c r="B1196" s="115"/>
      <c r="D1196" s="116"/>
    </row>
    <row r="1197" spans="2:4" x14ac:dyDescent="0.2">
      <c r="B1197" s="115"/>
      <c r="D1197" s="116"/>
    </row>
    <row r="1198" spans="2:4" x14ac:dyDescent="0.2">
      <c r="B1198" s="115"/>
      <c r="D1198" s="116"/>
    </row>
    <row r="1199" spans="2:4" x14ac:dyDescent="0.2">
      <c r="B1199" s="115"/>
      <c r="D1199" s="116"/>
    </row>
    <row r="1200" spans="2:4" x14ac:dyDescent="0.2">
      <c r="B1200" s="115"/>
      <c r="D1200" s="116"/>
    </row>
    <row r="1201" spans="2:4" x14ac:dyDescent="0.2">
      <c r="B1201" s="115"/>
      <c r="D1201" s="116"/>
    </row>
    <row r="1202" spans="2:4" x14ac:dyDescent="0.2">
      <c r="B1202" s="115"/>
      <c r="D1202" s="116"/>
    </row>
    <row r="1203" spans="2:4" x14ac:dyDescent="0.2">
      <c r="B1203" s="115"/>
      <c r="D1203" s="116"/>
    </row>
    <row r="1204" spans="2:4" x14ac:dyDescent="0.2">
      <c r="B1204" s="115"/>
      <c r="D1204" s="116"/>
    </row>
    <row r="1205" spans="2:4" x14ac:dyDescent="0.2">
      <c r="B1205" s="115"/>
      <c r="D1205" s="116"/>
    </row>
    <row r="1206" spans="2:4" x14ac:dyDescent="0.2">
      <c r="B1206" s="115"/>
      <c r="D1206" s="116"/>
    </row>
    <row r="1207" spans="2:4" x14ac:dyDescent="0.2">
      <c r="B1207" s="115"/>
      <c r="D1207" s="116"/>
    </row>
    <row r="1208" spans="2:4" x14ac:dyDescent="0.2">
      <c r="B1208" s="115"/>
      <c r="D1208" s="116"/>
    </row>
    <row r="1209" spans="2:4" x14ac:dyDescent="0.2">
      <c r="B1209" s="115"/>
      <c r="D1209" s="116"/>
    </row>
    <row r="1210" spans="2:4" x14ac:dyDescent="0.2">
      <c r="B1210" s="115"/>
      <c r="D1210" s="116"/>
    </row>
    <row r="1211" spans="2:4" x14ac:dyDescent="0.2">
      <c r="B1211" s="115"/>
      <c r="D1211" s="116"/>
    </row>
    <row r="1212" spans="2:4" x14ac:dyDescent="0.2">
      <c r="B1212" s="115"/>
      <c r="D1212" s="116"/>
    </row>
    <row r="1213" spans="2:4" x14ac:dyDescent="0.2">
      <c r="B1213" s="115"/>
      <c r="D1213" s="116"/>
    </row>
    <row r="1214" spans="2:4" x14ac:dyDescent="0.2">
      <c r="B1214" s="115"/>
      <c r="D1214" s="116"/>
    </row>
    <row r="1215" spans="2:4" x14ac:dyDescent="0.2">
      <c r="B1215" s="115"/>
      <c r="D1215" s="116"/>
    </row>
    <row r="1216" spans="2:4" x14ac:dyDescent="0.2">
      <c r="B1216" s="115"/>
      <c r="D1216" s="116"/>
    </row>
    <row r="1217" spans="2:4" x14ac:dyDescent="0.2">
      <c r="B1217" s="115"/>
      <c r="D1217" s="116"/>
    </row>
    <row r="1218" spans="2:4" x14ac:dyDescent="0.2">
      <c r="B1218" s="115"/>
      <c r="D1218" s="116"/>
    </row>
    <row r="1219" spans="2:4" x14ac:dyDescent="0.2">
      <c r="B1219" s="115"/>
      <c r="D1219" s="116"/>
    </row>
    <row r="1220" spans="2:4" x14ac:dyDescent="0.2">
      <c r="B1220" s="115"/>
      <c r="D1220" s="116"/>
    </row>
    <row r="1221" spans="2:4" x14ac:dyDescent="0.2">
      <c r="B1221" s="115"/>
      <c r="D1221" s="116"/>
    </row>
    <row r="1222" spans="2:4" x14ac:dyDescent="0.2">
      <c r="B1222" s="115"/>
      <c r="D1222" s="116"/>
    </row>
    <row r="1223" spans="2:4" x14ac:dyDescent="0.2">
      <c r="B1223" s="115"/>
      <c r="D1223" s="116"/>
    </row>
    <row r="1224" spans="2:4" x14ac:dyDescent="0.2">
      <c r="B1224" s="115"/>
      <c r="D1224" s="116"/>
    </row>
    <row r="1225" spans="2:4" x14ac:dyDescent="0.2">
      <c r="B1225" s="115"/>
      <c r="D1225" s="116"/>
    </row>
    <row r="1226" spans="2:4" x14ac:dyDescent="0.2">
      <c r="B1226" s="115"/>
      <c r="D1226" s="116"/>
    </row>
    <row r="1227" spans="2:4" x14ac:dyDescent="0.2">
      <c r="B1227" s="115"/>
      <c r="D1227" s="116"/>
    </row>
    <row r="1228" spans="2:4" x14ac:dyDescent="0.2">
      <c r="B1228" s="115"/>
      <c r="D1228" s="116"/>
    </row>
    <row r="1229" spans="2:4" x14ac:dyDescent="0.2">
      <c r="B1229" s="115"/>
      <c r="D1229" s="116"/>
    </row>
    <row r="1230" spans="2:4" x14ac:dyDescent="0.2">
      <c r="B1230" s="115"/>
      <c r="D1230" s="116"/>
    </row>
    <row r="1231" spans="2:4" x14ac:dyDescent="0.2">
      <c r="B1231" s="115"/>
      <c r="D1231" s="116"/>
    </row>
    <row r="1232" spans="2:4" x14ac:dyDescent="0.2">
      <c r="B1232" s="115"/>
      <c r="D1232" s="116"/>
    </row>
    <row r="1233" spans="2:4" x14ac:dyDescent="0.2">
      <c r="B1233" s="115"/>
      <c r="D1233" s="116"/>
    </row>
    <row r="1234" spans="2:4" x14ac:dyDescent="0.2">
      <c r="B1234" s="115"/>
      <c r="D1234" s="116"/>
    </row>
    <row r="1235" spans="2:4" x14ac:dyDescent="0.2">
      <c r="B1235" s="115"/>
      <c r="D1235" s="116"/>
    </row>
    <row r="1236" spans="2:4" x14ac:dyDescent="0.2">
      <c r="B1236" s="115"/>
      <c r="D1236" s="116"/>
    </row>
    <row r="1237" spans="2:4" x14ac:dyDescent="0.2">
      <c r="B1237" s="115"/>
      <c r="D1237" s="116"/>
    </row>
    <row r="1238" spans="2:4" x14ac:dyDescent="0.2">
      <c r="B1238" s="115"/>
      <c r="D1238" s="116"/>
    </row>
    <row r="1239" spans="2:4" x14ac:dyDescent="0.2">
      <c r="B1239" s="115"/>
      <c r="D1239" s="116"/>
    </row>
    <row r="1240" spans="2:4" x14ac:dyDescent="0.2">
      <c r="B1240" s="115"/>
      <c r="D1240" s="116"/>
    </row>
    <row r="1241" spans="2:4" x14ac:dyDescent="0.2">
      <c r="B1241" s="115"/>
      <c r="D1241" s="116"/>
    </row>
    <row r="1242" spans="2:4" x14ac:dyDescent="0.2">
      <c r="B1242" s="115"/>
      <c r="D1242" s="116"/>
    </row>
    <row r="1243" spans="2:4" x14ac:dyDescent="0.2">
      <c r="B1243" s="115"/>
      <c r="D1243" s="116"/>
    </row>
    <row r="1244" spans="2:4" x14ac:dyDescent="0.2">
      <c r="B1244" s="115"/>
      <c r="D1244" s="116"/>
    </row>
    <row r="1245" spans="2:4" x14ac:dyDescent="0.2">
      <c r="B1245" s="115"/>
      <c r="D1245" s="116"/>
    </row>
    <row r="1246" spans="2:4" x14ac:dyDescent="0.2">
      <c r="B1246" s="115"/>
      <c r="D1246" s="116"/>
    </row>
    <row r="1247" spans="2:4" x14ac:dyDescent="0.2">
      <c r="B1247" s="115"/>
      <c r="D1247" s="116"/>
    </row>
    <row r="1248" spans="2:4" x14ac:dyDescent="0.2">
      <c r="B1248" s="115"/>
      <c r="D1248" s="116"/>
    </row>
    <row r="1249" spans="2:4" x14ac:dyDescent="0.2">
      <c r="B1249" s="115"/>
      <c r="D1249" s="116"/>
    </row>
    <row r="1250" spans="2:4" x14ac:dyDescent="0.2">
      <c r="B1250" s="115"/>
      <c r="D1250" s="116"/>
    </row>
    <row r="1251" spans="2:4" x14ac:dyDescent="0.2">
      <c r="B1251" s="115"/>
      <c r="D1251" s="116"/>
    </row>
    <row r="1252" spans="2:4" x14ac:dyDescent="0.2">
      <c r="B1252" s="115"/>
      <c r="D1252" s="116"/>
    </row>
    <row r="1253" spans="2:4" x14ac:dyDescent="0.2">
      <c r="B1253" s="115"/>
      <c r="D1253" s="116"/>
    </row>
    <row r="1254" spans="2:4" x14ac:dyDescent="0.2">
      <c r="B1254" s="115"/>
      <c r="D1254" s="116"/>
    </row>
    <row r="1255" spans="2:4" x14ac:dyDescent="0.2">
      <c r="B1255" s="115"/>
      <c r="D1255" s="116"/>
    </row>
    <row r="1256" spans="2:4" x14ac:dyDescent="0.2">
      <c r="B1256" s="115"/>
      <c r="D1256" s="116"/>
    </row>
    <row r="1257" spans="2:4" x14ac:dyDescent="0.2">
      <c r="B1257" s="115"/>
      <c r="D1257" s="116"/>
    </row>
    <row r="1258" spans="2:4" x14ac:dyDescent="0.2">
      <c r="B1258" s="115"/>
      <c r="D1258" s="116"/>
    </row>
    <row r="1259" spans="2:4" x14ac:dyDescent="0.2">
      <c r="B1259" s="115"/>
      <c r="D1259" s="116"/>
    </row>
    <row r="1260" spans="2:4" x14ac:dyDescent="0.2">
      <c r="B1260" s="115"/>
      <c r="D1260" s="116"/>
    </row>
    <row r="1261" spans="2:4" x14ac:dyDescent="0.2">
      <c r="B1261" s="115"/>
      <c r="D1261" s="116"/>
    </row>
    <row r="1262" spans="2:4" x14ac:dyDescent="0.2">
      <c r="B1262" s="115"/>
      <c r="D1262" s="116"/>
    </row>
    <row r="1263" spans="2:4" x14ac:dyDescent="0.2">
      <c r="B1263" s="115"/>
      <c r="D1263" s="116"/>
    </row>
    <row r="1264" spans="2:4" x14ac:dyDescent="0.2">
      <c r="B1264" s="115"/>
      <c r="D1264" s="116"/>
    </row>
    <row r="1265" spans="2:4" x14ac:dyDescent="0.2">
      <c r="B1265" s="115"/>
      <c r="D1265" s="116"/>
    </row>
    <row r="1266" spans="2:4" x14ac:dyDescent="0.2">
      <c r="B1266" s="115"/>
      <c r="D1266" s="116"/>
    </row>
    <row r="1267" spans="2:4" x14ac:dyDescent="0.2">
      <c r="B1267" s="115"/>
      <c r="D1267" s="116"/>
    </row>
    <row r="1268" spans="2:4" x14ac:dyDescent="0.2">
      <c r="B1268" s="115"/>
      <c r="D1268" s="116"/>
    </row>
    <row r="1269" spans="2:4" x14ac:dyDescent="0.2">
      <c r="B1269" s="115"/>
      <c r="D1269" s="116"/>
    </row>
    <row r="1270" spans="2:4" x14ac:dyDescent="0.2">
      <c r="B1270" s="115"/>
      <c r="D1270" s="116"/>
    </row>
    <row r="1271" spans="2:4" x14ac:dyDescent="0.2">
      <c r="B1271" s="115"/>
      <c r="D1271" s="116"/>
    </row>
    <row r="1272" spans="2:4" x14ac:dyDescent="0.2">
      <c r="B1272" s="115"/>
      <c r="D1272" s="116"/>
    </row>
    <row r="1273" spans="2:4" x14ac:dyDescent="0.2">
      <c r="B1273" s="115"/>
      <c r="D1273" s="116"/>
    </row>
    <row r="1274" spans="2:4" x14ac:dyDescent="0.2">
      <c r="B1274" s="115"/>
      <c r="D1274" s="116"/>
    </row>
    <row r="1275" spans="2:4" x14ac:dyDescent="0.2">
      <c r="B1275" s="115"/>
      <c r="D1275" s="116"/>
    </row>
    <row r="1276" spans="2:4" x14ac:dyDescent="0.2">
      <c r="B1276" s="115"/>
      <c r="D1276" s="116"/>
    </row>
    <row r="1277" spans="2:4" x14ac:dyDescent="0.2">
      <c r="B1277" s="115"/>
      <c r="D1277" s="116"/>
    </row>
    <row r="1278" spans="2:4" x14ac:dyDescent="0.2">
      <c r="B1278" s="115"/>
      <c r="D1278" s="116"/>
    </row>
    <row r="1279" spans="2:4" x14ac:dyDescent="0.2">
      <c r="B1279" s="115"/>
      <c r="D1279" s="116"/>
    </row>
    <row r="1280" spans="2:4" x14ac:dyDescent="0.2">
      <c r="B1280" s="115"/>
      <c r="D1280" s="116"/>
    </row>
    <row r="1281" spans="2:4" x14ac:dyDescent="0.2">
      <c r="B1281" s="115"/>
      <c r="D1281" s="116"/>
    </row>
    <row r="1282" spans="2:4" x14ac:dyDescent="0.2">
      <c r="B1282" s="115"/>
      <c r="D1282" s="116"/>
    </row>
    <row r="1283" spans="2:4" x14ac:dyDescent="0.2">
      <c r="B1283" s="115"/>
      <c r="D1283" s="116"/>
    </row>
    <row r="1284" spans="2:4" x14ac:dyDescent="0.2">
      <c r="B1284" s="115"/>
      <c r="D1284" s="116"/>
    </row>
    <row r="1285" spans="2:4" x14ac:dyDescent="0.2">
      <c r="B1285" s="115"/>
      <c r="D1285" s="116"/>
    </row>
    <row r="1286" spans="2:4" x14ac:dyDescent="0.2">
      <c r="B1286" s="115"/>
      <c r="D1286" s="116"/>
    </row>
    <row r="1287" spans="2:4" x14ac:dyDescent="0.2">
      <c r="B1287" s="115"/>
      <c r="D1287" s="116"/>
    </row>
    <row r="1288" spans="2:4" x14ac:dyDescent="0.2">
      <c r="B1288" s="115"/>
      <c r="D1288" s="116"/>
    </row>
    <row r="1289" spans="2:4" x14ac:dyDescent="0.2">
      <c r="B1289" s="115"/>
      <c r="D1289" s="116"/>
    </row>
    <row r="1290" spans="2:4" x14ac:dyDescent="0.2">
      <c r="B1290" s="115"/>
      <c r="D1290" s="116"/>
    </row>
    <row r="1291" spans="2:4" x14ac:dyDescent="0.2">
      <c r="B1291" s="115"/>
      <c r="D1291" s="116"/>
    </row>
    <row r="1292" spans="2:4" x14ac:dyDescent="0.2">
      <c r="B1292" s="115"/>
      <c r="D1292" s="116"/>
    </row>
    <row r="1293" spans="2:4" x14ac:dyDescent="0.2">
      <c r="B1293" s="115"/>
      <c r="D1293" s="116"/>
    </row>
    <row r="1294" spans="2:4" x14ac:dyDescent="0.2">
      <c r="B1294" s="115"/>
      <c r="D1294" s="116"/>
    </row>
    <row r="1295" spans="2:4" x14ac:dyDescent="0.2">
      <c r="B1295" s="115"/>
      <c r="D1295" s="116"/>
    </row>
    <row r="1296" spans="2:4" x14ac:dyDescent="0.2">
      <c r="B1296" s="115"/>
      <c r="D1296" s="116"/>
    </row>
    <row r="1297" spans="2:4" x14ac:dyDescent="0.2">
      <c r="B1297" s="115"/>
      <c r="D1297" s="116"/>
    </row>
    <row r="1298" spans="2:4" x14ac:dyDescent="0.2">
      <c r="B1298" s="115"/>
      <c r="D1298" s="116"/>
    </row>
    <row r="1299" spans="2:4" x14ac:dyDescent="0.2">
      <c r="B1299" s="115"/>
      <c r="D1299" s="116"/>
    </row>
    <row r="1300" spans="2:4" x14ac:dyDescent="0.2">
      <c r="B1300" s="115"/>
      <c r="D1300" s="116"/>
    </row>
    <row r="1301" spans="2:4" x14ac:dyDescent="0.2">
      <c r="B1301" s="115"/>
      <c r="D1301" s="116"/>
    </row>
    <row r="1302" spans="2:4" x14ac:dyDescent="0.2">
      <c r="B1302" s="115"/>
      <c r="D1302" s="116"/>
    </row>
    <row r="1303" spans="2:4" x14ac:dyDescent="0.2">
      <c r="B1303" s="115"/>
      <c r="D1303" s="116"/>
    </row>
    <row r="1304" spans="2:4" x14ac:dyDescent="0.2">
      <c r="B1304" s="115"/>
      <c r="D1304" s="116"/>
    </row>
    <row r="1305" spans="2:4" x14ac:dyDescent="0.2">
      <c r="B1305" s="115"/>
      <c r="D1305" s="116"/>
    </row>
    <row r="1306" spans="2:4" x14ac:dyDescent="0.2">
      <c r="B1306" s="115"/>
      <c r="D1306" s="116"/>
    </row>
    <row r="1307" spans="2:4" x14ac:dyDescent="0.2">
      <c r="B1307" s="115"/>
      <c r="D1307" s="116"/>
    </row>
    <row r="1308" spans="2:4" x14ac:dyDescent="0.2">
      <c r="B1308" s="115"/>
      <c r="D1308" s="116"/>
    </row>
    <row r="1309" spans="2:4" x14ac:dyDescent="0.2">
      <c r="B1309" s="115"/>
      <c r="D1309" s="116"/>
    </row>
    <row r="1310" spans="2:4" x14ac:dyDescent="0.2">
      <c r="B1310" s="115"/>
      <c r="D1310" s="116"/>
    </row>
    <row r="1311" spans="2:4" x14ac:dyDescent="0.2">
      <c r="B1311" s="115"/>
      <c r="D1311" s="116"/>
    </row>
    <row r="1312" spans="2:4" x14ac:dyDescent="0.2">
      <c r="B1312" s="115"/>
      <c r="D1312" s="116"/>
    </row>
    <row r="1313" spans="2:4" x14ac:dyDescent="0.2">
      <c r="B1313" s="115"/>
      <c r="D1313" s="116"/>
    </row>
    <row r="1314" spans="2:4" x14ac:dyDescent="0.2">
      <c r="B1314" s="115"/>
      <c r="D1314" s="116"/>
    </row>
    <row r="1315" spans="2:4" x14ac:dyDescent="0.2">
      <c r="B1315" s="115"/>
      <c r="D1315" s="116"/>
    </row>
    <row r="1316" spans="2:4" x14ac:dyDescent="0.2">
      <c r="B1316" s="115"/>
      <c r="D1316" s="116"/>
    </row>
    <row r="1317" spans="2:4" x14ac:dyDescent="0.2">
      <c r="B1317" s="115"/>
      <c r="D1317" s="116"/>
    </row>
    <row r="1318" spans="2:4" x14ac:dyDescent="0.2">
      <c r="B1318" s="115"/>
      <c r="D1318" s="116"/>
    </row>
    <row r="1319" spans="2:4" x14ac:dyDescent="0.2">
      <c r="B1319" s="115"/>
      <c r="D1319" s="116"/>
    </row>
    <row r="1320" spans="2:4" x14ac:dyDescent="0.2">
      <c r="B1320" s="115"/>
      <c r="D1320" s="116"/>
    </row>
    <row r="1321" spans="2:4" x14ac:dyDescent="0.2">
      <c r="B1321" s="115"/>
      <c r="D1321" s="116"/>
    </row>
    <row r="1322" spans="2:4" x14ac:dyDescent="0.2">
      <c r="B1322" s="115"/>
      <c r="D1322" s="116"/>
    </row>
    <row r="1323" spans="2:4" x14ac:dyDescent="0.2">
      <c r="B1323" s="115"/>
      <c r="D1323" s="116"/>
    </row>
    <row r="1324" spans="2:4" x14ac:dyDescent="0.2">
      <c r="B1324" s="115"/>
      <c r="D1324" s="116"/>
    </row>
    <row r="1325" spans="2:4" x14ac:dyDescent="0.2">
      <c r="B1325" s="115"/>
      <c r="D1325" s="116"/>
    </row>
    <row r="1326" spans="2:4" x14ac:dyDescent="0.2">
      <c r="B1326" s="115"/>
      <c r="D1326" s="116"/>
    </row>
    <row r="1327" spans="2:4" x14ac:dyDescent="0.2">
      <c r="B1327" s="115"/>
      <c r="D1327" s="116"/>
    </row>
    <row r="1328" spans="2:4" x14ac:dyDescent="0.2">
      <c r="B1328" s="115"/>
      <c r="D1328" s="116"/>
    </row>
    <row r="1329" spans="2:4" x14ac:dyDescent="0.2">
      <c r="B1329" s="115"/>
      <c r="D1329" s="116"/>
    </row>
    <row r="1330" spans="2:4" x14ac:dyDescent="0.2">
      <c r="B1330" s="115"/>
      <c r="D1330" s="116"/>
    </row>
    <row r="1331" spans="2:4" x14ac:dyDescent="0.2">
      <c r="B1331" s="115"/>
      <c r="D1331" s="116"/>
    </row>
    <row r="1332" spans="2:4" x14ac:dyDescent="0.2">
      <c r="B1332" s="115"/>
      <c r="D1332" s="116"/>
    </row>
    <row r="1333" spans="2:4" x14ac:dyDescent="0.2">
      <c r="B1333" s="115"/>
      <c r="D1333" s="116"/>
    </row>
    <row r="1334" spans="2:4" x14ac:dyDescent="0.2">
      <c r="B1334" s="115"/>
      <c r="D1334" s="116"/>
    </row>
    <row r="1335" spans="2:4" x14ac:dyDescent="0.2">
      <c r="B1335" s="115"/>
      <c r="D1335" s="116"/>
    </row>
    <row r="1336" spans="2:4" x14ac:dyDescent="0.2">
      <c r="B1336" s="115"/>
      <c r="D1336" s="116"/>
    </row>
    <row r="1337" spans="2:4" x14ac:dyDescent="0.2">
      <c r="B1337" s="115"/>
      <c r="D1337" s="116"/>
    </row>
    <row r="1338" spans="2:4" x14ac:dyDescent="0.2">
      <c r="B1338" s="115"/>
      <c r="D1338" s="116"/>
    </row>
    <row r="1339" spans="2:4" x14ac:dyDescent="0.2">
      <c r="B1339" s="115"/>
      <c r="D1339" s="116"/>
    </row>
    <row r="1340" spans="2:4" x14ac:dyDescent="0.2">
      <c r="B1340" s="115"/>
      <c r="D1340" s="116"/>
    </row>
    <row r="1341" spans="2:4" x14ac:dyDescent="0.2">
      <c r="B1341" s="115"/>
      <c r="D1341" s="116"/>
    </row>
    <row r="1342" spans="2:4" x14ac:dyDescent="0.2">
      <c r="B1342" s="115"/>
      <c r="D1342" s="116"/>
    </row>
    <row r="1343" spans="2:4" x14ac:dyDescent="0.2">
      <c r="B1343" s="115"/>
      <c r="D1343" s="116"/>
    </row>
    <row r="1344" spans="2:4" x14ac:dyDescent="0.2">
      <c r="B1344" s="115"/>
      <c r="D1344" s="116"/>
    </row>
    <row r="1345" spans="2:4" x14ac:dyDescent="0.2">
      <c r="B1345" s="115"/>
      <c r="D1345" s="116"/>
    </row>
    <row r="1346" spans="2:4" x14ac:dyDescent="0.2">
      <c r="B1346" s="115"/>
      <c r="D1346" s="116"/>
    </row>
    <row r="1347" spans="2:4" x14ac:dyDescent="0.2">
      <c r="B1347" s="115"/>
      <c r="D1347" s="116"/>
    </row>
    <row r="1348" spans="2:4" x14ac:dyDescent="0.2">
      <c r="B1348" s="115"/>
      <c r="D1348" s="116"/>
    </row>
    <row r="1349" spans="2:4" x14ac:dyDescent="0.2">
      <c r="B1349" s="115"/>
      <c r="D1349" s="116"/>
    </row>
    <row r="1350" spans="2:4" x14ac:dyDescent="0.2">
      <c r="B1350" s="115"/>
      <c r="D1350" s="116"/>
    </row>
    <row r="1351" spans="2:4" x14ac:dyDescent="0.2">
      <c r="B1351" s="115"/>
      <c r="D1351" s="116"/>
    </row>
    <row r="1352" spans="2:4" x14ac:dyDescent="0.2">
      <c r="B1352" s="115"/>
      <c r="D1352" s="116"/>
    </row>
    <row r="1353" spans="2:4" x14ac:dyDescent="0.2">
      <c r="B1353" s="115"/>
      <c r="D1353" s="116"/>
    </row>
    <row r="1354" spans="2:4" x14ac:dyDescent="0.2">
      <c r="B1354" s="115"/>
      <c r="D1354" s="116"/>
    </row>
    <row r="1355" spans="2:4" x14ac:dyDescent="0.2">
      <c r="B1355" s="115"/>
      <c r="D1355" s="116"/>
    </row>
    <row r="1356" spans="2:4" x14ac:dyDescent="0.2">
      <c r="B1356" s="115"/>
      <c r="D1356" s="116"/>
    </row>
    <row r="1357" spans="2:4" x14ac:dyDescent="0.2">
      <c r="B1357" s="115"/>
      <c r="D1357" s="116"/>
    </row>
    <row r="1358" spans="2:4" x14ac:dyDescent="0.2">
      <c r="B1358" s="115"/>
      <c r="D1358" s="116"/>
    </row>
    <row r="1359" spans="2:4" x14ac:dyDescent="0.2">
      <c r="B1359" s="115"/>
      <c r="D1359" s="116"/>
    </row>
    <row r="1360" spans="2:4" x14ac:dyDescent="0.2">
      <c r="B1360" s="115"/>
      <c r="D1360" s="116"/>
    </row>
    <row r="1361" spans="2:4" x14ac:dyDescent="0.2">
      <c r="B1361" s="115"/>
      <c r="D1361" s="116"/>
    </row>
    <row r="1362" spans="2:4" x14ac:dyDescent="0.2">
      <c r="B1362" s="115"/>
      <c r="D1362" s="116"/>
    </row>
    <row r="1363" spans="2:4" x14ac:dyDescent="0.2">
      <c r="B1363" s="115"/>
      <c r="D1363" s="116"/>
    </row>
    <row r="1364" spans="2:4" x14ac:dyDescent="0.2">
      <c r="B1364" s="115"/>
      <c r="D1364" s="116"/>
    </row>
    <row r="1365" spans="2:4" x14ac:dyDescent="0.2">
      <c r="B1365" s="115"/>
      <c r="D1365" s="116"/>
    </row>
    <row r="1366" spans="2:4" x14ac:dyDescent="0.2">
      <c r="B1366" s="115"/>
      <c r="D1366" s="116"/>
    </row>
    <row r="1367" spans="2:4" x14ac:dyDescent="0.2">
      <c r="B1367" s="115"/>
      <c r="D1367" s="116"/>
    </row>
    <row r="1368" spans="2:4" x14ac:dyDescent="0.2">
      <c r="B1368" s="115"/>
      <c r="D1368" s="116"/>
    </row>
    <row r="1369" spans="2:4" x14ac:dyDescent="0.2">
      <c r="B1369" s="115"/>
      <c r="D1369" s="116"/>
    </row>
    <row r="1370" spans="2:4" x14ac:dyDescent="0.2">
      <c r="B1370" s="115"/>
      <c r="D1370" s="116"/>
    </row>
    <row r="1371" spans="2:4" x14ac:dyDescent="0.2">
      <c r="B1371" s="115"/>
      <c r="D1371" s="116"/>
    </row>
    <row r="1372" spans="2:4" x14ac:dyDescent="0.2">
      <c r="B1372" s="115"/>
      <c r="D1372" s="116"/>
    </row>
    <row r="1373" spans="2:4" x14ac:dyDescent="0.2">
      <c r="B1373" s="115"/>
      <c r="D1373" s="116"/>
    </row>
    <row r="1374" spans="2:4" x14ac:dyDescent="0.2">
      <c r="B1374" s="115"/>
      <c r="D1374" s="116"/>
    </row>
    <row r="1375" spans="2:4" x14ac:dyDescent="0.2">
      <c r="B1375" s="115"/>
      <c r="D1375" s="116"/>
    </row>
    <row r="1376" spans="2:4" x14ac:dyDescent="0.2">
      <c r="B1376" s="115"/>
      <c r="D1376" s="116"/>
    </row>
    <row r="1377" spans="2:4" x14ac:dyDescent="0.2">
      <c r="B1377" s="115"/>
      <c r="D1377" s="116"/>
    </row>
    <row r="1378" spans="2:4" x14ac:dyDescent="0.2">
      <c r="B1378" s="115"/>
      <c r="D1378" s="116"/>
    </row>
    <row r="1379" spans="2:4" x14ac:dyDescent="0.2">
      <c r="B1379" s="115"/>
      <c r="D1379" s="116"/>
    </row>
    <row r="1380" spans="2:4" x14ac:dyDescent="0.2">
      <c r="B1380" s="115"/>
      <c r="D1380" s="116"/>
    </row>
    <row r="1381" spans="2:4" x14ac:dyDescent="0.2">
      <c r="B1381" s="115"/>
      <c r="D1381" s="116"/>
    </row>
    <row r="1382" spans="2:4" x14ac:dyDescent="0.2">
      <c r="B1382" s="115"/>
      <c r="D1382" s="116"/>
    </row>
    <row r="1383" spans="2:4" x14ac:dyDescent="0.2">
      <c r="B1383" s="115"/>
      <c r="D1383" s="116"/>
    </row>
    <row r="1384" spans="2:4" x14ac:dyDescent="0.2">
      <c r="B1384" s="115"/>
      <c r="D1384" s="116"/>
    </row>
    <row r="1385" spans="2:4" x14ac:dyDescent="0.2">
      <c r="B1385" s="115"/>
      <c r="D1385" s="116"/>
    </row>
    <row r="1386" spans="2:4" x14ac:dyDescent="0.2">
      <c r="B1386" s="115"/>
      <c r="D1386" s="116"/>
    </row>
    <row r="1387" spans="2:4" x14ac:dyDescent="0.2">
      <c r="B1387" s="115"/>
      <c r="D1387" s="116"/>
    </row>
    <row r="1388" spans="2:4" x14ac:dyDescent="0.2">
      <c r="B1388" s="115"/>
      <c r="D1388" s="116"/>
    </row>
    <row r="1389" spans="2:4" x14ac:dyDescent="0.2">
      <c r="B1389" s="115"/>
      <c r="D1389" s="116"/>
    </row>
    <row r="1390" spans="2:4" x14ac:dyDescent="0.2">
      <c r="B1390" s="115"/>
      <c r="D1390" s="116"/>
    </row>
    <row r="1391" spans="2:4" x14ac:dyDescent="0.2">
      <c r="B1391" s="115"/>
      <c r="D1391" s="116"/>
    </row>
    <row r="1392" spans="2:4" x14ac:dyDescent="0.2">
      <c r="B1392" s="115"/>
      <c r="D1392" s="116"/>
    </row>
    <row r="1393" spans="2:4" x14ac:dyDescent="0.2">
      <c r="B1393" s="115"/>
      <c r="D1393" s="116"/>
    </row>
    <row r="1394" spans="2:4" x14ac:dyDescent="0.2">
      <c r="B1394" s="115"/>
      <c r="D1394" s="116"/>
    </row>
    <row r="1395" spans="2:4" x14ac:dyDescent="0.2">
      <c r="B1395" s="115"/>
      <c r="D1395" s="116"/>
    </row>
    <row r="1396" spans="2:4" x14ac:dyDescent="0.2">
      <c r="B1396" s="115"/>
      <c r="D1396" s="116"/>
    </row>
    <row r="1397" spans="2:4" x14ac:dyDescent="0.2">
      <c r="B1397" s="115"/>
      <c r="D1397" s="116"/>
    </row>
    <row r="1398" spans="2:4" x14ac:dyDescent="0.2">
      <c r="B1398" s="115"/>
      <c r="D1398" s="116"/>
    </row>
    <row r="1399" spans="2:4" x14ac:dyDescent="0.2">
      <c r="B1399" s="115"/>
      <c r="D1399" s="116"/>
    </row>
    <row r="1400" spans="2:4" x14ac:dyDescent="0.2">
      <c r="B1400" s="115"/>
      <c r="D1400" s="116"/>
    </row>
    <row r="1401" spans="2:4" x14ac:dyDescent="0.2">
      <c r="B1401" s="115"/>
      <c r="D1401" s="116"/>
    </row>
    <row r="1402" spans="2:4" x14ac:dyDescent="0.2">
      <c r="B1402" s="115"/>
      <c r="D1402" s="116"/>
    </row>
    <row r="1403" spans="2:4" x14ac:dyDescent="0.2">
      <c r="B1403" s="115"/>
      <c r="D1403" s="116"/>
    </row>
    <row r="1404" spans="2:4" x14ac:dyDescent="0.2">
      <c r="B1404" s="115"/>
      <c r="D1404" s="116"/>
    </row>
    <row r="1405" spans="2:4" x14ac:dyDescent="0.2">
      <c r="B1405" s="115"/>
      <c r="D1405" s="116"/>
    </row>
    <row r="1406" spans="2:4" x14ac:dyDescent="0.2">
      <c r="B1406" s="115"/>
      <c r="D1406" s="116"/>
    </row>
    <row r="1407" spans="2:4" x14ac:dyDescent="0.2">
      <c r="B1407" s="115"/>
      <c r="D1407" s="116"/>
    </row>
    <row r="1408" spans="2:4" x14ac:dyDescent="0.2">
      <c r="B1408" s="115"/>
      <c r="D1408" s="116"/>
    </row>
    <row r="1409" spans="2:4" x14ac:dyDescent="0.2">
      <c r="B1409" s="115"/>
      <c r="D1409" s="116"/>
    </row>
    <row r="1410" spans="2:4" x14ac:dyDescent="0.2">
      <c r="B1410" s="115"/>
      <c r="D1410" s="116"/>
    </row>
    <row r="1411" spans="2:4" x14ac:dyDescent="0.2">
      <c r="B1411" s="115"/>
      <c r="D1411" s="116"/>
    </row>
    <row r="1412" spans="2:4" x14ac:dyDescent="0.2">
      <c r="B1412" s="115"/>
      <c r="D1412" s="116"/>
    </row>
    <row r="1413" spans="2:4" x14ac:dyDescent="0.2">
      <c r="B1413" s="115"/>
      <c r="D1413" s="116"/>
    </row>
    <row r="1414" spans="2:4" x14ac:dyDescent="0.2">
      <c r="B1414" s="115"/>
      <c r="D1414" s="116"/>
    </row>
    <row r="1415" spans="2:4" x14ac:dyDescent="0.2">
      <c r="B1415" s="115"/>
      <c r="D1415" s="116"/>
    </row>
    <row r="1416" spans="2:4" x14ac:dyDescent="0.2">
      <c r="B1416" s="115"/>
      <c r="D1416" s="116"/>
    </row>
    <row r="1417" spans="2:4" x14ac:dyDescent="0.2">
      <c r="B1417" s="115"/>
      <c r="D1417" s="116"/>
    </row>
    <row r="1418" spans="2:4" x14ac:dyDescent="0.2">
      <c r="B1418" s="115"/>
      <c r="D1418" s="116"/>
    </row>
    <row r="1419" spans="2:4" x14ac:dyDescent="0.2">
      <c r="B1419" s="115"/>
      <c r="D1419" s="116"/>
    </row>
    <row r="1420" spans="2:4" x14ac:dyDescent="0.2">
      <c r="B1420" s="115"/>
      <c r="D1420" s="116"/>
    </row>
    <row r="1421" spans="2:4" x14ac:dyDescent="0.2">
      <c r="B1421" s="115"/>
      <c r="D1421" s="116"/>
    </row>
    <row r="1422" spans="2:4" x14ac:dyDescent="0.2">
      <c r="B1422" s="115"/>
      <c r="D1422" s="116"/>
    </row>
    <row r="1423" spans="2:4" x14ac:dyDescent="0.2">
      <c r="B1423" s="115"/>
      <c r="D1423" s="116"/>
    </row>
    <row r="1424" spans="2:4" x14ac:dyDescent="0.2">
      <c r="B1424" s="115"/>
      <c r="D1424" s="116"/>
    </row>
    <row r="1425" spans="2:4" x14ac:dyDescent="0.2">
      <c r="B1425" s="115"/>
      <c r="D1425" s="116"/>
    </row>
    <row r="1426" spans="2:4" x14ac:dyDescent="0.2">
      <c r="B1426" s="115"/>
      <c r="D1426" s="116"/>
    </row>
    <row r="1427" spans="2:4" x14ac:dyDescent="0.2">
      <c r="B1427" s="115"/>
      <c r="D1427" s="116"/>
    </row>
    <row r="1428" spans="2:4" x14ac:dyDescent="0.2">
      <c r="B1428" s="115"/>
      <c r="D1428" s="116"/>
    </row>
    <row r="1429" spans="2:4" x14ac:dyDescent="0.2">
      <c r="B1429" s="115"/>
      <c r="D1429" s="116"/>
    </row>
    <row r="1430" spans="2:4" x14ac:dyDescent="0.2">
      <c r="B1430" s="115"/>
      <c r="D1430" s="116"/>
    </row>
    <row r="1431" spans="2:4" x14ac:dyDescent="0.2">
      <c r="B1431" s="115"/>
      <c r="D1431" s="116"/>
    </row>
    <row r="1432" spans="2:4" x14ac:dyDescent="0.2">
      <c r="B1432" s="115"/>
      <c r="D1432" s="116"/>
    </row>
    <row r="1433" spans="2:4" x14ac:dyDescent="0.2">
      <c r="B1433" s="115"/>
      <c r="D1433" s="116"/>
    </row>
    <row r="1434" spans="2:4" x14ac:dyDescent="0.2">
      <c r="B1434" s="115"/>
      <c r="D1434" s="116"/>
    </row>
    <row r="1435" spans="2:4" x14ac:dyDescent="0.2">
      <c r="B1435" s="115"/>
      <c r="D1435" s="116"/>
    </row>
    <row r="1436" spans="2:4" x14ac:dyDescent="0.2">
      <c r="B1436" s="115"/>
      <c r="D1436" s="116"/>
    </row>
    <row r="1437" spans="2:4" x14ac:dyDescent="0.2">
      <c r="B1437" s="115"/>
      <c r="D1437" s="116"/>
    </row>
    <row r="1438" spans="2:4" x14ac:dyDescent="0.2">
      <c r="B1438" s="115"/>
      <c r="D1438" s="116"/>
    </row>
    <row r="1439" spans="2:4" x14ac:dyDescent="0.2">
      <c r="B1439" s="115"/>
      <c r="D1439" s="116"/>
    </row>
    <row r="1440" spans="2:4" x14ac:dyDescent="0.2">
      <c r="B1440" s="115"/>
      <c r="D1440" s="116"/>
    </row>
    <row r="1441" spans="2:4" x14ac:dyDescent="0.2">
      <c r="B1441" s="115"/>
      <c r="D1441" s="116"/>
    </row>
    <row r="1442" spans="2:4" x14ac:dyDescent="0.2">
      <c r="B1442" s="115"/>
      <c r="D1442" s="116"/>
    </row>
    <row r="1443" spans="2:4" x14ac:dyDescent="0.2">
      <c r="B1443" s="115"/>
      <c r="D1443" s="116"/>
    </row>
    <row r="1444" spans="2:4" x14ac:dyDescent="0.2">
      <c r="B1444" s="115"/>
      <c r="D1444" s="116"/>
    </row>
    <row r="1445" spans="2:4" x14ac:dyDescent="0.2">
      <c r="B1445" s="115"/>
      <c r="D1445" s="116"/>
    </row>
    <row r="1446" spans="2:4" x14ac:dyDescent="0.2">
      <c r="B1446" s="115"/>
      <c r="D1446" s="116"/>
    </row>
    <row r="1447" spans="2:4" x14ac:dyDescent="0.2">
      <c r="B1447" s="115"/>
      <c r="D1447" s="116"/>
    </row>
    <row r="1448" spans="2:4" x14ac:dyDescent="0.2">
      <c r="B1448" s="115"/>
      <c r="D1448" s="116"/>
    </row>
    <row r="1449" spans="2:4" x14ac:dyDescent="0.2">
      <c r="B1449" s="115"/>
      <c r="D1449" s="116"/>
    </row>
    <row r="1450" spans="2:4" x14ac:dyDescent="0.2">
      <c r="B1450" s="115"/>
      <c r="D1450" s="116"/>
    </row>
    <row r="1451" spans="2:4" x14ac:dyDescent="0.2">
      <c r="B1451" s="115"/>
      <c r="D1451" s="116"/>
    </row>
    <row r="1452" spans="2:4" x14ac:dyDescent="0.2">
      <c r="B1452" s="115"/>
      <c r="D1452" s="116"/>
    </row>
    <row r="1453" spans="2:4" x14ac:dyDescent="0.2">
      <c r="B1453" s="115"/>
      <c r="D1453" s="116"/>
    </row>
    <row r="1454" spans="2:4" x14ac:dyDescent="0.2">
      <c r="B1454" s="115"/>
      <c r="D1454" s="116"/>
    </row>
    <row r="1455" spans="2:4" x14ac:dyDescent="0.2">
      <c r="B1455" s="115"/>
      <c r="D1455" s="116"/>
    </row>
    <row r="1456" spans="2:4" x14ac:dyDescent="0.2">
      <c r="B1456" s="115"/>
      <c r="D1456" s="116"/>
    </row>
    <row r="1457" spans="2:4" x14ac:dyDescent="0.2">
      <c r="B1457" s="115"/>
      <c r="D1457" s="116"/>
    </row>
    <row r="1458" spans="2:4" x14ac:dyDescent="0.2">
      <c r="B1458" s="115"/>
      <c r="D1458" s="116"/>
    </row>
    <row r="1459" spans="2:4" x14ac:dyDescent="0.2">
      <c r="B1459" s="115"/>
      <c r="D1459" s="116"/>
    </row>
    <row r="1460" spans="2:4" x14ac:dyDescent="0.2">
      <c r="B1460" s="115"/>
      <c r="D1460" s="116"/>
    </row>
    <row r="1461" spans="2:4" x14ac:dyDescent="0.2">
      <c r="B1461" s="115"/>
      <c r="D1461" s="116"/>
    </row>
    <row r="1462" spans="2:4" x14ac:dyDescent="0.2">
      <c r="B1462" s="115"/>
      <c r="D1462" s="116"/>
    </row>
    <row r="1463" spans="2:4" x14ac:dyDescent="0.2">
      <c r="B1463" s="115"/>
      <c r="D1463" s="116"/>
    </row>
    <row r="1464" spans="2:4" x14ac:dyDescent="0.2">
      <c r="B1464" s="115"/>
      <c r="D1464" s="116"/>
    </row>
    <row r="1465" spans="2:4" x14ac:dyDescent="0.2">
      <c r="B1465" s="115"/>
      <c r="D1465" s="116"/>
    </row>
    <row r="1466" spans="2:4" x14ac:dyDescent="0.2">
      <c r="B1466" s="115"/>
      <c r="D1466" s="116"/>
    </row>
    <row r="1467" spans="2:4" x14ac:dyDescent="0.2">
      <c r="B1467" s="115"/>
      <c r="D1467" s="116"/>
    </row>
    <row r="1468" spans="2:4" x14ac:dyDescent="0.2">
      <c r="B1468" s="115"/>
      <c r="D1468" s="116"/>
    </row>
    <row r="1469" spans="2:4" x14ac:dyDescent="0.2">
      <c r="B1469" s="115"/>
      <c r="D1469" s="116"/>
    </row>
    <row r="1470" spans="2:4" x14ac:dyDescent="0.2">
      <c r="B1470" s="115"/>
      <c r="D1470" s="116"/>
    </row>
    <row r="1471" spans="2:4" x14ac:dyDescent="0.2">
      <c r="B1471" s="115"/>
      <c r="D1471" s="116"/>
    </row>
    <row r="1472" spans="2:4" x14ac:dyDescent="0.2">
      <c r="B1472" s="115"/>
      <c r="D1472" s="116"/>
    </row>
    <row r="1473" spans="2:4" x14ac:dyDescent="0.2">
      <c r="B1473" s="115"/>
      <c r="D1473" s="116"/>
    </row>
    <row r="1474" spans="2:4" x14ac:dyDescent="0.2">
      <c r="B1474" s="115"/>
      <c r="D1474" s="116"/>
    </row>
    <row r="1475" spans="2:4" x14ac:dyDescent="0.2">
      <c r="B1475" s="115"/>
      <c r="D1475" s="116"/>
    </row>
    <row r="1476" spans="2:4" x14ac:dyDescent="0.2">
      <c r="B1476" s="115"/>
      <c r="D1476" s="116"/>
    </row>
    <row r="1477" spans="2:4" x14ac:dyDescent="0.2">
      <c r="B1477" s="115"/>
      <c r="D1477" s="116"/>
    </row>
    <row r="1478" spans="2:4" x14ac:dyDescent="0.2">
      <c r="B1478" s="115"/>
      <c r="D1478" s="116"/>
    </row>
    <row r="1479" spans="2:4" x14ac:dyDescent="0.2">
      <c r="B1479" s="115"/>
      <c r="D1479" s="116"/>
    </row>
    <row r="1480" spans="2:4" x14ac:dyDescent="0.2">
      <c r="B1480" s="115"/>
      <c r="D1480" s="116"/>
    </row>
    <row r="1481" spans="2:4" x14ac:dyDescent="0.2">
      <c r="B1481" s="115"/>
      <c r="D1481" s="116"/>
    </row>
    <row r="1482" spans="2:4" x14ac:dyDescent="0.2">
      <c r="B1482" s="115"/>
      <c r="D1482" s="116"/>
    </row>
    <row r="1483" spans="2:4" x14ac:dyDescent="0.2">
      <c r="B1483" s="115"/>
      <c r="D1483" s="116"/>
    </row>
    <row r="1484" spans="2:4" x14ac:dyDescent="0.2">
      <c r="B1484" s="115"/>
      <c r="D1484" s="116"/>
    </row>
    <row r="1485" spans="2:4" x14ac:dyDescent="0.2">
      <c r="B1485" s="115"/>
      <c r="D1485" s="116"/>
    </row>
    <row r="1486" spans="2:4" x14ac:dyDescent="0.2">
      <c r="B1486" s="115"/>
      <c r="D1486" s="116"/>
    </row>
    <row r="1487" spans="2:4" x14ac:dyDescent="0.2">
      <c r="B1487" s="115"/>
      <c r="D1487" s="116"/>
    </row>
    <row r="1488" spans="2:4" x14ac:dyDescent="0.2">
      <c r="B1488" s="115"/>
      <c r="D1488" s="116"/>
    </row>
    <row r="1489" spans="2:4" x14ac:dyDescent="0.2">
      <c r="B1489" s="115"/>
      <c r="D1489" s="116"/>
    </row>
    <row r="1490" spans="2:4" x14ac:dyDescent="0.2">
      <c r="B1490" s="115"/>
      <c r="D1490" s="116"/>
    </row>
    <row r="1491" spans="2:4" x14ac:dyDescent="0.2">
      <c r="B1491" s="115"/>
      <c r="D1491" s="116"/>
    </row>
    <row r="1492" spans="2:4" x14ac:dyDescent="0.2">
      <c r="B1492" s="115"/>
      <c r="D1492" s="116"/>
    </row>
    <row r="1493" spans="2:4" x14ac:dyDescent="0.2">
      <c r="B1493" s="115"/>
      <c r="D1493" s="116"/>
    </row>
    <row r="1494" spans="2:4" x14ac:dyDescent="0.2">
      <c r="B1494" s="115"/>
      <c r="D1494" s="116"/>
    </row>
    <row r="1495" spans="2:4" x14ac:dyDescent="0.2">
      <c r="B1495" s="115"/>
      <c r="D1495" s="116"/>
    </row>
    <row r="1496" spans="2:4" x14ac:dyDescent="0.2">
      <c r="B1496" s="115"/>
      <c r="D1496" s="116"/>
    </row>
    <row r="1497" spans="2:4" x14ac:dyDescent="0.2">
      <c r="B1497" s="115"/>
      <c r="D1497" s="116"/>
    </row>
    <row r="1498" spans="2:4" x14ac:dyDescent="0.2">
      <c r="B1498" s="115"/>
      <c r="D1498" s="116"/>
    </row>
    <row r="1499" spans="2:4" x14ac:dyDescent="0.2">
      <c r="B1499" s="115"/>
      <c r="D1499" s="116"/>
    </row>
    <row r="1500" spans="2:4" x14ac:dyDescent="0.2">
      <c r="B1500" s="115"/>
      <c r="D1500" s="116"/>
    </row>
    <row r="1501" spans="2:4" x14ac:dyDescent="0.2">
      <c r="B1501" s="115"/>
      <c r="D1501" s="116"/>
    </row>
    <row r="1502" spans="2:4" x14ac:dyDescent="0.2">
      <c r="B1502" s="115"/>
      <c r="D1502" s="116"/>
    </row>
    <row r="1503" spans="2:4" x14ac:dyDescent="0.2">
      <c r="B1503" s="115"/>
      <c r="D1503" s="116"/>
    </row>
    <row r="1504" spans="2:4" x14ac:dyDescent="0.2">
      <c r="B1504" s="115"/>
      <c r="D1504" s="116"/>
    </row>
    <row r="1505" spans="2:4" x14ac:dyDescent="0.2">
      <c r="B1505" s="115"/>
      <c r="D1505" s="116"/>
    </row>
    <row r="1506" spans="2:4" x14ac:dyDescent="0.2">
      <c r="B1506" s="115"/>
      <c r="D1506" s="116"/>
    </row>
    <row r="1507" spans="2:4" x14ac:dyDescent="0.2">
      <c r="B1507" s="115"/>
      <c r="D1507" s="116"/>
    </row>
    <row r="1508" spans="2:4" x14ac:dyDescent="0.2">
      <c r="B1508" s="115"/>
      <c r="D1508" s="116"/>
    </row>
    <row r="1509" spans="2:4" x14ac:dyDescent="0.2">
      <c r="B1509" s="115"/>
      <c r="D1509" s="116"/>
    </row>
    <row r="1510" spans="2:4" x14ac:dyDescent="0.2">
      <c r="B1510" s="115"/>
      <c r="D1510" s="116"/>
    </row>
    <row r="1511" spans="2:4" x14ac:dyDescent="0.2">
      <c r="B1511" s="115"/>
      <c r="D1511" s="116"/>
    </row>
    <row r="1512" spans="2:4" x14ac:dyDescent="0.2">
      <c r="B1512" s="115"/>
      <c r="D1512" s="116"/>
    </row>
    <row r="1513" spans="2:4" x14ac:dyDescent="0.2">
      <c r="B1513" s="115"/>
      <c r="D1513" s="116"/>
    </row>
    <row r="1514" spans="2:4" x14ac:dyDescent="0.2">
      <c r="B1514" s="115"/>
      <c r="D1514" s="116"/>
    </row>
    <row r="1515" spans="2:4" x14ac:dyDescent="0.2">
      <c r="B1515" s="115"/>
      <c r="D1515" s="116"/>
    </row>
    <row r="1516" spans="2:4" x14ac:dyDescent="0.2">
      <c r="B1516" s="115"/>
      <c r="D1516" s="116"/>
    </row>
    <row r="1517" spans="2:4" x14ac:dyDescent="0.2">
      <c r="B1517" s="115"/>
      <c r="D1517" s="116"/>
    </row>
    <row r="1518" spans="2:4" x14ac:dyDescent="0.2">
      <c r="B1518" s="115"/>
      <c r="D1518" s="116"/>
    </row>
    <row r="1519" spans="2:4" x14ac:dyDescent="0.2">
      <c r="B1519" s="115"/>
      <c r="D1519" s="116"/>
    </row>
    <row r="1520" spans="2:4" x14ac:dyDescent="0.2">
      <c r="B1520" s="115"/>
      <c r="D1520" s="116"/>
    </row>
    <row r="1521" spans="2:4" x14ac:dyDescent="0.2">
      <c r="B1521" s="115"/>
      <c r="D1521" s="116"/>
    </row>
    <row r="1522" spans="2:4" x14ac:dyDescent="0.2">
      <c r="B1522" s="115"/>
      <c r="D1522" s="116"/>
    </row>
    <row r="1523" spans="2:4" x14ac:dyDescent="0.2">
      <c r="B1523" s="115"/>
      <c r="D1523" s="116"/>
    </row>
    <row r="1524" spans="2:4" x14ac:dyDescent="0.2">
      <c r="B1524" s="115"/>
      <c r="D1524" s="116"/>
    </row>
    <row r="1525" spans="2:4" x14ac:dyDescent="0.2">
      <c r="B1525" s="115"/>
      <c r="D1525" s="116"/>
    </row>
    <row r="1526" spans="2:4" x14ac:dyDescent="0.2">
      <c r="B1526" s="115"/>
      <c r="D1526" s="116"/>
    </row>
    <row r="1527" spans="2:4" x14ac:dyDescent="0.2">
      <c r="B1527" s="115"/>
      <c r="D1527" s="116"/>
    </row>
    <row r="1528" spans="2:4" x14ac:dyDescent="0.2">
      <c r="B1528" s="115"/>
      <c r="D1528" s="116"/>
    </row>
    <row r="1529" spans="2:4" x14ac:dyDescent="0.2">
      <c r="B1529" s="115"/>
      <c r="D1529" s="116"/>
    </row>
    <row r="1530" spans="2:4" x14ac:dyDescent="0.2">
      <c r="B1530" s="115"/>
      <c r="D1530" s="116"/>
    </row>
    <row r="1531" spans="2:4" x14ac:dyDescent="0.2">
      <c r="B1531" s="115"/>
      <c r="D1531" s="116"/>
    </row>
    <row r="1532" spans="2:4" x14ac:dyDescent="0.2">
      <c r="B1532" s="115"/>
      <c r="D1532" s="116"/>
    </row>
    <row r="1533" spans="2:4" x14ac:dyDescent="0.2">
      <c r="B1533" s="115"/>
      <c r="D1533" s="116"/>
    </row>
    <row r="1534" spans="2:4" x14ac:dyDescent="0.2">
      <c r="B1534" s="115"/>
      <c r="D1534" s="116"/>
    </row>
    <row r="1535" spans="2:4" x14ac:dyDescent="0.2">
      <c r="B1535" s="115"/>
      <c r="D1535" s="116"/>
    </row>
    <row r="1536" spans="2:4" x14ac:dyDescent="0.2">
      <c r="B1536" s="115"/>
      <c r="D1536" s="116"/>
    </row>
    <row r="1537" spans="2:4" x14ac:dyDescent="0.2">
      <c r="B1537" s="115"/>
      <c r="D1537" s="116"/>
    </row>
    <row r="1538" spans="2:4" x14ac:dyDescent="0.2">
      <c r="B1538" s="115"/>
      <c r="D1538" s="116"/>
    </row>
    <row r="1539" spans="2:4" x14ac:dyDescent="0.2">
      <c r="B1539" s="115"/>
      <c r="D1539" s="116"/>
    </row>
    <row r="1540" spans="2:4" x14ac:dyDescent="0.2">
      <c r="B1540" s="115"/>
      <c r="D1540" s="116"/>
    </row>
    <row r="1541" spans="2:4" x14ac:dyDescent="0.2">
      <c r="B1541" s="115"/>
      <c r="D1541" s="116"/>
    </row>
    <row r="1542" spans="2:4" x14ac:dyDescent="0.2">
      <c r="B1542" s="115"/>
      <c r="D1542" s="116"/>
    </row>
    <row r="1543" spans="2:4" x14ac:dyDescent="0.2">
      <c r="B1543" s="115"/>
      <c r="D1543" s="116"/>
    </row>
    <row r="1544" spans="2:4" x14ac:dyDescent="0.2">
      <c r="B1544" s="115"/>
      <c r="D1544" s="116"/>
    </row>
    <row r="1545" spans="2:4" x14ac:dyDescent="0.2">
      <c r="B1545" s="115"/>
      <c r="D1545" s="116"/>
    </row>
    <row r="1546" spans="2:4" x14ac:dyDescent="0.2">
      <c r="B1546" s="115"/>
      <c r="D1546" s="116"/>
    </row>
    <row r="1547" spans="2:4" x14ac:dyDescent="0.2">
      <c r="B1547" s="115"/>
      <c r="D1547" s="116"/>
    </row>
    <row r="1548" spans="2:4" x14ac:dyDescent="0.2">
      <c r="B1548" s="115"/>
      <c r="D1548" s="116"/>
    </row>
    <row r="1549" spans="2:4" x14ac:dyDescent="0.2">
      <c r="B1549" s="115"/>
      <c r="D1549" s="116"/>
    </row>
    <row r="1550" spans="2:4" x14ac:dyDescent="0.2">
      <c r="B1550" s="115"/>
      <c r="D1550" s="116"/>
    </row>
    <row r="1551" spans="2:4" x14ac:dyDescent="0.2">
      <c r="B1551" s="115"/>
      <c r="D1551" s="116"/>
    </row>
    <row r="1552" spans="2:4" x14ac:dyDescent="0.2">
      <c r="B1552" s="115"/>
      <c r="D1552" s="116"/>
    </row>
    <row r="1553" spans="2:4" x14ac:dyDescent="0.2">
      <c r="B1553" s="115"/>
      <c r="D1553" s="116"/>
    </row>
    <row r="1554" spans="2:4" x14ac:dyDescent="0.2">
      <c r="B1554" s="115"/>
      <c r="D1554" s="116"/>
    </row>
    <row r="1555" spans="2:4" x14ac:dyDescent="0.2">
      <c r="B1555" s="115"/>
      <c r="D1555" s="116"/>
    </row>
    <row r="1556" spans="2:4" x14ac:dyDescent="0.2">
      <c r="B1556" s="115"/>
      <c r="D1556" s="116"/>
    </row>
    <row r="1557" spans="2:4" x14ac:dyDescent="0.2">
      <c r="B1557" s="115"/>
      <c r="D1557" s="116"/>
    </row>
    <row r="1558" spans="2:4" x14ac:dyDescent="0.2">
      <c r="B1558" s="115"/>
      <c r="D1558" s="116"/>
    </row>
    <row r="1559" spans="2:4" x14ac:dyDescent="0.2">
      <c r="B1559" s="115"/>
      <c r="D1559" s="116"/>
    </row>
    <row r="1560" spans="2:4" x14ac:dyDescent="0.2">
      <c r="B1560" s="115"/>
      <c r="D1560" s="116"/>
    </row>
    <row r="1561" spans="2:4" x14ac:dyDescent="0.2">
      <c r="B1561" s="115"/>
      <c r="D1561" s="116"/>
    </row>
    <row r="1562" spans="2:4" x14ac:dyDescent="0.2">
      <c r="B1562" s="115"/>
      <c r="D1562" s="116"/>
    </row>
    <row r="1563" spans="2:4" x14ac:dyDescent="0.2">
      <c r="B1563" s="115"/>
      <c r="D1563" s="116"/>
    </row>
    <row r="1564" spans="2:4" x14ac:dyDescent="0.2">
      <c r="B1564" s="115"/>
      <c r="D1564" s="116"/>
    </row>
    <row r="1565" spans="2:4" x14ac:dyDescent="0.2">
      <c r="B1565" s="115"/>
      <c r="D1565" s="116"/>
    </row>
    <row r="1566" spans="2:4" x14ac:dyDescent="0.2">
      <c r="B1566" s="115"/>
      <c r="D1566" s="116"/>
    </row>
    <row r="1567" spans="2:4" x14ac:dyDescent="0.2">
      <c r="B1567" s="115"/>
      <c r="D1567" s="116"/>
    </row>
    <row r="1568" spans="2:4" x14ac:dyDescent="0.2">
      <c r="B1568" s="115"/>
      <c r="D1568" s="116"/>
    </row>
    <row r="1569" spans="2:4" x14ac:dyDescent="0.2">
      <c r="B1569" s="115"/>
      <c r="D1569" s="116"/>
    </row>
    <row r="1570" spans="2:4" x14ac:dyDescent="0.2">
      <c r="B1570" s="115"/>
      <c r="D1570" s="116"/>
    </row>
    <row r="1571" spans="2:4" x14ac:dyDescent="0.2">
      <c r="B1571" s="115"/>
      <c r="D1571" s="116"/>
    </row>
    <row r="1572" spans="2:4" x14ac:dyDescent="0.2">
      <c r="B1572" s="115"/>
      <c r="D1572" s="116"/>
    </row>
    <row r="1573" spans="2:4" x14ac:dyDescent="0.2">
      <c r="B1573" s="115"/>
      <c r="D1573" s="116"/>
    </row>
    <row r="1574" spans="2:4" x14ac:dyDescent="0.2">
      <c r="B1574" s="115"/>
      <c r="D1574" s="116"/>
    </row>
    <row r="1575" spans="2:4" x14ac:dyDescent="0.2">
      <c r="B1575" s="115"/>
      <c r="D1575" s="116"/>
    </row>
    <row r="1576" spans="2:4" x14ac:dyDescent="0.2">
      <c r="B1576" s="115"/>
      <c r="D1576" s="116"/>
    </row>
    <row r="1577" spans="2:4" x14ac:dyDescent="0.2">
      <c r="B1577" s="115"/>
      <c r="D1577" s="116"/>
    </row>
    <row r="1578" spans="2:4" x14ac:dyDescent="0.2">
      <c r="B1578" s="115"/>
      <c r="D1578" s="116"/>
    </row>
    <row r="1579" spans="2:4" x14ac:dyDescent="0.2">
      <c r="B1579" s="115"/>
      <c r="D1579" s="116"/>
    </row>
    <row r="1580" spans="2:4" x14ac:dyDescent="0.2">
      <c r="B1580" s="115"/>
      <c r="D1580" s="116"/>
    </row>
    <row r="1581" spans="2:4" x14ac:dyDescent="0.2">
      <c r="B1581" s="115"/>
      <c r="D1581" s="116"/>
    </row>
    <row r="1582" spans="2:4" x14ac:dyDescent="0.2">
      <c r="B1582" s="115"/>
      <c r="D1582" s="116"/>
    </row>
    <row r="1583" spans="2:4" x14ac:dyDescent="0.2">
      <c r="B1583" s="115"/>
      <c r="D1583" s="116"/>
    </row>
    <row r="1584" spans="2:4" x14ac:dyDescent="0.2">
      <c r="B1584" s="115"/>
      <c r="D1584" s="116"/>
    </row>
    <row r="1585" spans="2:4" x14ac:dyDescent="0.2">
      <c r="B1585" s="115"/>
      <c r="D1585" s="116"/>
    </row>
    <row r="1586" spans="2:4" x14ac:dyDescent="0.2">
      <c r="B1586" s="115"/>
      <c r="D1586" s="116"/>
    </row>
    <row r="1587" spans="2:4" x14ac:dyDescent="0.2">
      <c r="B1587" s="115"/>
      <c r="D1587" s="116"/>
    </row>
    <row r="1588" spans="2:4" x14ac:dyDescent="0.2">
      <c r="B1588" s="115"/>
      <c r="D1588" s="116"/>
    </row>
    <row r="1589" spans="2:4" x14ac:dyDescent="0.2">
      <c r="B1589" s="115"/>
      <c r="D1589" s="116"/>
    </row>
    <row r="1590" spans="2:4" x14ac:dyDescent="0.2">
      <c r="B1590" s="115"/>
      <c r="D1590" s="116"/>
    </row>
    <row r="1591" spans="2:4" x14ac:dyDescent="0.2">
      <c r="B1591" s="115"/>
      <c r="D1591" s="116"/>
    </row>
    <row r="1592" spans="2:4" x14ac:dyDescent="0.2">
      <c r="B1592" s="115"/>
      <c r="D1592" s="116"/>
    </row>
    <row r="1593" spans="2:4" x14ac:dyDescent="0.2">
      <c r="B1593" s="115"/>
      <c r="D1593" s="116"/>
    </row>
    <row r="1594" spans="2:4" x14ac:dyDescent="0.2">
      <c r="B1594" s="115"/>
      <c r="D1594" s="116"/>
    </row>
    <row r="1595" spans="2:4" x14ac:dyDescent="0.2">
      <c r="B1595" s="115"/>
      <c r="D1595" s="116"/>
    </row>
    <row r="1596" spans="2:4" x14ac:dyDescent="0.2">
      <c r="B1596" s="115"/>
      <c r="D1596" s="116"/>
    </row>
    <row r="1597" spans="2:4" x14ac:dyDescent="0.2">
      <c r="B1597" s="115"/>
      <c r="D1597" s="116"/>
    </row>
    <row r="1598" spans="2:4" x14ac:dyDescent="0.2">
      <c r="B1598" s="115"/>
      <c r="D1598" s="116"/>
    </row>
    <row r="1599" spans="2:4" x14ac:dyDescent="0.2">
      <c r="B1599" s="115"/>
      <c r="D1599" s="116"/>
    </row>
    <row r="1600" spans="2:4" x14ac:dyDescent="0.2">
      <c r="B1600" s="115"/>
      <c r="D1600" s="116"/>
    </row>
    <row r="1601" spans="2:4" x14ac:dyDescent="0.2">
      <c r="B1601" s="115"/>
      <c r="D1601" s="116"/>
    </row>
    <row r="1602" spans="2:4" x14ac:dyDescent="0.2">
      <c r="B1602" s="115"/>
      <c r="D1602" s="116"/>
    </row>
    <row r="1603" spans="2:4" x14ac:dyDescent="0.2">
      <c r="B1603" s="115"/>
      <c r="D1603" s="116"/>
    </row>
    <row r="1604" spans="2:4" x14ac:dyDescent="0.2">
      <c r="B1604" s="115"/>
      <c r="D1604" s="116"/>
    </row>
    <row r="1605" spans="2:4" x14ac:dyDescent="0.2">
      <c r="B1605" s="115"/>
      <c r="D1605" s="116"/>
    </row>
    <row r="1606" spans="2:4" x14ac:dyDescent="0.2">
      <c r="B1606" s="115"/>
      <c r="D1606" s="116"/>
    </row>
    <row r="1607" spans="2:4" x14ac:dyDescent="0.2">
      <c r="B1607" s="115"/>
      <c r="D1607" s="116"/>
    </row>
    <row r="1608" spans="2:4" x14ac:dyDescent="0.2">
      <c r="B1608" s="115"/>
      <c r="D1608" s="116"/>
    </row>
    <row r="1609" spans="2:4" x14ac:dyDescent="0.2">
      <c r="B1609" s="115"/>
      <c r="D1609" s="116"/>
    </row>
    <row r="1610" spans="2:4" x14ac:dyDescent="0.2">
      <c r="B1610" s="115"/>
      <c r="D1610" s="116"/>
    </row>
    <row r="1611" spans="2:4" x14ac:dyDescent="0.2">
      <c r="B1611" s="115"/>
      <c r="D1611" s="116"/>
    </row>
    <row r="1612" spans="2:4" x14ac:dyDescent="0.2">
      <c r="B1612" s="115"/>
      <c r="D1612" s="116"/>
    </row>
    <row r="1613" spans="2:4" x14ac:dyDescent="0.2">
      <c r="B1613" s="115"/>
      <c r="D1613" s="116"/>
    </row>
    <row r="1614" spans="2:4" x14ac:dyDescent="0.2">
      <c r="B1614" s="115"/>
      <c r="D1614" s="116"/>
    </row>
    <row r="1615" spans="2:4" x14ac:dyDescent="0.2">
      <c r="B1615" s="115"/>
      <c r="D1615" s="116"/>
    </row>
    <row r="1616" spans="2:4" x14ac:dyDescent="0.2">
      <c r="B1616" s="115"/>
      <c r="D1616" s="116"/>
    </row>
    <row r="1617" spans="2:4" x14ac:dyDescent="0.2">
      <c r="B1617" s="115"/>
      <c r="D1617" s="116"/>
    </row>
    <row r="1618" spans="2:4" x14ac:dyDescent="0.2">
      <c r="B1618" s="115"/>
      <c r="D1618" s="116"/>
    </row>
    <row r="1619" spans="2:4" x14ac:dyDescent="0.2">
      <c r="B1619" s="115"/>
      <c r="D1619" s="116"/>
    </row>
    <row r="1620" spans="2:4" x14ac:dyDescent="0.2">
      <c r="B1620" s="115"/>
      <c r="D1620" s="116"/>
    </row>
    <row r="1621" spans="2:4" x14ac:dyDescent="0.2">
      <c r="B1621" s="115"/>
      <c r="D1621" s="116"/>
    </row>
    <row r="1622" spans="2:4" x14ac:dyDescent="0.2">
      <c r="B1622" s="115"/>
      <c r="D1622" s="116"/>
    </row>
    <row r="1623" spans="2:4" x14ac:dyDescent="0.2">
      <c r="B1623" s="115"/>
      <c r="D1623" s="116"/>
    </row>
    <row r="1624" spans="2:4" x14ac:dyDescent="0.2">
      <c r="B1624" s="115"/>
      <c r="D1624" s="116"/>
    </row>
    <row r="1625" spans="2:4" x14ac:dyDescent="0.2">
      <c r="B1625" s="115"/>
      <c r="D1625" s="116"/>
    </row>
    <row r="1626" spans="2:4" x14ac:dyDescent="0.2">
      <c r="B1626" s="115"/>
      <c r="D1626" s="116"/>
    </row>
    <row r="1627" spans="2:4" x14ac:dyDescent="0.2">
      <c r="B1627" s="115"/>
      <c r="D1627" s="116"/>
    </row>
    <row r="1628" spans="2:4" x14ac:dyDescent="0.2">
      <c r="B1628" s="115"/>
      <c r="D1628" s="116"/>
    </row>
    <row r="1629" spans="2:4" x14ac:dyDescent="0.2">
      <c r="B1629" s="115"/>
      <c r="D1629" s="116"/>
    </row>
    <row r="1630" spans="2:4" x14ac:dyDescent="0.2">
      <c r="B1630" s="115"/>
      <c r="D1630" s="116"/>
    </row>
    <row r="1631" spans="2:4" x14ac:dyDescent="0.2">
      <c r="B1631" s="115"/>
      <c r="D1631" s="116"/>
    </row>
    <row r="1632" spans="2:4" x14ac:dyDescent="0.2">
      <c r="B1632" s="115"/>
      <c r="D1632" s="116"/>
    </row>
    <row r="1633" spans="2:4" x14ac:dyDescent="0.2">
      <c r="B1633" s="115"/>
      <c r="D1633" s="116"/>
    </row>
    <row r="1634" spans="2:4" x14ac:dyDescent="0.2">
      <c r="B1634" s="115"/>
      <c r="D1634" s="116"/>
    </row>
    <row r="1635" spans="2:4" x14ac:dyDescent="0.2">
      <c r="B1635" s="115"/>
      <c r="D1635" s="116"/>
    </row>
    <row r="1636" spans="2:4" x14ac:dyDescent="0.2">
      <c r="B1636" s="115"/>
      <c r="D1636" s="116"/>
    </row>
    <row r="1637" spans="2:4" x14ac:dyDescent="0.2">
      <c r="B1637" s="115"/>
      <c r="D1637" s="116"/>
    </row>
    <row r="1638" spans="2:4" x14ac:dyDescent="0.2">
      <c r="B1638" s="115"/>
      <c r="D1638" s="116"/>
    </row>
    <row r="1639" spans="2:4" x14ac:dyDescent="0.2">
      <c r="B1639" s="115"/>
      <c r="D1639" s="116"/>
    </row>
    <row r="1640" spans="2:4" x14ac:dyDescent="0.2">
      <c r="B1640" s="115"/>
      <c r="D1640" s="116"/>
    </row>
    <row r="1641" spans="2:4" x14ac:dyDescent="0.2">
      <c r="B1641" s="115"/>
      <c r="D1641" s="116"/>
    </row>
    <row r="1642" spans="2:4" x14ac:dyDescent="0.2">
      <c r="B1642" s="115"/>
      <c r="D1642" s="116"/>
    </row>
    <row r="1643" spans="2:4" x14ac:dyDescent="0.2">
      <c r="B1643" s="115"/>
      <c r="D1643" s="116"/>
    </row>
    <row r="1644" spans="2:4" x14ac:dyDescent="0.2">
      <c r="B1644" s="115"/>
      <c r="D1644" s="116"/>
    </row>
    <row r="1645" spans="2:4" x14ac:dyDescent="0.2">
      <c r="B1645" s="115"/>
      <c r="D1645" s="116"/>
    </row>
    <row r="1646" spans="2:4" x14ac:dyDescent="0.2">
      <c r="B1646" s="115"/>
      <c r="D1646" s="116"/>
    </row>
    <row r="1647" spans="2:4" x14ac:dyDescent="0.2">
      <c r="B1647" s="115"/>
      <c r="D1647" s="116"/>
    </row>
    <row r="1648" spans="2:4" x14ac:dyDescent="0.2">
      <c r="B1648" s="115"/>
      <c r="D1648" s="116"/>
    </row>
    <row r="1649" spans="2:4" x14ac:dyDescent="0.2">
      <c r="B1649" s="115"/>
      <c r="D1649" s="116"/>
    </row>
    <row r="1650" spans="2:4" x14ac:dyDescent="0.2">
      <c r="B1650" s="115"/>
      <c r="D1650" s="116"/>
    </row>
    <row r="1651" spans="2:4" x14ac:dyDescent="0.2">
      <c r="B1651" s="115"/>
      <c r="D1651" s="116"/>
    </row>
    <row r="1652" spans="2:4" x14ac:dyDescent="0.2">
      <c r="B1652" s="115"/>
      <c r="D1652" s="116"/>
    </row>
    <row r="1653" spans="2:4" x14ac:dyDescent="0.2">
      <c r="B1653" s="115"/>
      <c r="D1653" s="116"/>
    </row>
    <row r="1654" spans="2:4" x14ac:dyDescent="0.2">
      <c r="B1654" s="115"/>
      <c r="D1654" s="116"/>
    </row>
    <row r="1655" spans="2:4" x14ac:dyDescent="0.2">
      <c r="B1655" s="115"/>
      <c r="D1655" s="116"/>
    </row>
    <row r="1656" spans="2:4" x14ac:dyDescent="0.2">
      <c r="B1656" s="115"/>
      <c r="D1656" s="116"/>
    </row>
    <row r="1657" spans="2:4" x14ac:dyDescent="0.2">
      <c r="B1657" s="115"/>
      <c r="D1657" s="116"/>
    </row>
    <row r="1658" spans="2:4" x14ac:dyDescent="0.2">
      <c r="B1658" s="115"/>
      <c r="D1658" s="116"/>
    </row>
    <row r="1659" spans="2:4" x14ac:dyDescent="0.2">
      <c r="B1659" s="115"/>
      <c r="D1659" s="116"/>
    </row>
    <row r="1660" spans="2:4" x14ac:dyDescent="0.2">
      <c r="B1660" s="115"/>
      <c r="D1660" s="116"/>
    </row>
    <row r="1661" spans="2:4" x14ac:dyDescent="0.2">
      <c r="B1661" s="115"/>
      <c r="D1661" s="116"/>
    </row>
    <row r="1662" spans="2:4" x14ac:dyDescent="0.2">
      <c r="B1662" s="115"/>
      <c r="D1662" s="116"/>
    </row>
    <row r="1663" spans="2:4" x14ac:dyDescent="0.2">
      <c r="B1663" s="115"/>
      <c r="D1663" s="116"/>
    </row>
    <row r="1664" spans="2:4" x14ac:dyDescent="0.2">
      <c r="B1664" s="115"/>
      <c r="D1664" s="116"/>
    </row>
    <row r="1665" spans="2:4" x14ac:dyDescent="0.2">
      <c r="B1665" s="115"/>
      <c r="D1665" s="116"/>
    </row>
    <row r="1666" spans="2:4" x14ac:dyDescent="0.2">
      <c r="B1666" s="115"/>
      <c r="D1666" s="116"/>
    </row>
    <row r="1667" spans="2:4" x14ac:dyDescent="0.2">
      <c r="B1667" s="115"/>
      <c r="D1667" s="116"/>
    </row>
    <row r="1668" spans="2:4" x14ac:dyDescent="0.2">
      <c r="B1668" s="115"/>
      <c r="D1668" s="116"/>
    </row>
    <row r="1669" spans="2:4" x14ac:dyDescent="0.2">
      <c r="B1669" s="115"/>
      <c r="D1669" s="116"/>
    </row>
    <row r="1670" spans="2:4" x14ac:dyDescent="0.2">
      <c r="B1670" s="115"/>
      <c r="D1670" s="116"/>
    </row>
    <row r="1671" spans="2:4" x14ac:dyDescent="0.2">
      <c r="B1671" s="115"/>
      <c r="D1671" s="116"/>
    </row>
    <row r="1672" spans="2:4" x14ac:dyDescent="0.2">
      <c r="B1672" s="115"/>
      <c r="D1672" s="116"/>
    </row>
    <row r="1673" spans="2:4" x14ac:dyDescent="0.2">
      <c r="B1673" s="115"/>
      <c r="D1673" s="116"/>
    </row>
    <row r="1674" spans="2:4" x14ac:dyDescent="0.2">
      <c r="B1674" s="115"/>
      <c r="D1674" s="116"/>
    </row>
    <row r="1675" spans="2:4" x14ac:dyDescent="0.2">
      <c r="B1675" s="115"/>
      <c r="D1675" s="116"/>
    </row>
    <row r="1676" spans="2:4" x14ac:dyDescent="0.2">
      <c r="B1676" s="115"/>
      <c r="D1676" s="116"/>
    </row>
    <row r="1677" spans="2:4" x14ac:dyDescent="0.2">
      <c r="B1677" s="115"/>
      <c r="D1677" s="116"/>
    </row>
    <row r="1678" spans="2:4" x14ac:dyDescent="0.2">
      <c r="B1678" s="115"/>
      <c r="D1678" s="116"/>
    </row>
    <row r="1679" spans="2:4" x14ac:dyDescent="0.2">
      <c r="B1679" s="115"/>
      <c r="D1679" s="116"/>
    </row>
    <row r="1680" spans="2:4" x14ac:dyDescent="0.2">
      <c r="B1680" s="115"/>
      <c r="D1680" s="116"/>
    </row>
    <row r="1681" spans="2:4" x14ac:dyDescent="0.2">
      <c r="B1681" s="115"/>
      <c r="D1681" s="116"/>
    </row>
    <row r="1682" spans="2:4" x14ac:dyDescent="0.2">
      <c r="B1682" s="115"/>
      <c r="D1682" s="116"/>
    </row>
    <row r="1683" spans="2:4" x14ac:dyDescent="0.2">
      <c r="B1683" s="115"/>
      <c r="D1683" s="116"/>
    </row>
    <row r="1684" spans="2:4" x14ac:dyDescent="0.2">
      <c r="B1684" s="115"/>
      <c r="D1684" s="116"/>
    </row>
    <row r="1685" spans="2:4" x14ac:dyDescent="0.2">
      <c r="B1685" s="115"/>
      <c r="D1685" s="116"/>
    </row>
    <row r="1686" spans="2:4" x14ac:dyDescent="0.2">
      <c r="B1686" s="115"/>
      <c r="D1686" s="116"/>
    </row>
    <row r="1687" spans="2:4" x14ac:dyDescent="0.2">
      <c r="B1687" s="115"/>
      <c r="D1687" s="116"/>
    </row>
    <row r="1688" spans="2:4" x14ac:dyDescent="0.2">
      <c r="B1688" s="115"/>
      <c r="D1688" s="116"/>
    </row>
    <row r="1689" spans="2:4" x14ac:dyDescent="0.2">
      <c r="B1689" s="115"/>
      <c r="D1689" s="116"/>
    </row>
    <row r="1690" spans="2:4" x14ac:dyDescent="0.2">
      <c r="B1690" s="115"/>
      <c r="D1690" s="116"/>
    </row>
    <row r="1691" spans="2:4" x14ac:dyDescent="0.2">
      <c r="B1691" s="115"/>
      <c r="D1691" s="116"/>
    </row>
    <row r="1692" spans="2:4" x14ac:dyDescent="0.2">
      <c r="B1692" s="115"/>
      <c r="D1692" s="116"/>
    </row>
    <row r="1693" spans="2:4" x14ac:dyDescent="0.2">
      <c r="B1693" s="115"/>
      <c r="D1693" s="116"/>
    </row>
    <row r="1694" spans="2:4" x14ac:dyDescent="0.2">
      <c r="B1694" s="115"/>
      <c r="D1694" s="116"/>
    </row>
    <row r="1695" spans="2:4" x14ac:dyDescent="0.2">
      <c r="B1695" s="115"/>
      <c r="D1695" s="116"/>
    </row>
    <row r="1696" spans="2:4" x14ac:dyDescent="0.2">
      <c r="B1696" s="115"/>
      <c r="D1696" s="116"/>
    </row>
    <row r="1697" spans="2:4" x14ac:dyDescent="0.2">
      <c r="B1697" s="115"/>
      <c r="D1697" s="116"/>
    </row>
    <row r="1698" spans="2:4" x14ac:dyDescent="0.2">
      <c r="B1698" s="115"/>
      <c r="D1698" s="116"/>
    </row>
    <row r="1699" spans="2:4" x14ac:dyDescent="0.2">
      <c r="B1699" s="115"/>
      <c r="D1699" s="116"/>
    </row>
    <row r="1700" spans="2:4" x14ac:dyDescent="0.2">
      <c r="B1700" s="115"/>
      <c r="D1700" s="116"/>
    </row>
    <row r="1701" spans="2:4" x14ac:dyDescent="0.2">
      <c r="B1701" s="115"/>
      <c r="D1701" s="116"/>
    </row>
    <row r="1702" spans="2:4" x14ac:dyDescent="0.2">
      <c r="B1702" s="115"/>
      <c r="D1702" s="116"/>
    </row>
    <row r="1703" spans="2:4" x14ac:dyDescent="0.2">
      <c r="B1703" s="115"/>
      <c r="D1703" s="116"/>
    </row>
    <row r="1704" spans="2:4" x14ac:dyDescent="0.2">
      <c r="B1704" s="115"/>
      <c r="D1704" s="116"/>
    </row>
    <row r="1705" spans="2:4" x14ac:dyDescent="0.2">
      <c r="B1705" s="115"/>
      <c r="D1705" s="116"/>
    </row>
    <row r="1706" spans="2:4" x14ac:dyDescent="0.2">
      <c r="B1706" s="115"/>
      <c r="D1706" s="116"/>
    </row>
    <row r="1707" spans="2:4" x14ac:dyDescent="0.2">
      <c r="B1707" s="115"/>
      <c r="D1707" s="116"/>
    </row>
    <row r="1708" spans="2:4" x14ac:dyDescent="0.2">
      <c r="B1708" s="115"/>
      <c r="D1708" s="116"/>
    </row>
    <row r="1709" spans="2:4" x14ac:dyDescent="0.2">
      <c r="B1709" s="115"/>
      <c r="D1709" s="116"/>
    </row>
    <row r="1710" spans="2:4" x14ac:dyDescent="0.2">
      <c r="B1710" s="115"/>
      <c r="D1710" s="116"/>
    </row>
    <row r="1711" spans="2:4" x14ac:dyDescent="0.2">
      <c r="B1711" s="115"/>
      <c r="D1711" s="116"/>
    </row>
    <row r="1712" spans="2:4" x14ac:dyDescent="0.2">
      <c r="B1712" s="115"/>
      <c r="D1712" s="116"/>
    </row>
    <row r="1713" spans="2:4" x14ac:dyDescent="0.2">
      <c r="B1713" s="115"/>
      <c r="D1713" s="116"/>
    </row>
    <row r="1714" spans="2:4" x14ac:dyDescent="0.2">
      <c r="B1714" s="115"/>
      <c r="D1714" s="116"/>
    </row>
    <row r="1715" spans="2:4" x14ac:dyDescent="0.2">
      <c r="B1715" s="115"/>
      <c r="D1715" s="116"/>
    </row>
    <row r="1716" spans="2:4" x14ac:dyDescent="0.2">
      <c r="B1716" s="115"/>
      <c r="D1716" s="116"/>
    </row>
    <row r="1717" spans="2:4" x14ac:dyDescent="0.2">
      <c r="B1717" s="115"/>
      <c r="D1717" s="116"/>
    </row>
    <row r="1718" spans="2:4" x14ac:dyDescent="0.2">
      <c r="B1718" s="115"/>
      <c r="D1718" s="116"/>
    </row>
    <row r="1719" spans="2:4" x14ac:dyDescent="0.2">
      <c r="B1719" s="115"/>
      <c r="D1719" s="116"/>
    </row>
    <row r="1720" spans="2:4" x14ac:dyDescent="0.2">
      <c r="B1720" s="115"/>
      <c r="D1720" s="116"/>
    </row>
    <row r="1721" spans="2:4" x14ac:dyDescent="0.2">
      <c r="B1721" s="115"/>
      <c r="D1721" s="116"/>
    </row>
    <row r="1722" spans="2:4" x14ac:dyDescent="0.2">
      <c r="B1722" s="115"/>
      <c r="D1722" s="116"/>
    </row>
    <row r="1723" spans="2:4" x14ac:dyDescent="0.2">
      <c r="B1723" s="115"/>
      <c r="D1723" s="116"/>
    </row>
    <row r="1724" spans="2:4" x14ac:dyDescent="0.2">
      <c r="B1724" s="115"/>
      <c r="D1724" s="116"/>
    </row>
    <row r="1725" spans="2:4" x14ac:dyDescent="0.2">
      <c r="B1725" s="115"/>
      <c r="D1725" s="116"/>
    </row>
    <row r="1726" spans="2:4" x14ac:dyDescent="0.2">
      <c r="B1726" s="115"/>
      <c r="D1726" s="116"/>
    </row>
    <row r="1727" spans="2:4" x14ac:dyDescent="0.2">
      <c r="B1727" s="115"/>
      <c r="D1727" s="116"/>
    </row>
    <row r="1728" spans="2:4" x14ac:dyDescent="0.2">
      <c r="B1728" s="115"/>
      <c r="D1728" s="116"/>
    </row>
    <row r="1729" spans="2:4" x14ac:dyDescent="0.2">
      <c r="B1729" s="115"/>
      <c r="D1729" s="116"/>
    </row>
    <row r="1730" spans="2:4" x14ac:dyDescent="0.2">
      <c r="B1730" s="115"/>
      <c r="D1730" s="116"/>
    </row>
    <row r="1731" spans="2:4" x14ac:dyDescent="0.2">
      <c r="B1731" s="115"/>
      <c r="D1731" s="116"/>
    </row>
    <row r="1732" spans="2:4" x14ac:dyDescent="0.2">
      <c r="B1732" s="115"/>
      <c r="D1732" s="116"/>
    </row>
    <row r="1733" spans="2:4" x14ac:dyDescent="0.2">
      <c r="B1733" s="115"/>
      <c r="D1733" s="116"/>
    </row>
    <row r="1734" spans="2:4" x14ac:dyDescent="0.2">
      <c r="B1734" s="115"/>
      <c r="D1734" s="116"/>
    </row>
    <row r="1735" spans="2:4" x14ac:dyDescent="0.2">
      <c r="B1735" s="115"/>
      <c r="D1735" s="116"/>
    </row>
    <row r="1736" spans="2:4" x14ac:dyDescent="0.2">
      <c r="B1736" s="115"/>
      <c r="D1736" s="116"/>
    </row>
    <row r="1737" spans="2:4" x14ac:dyDescent="0.2">
      <c r="B1737" s="115"/>
      <c r="D1737" s="116"/>
    </row>
    <row r="1738" spans="2:4" x14ac:dyDescent="0.2">
      <c r="B1738" s="115"/>
      <c r="D1738" s="116"/>
    </row>
    <row r="1739" spans="2:4" x14ac:dyDescent="0.2">
      <c r="B1739" s="115"/>
      <c r="D1739" s="116"/>
    </row>
    <row r="1740" spans="2:4" x14ac:dyDescent="0.2">
      <c r="B1740" s="115"/>
      <c r="D1740" s="116"/>
    </row>
    <row r="1741" spans="2:4" x14ac:dyDescent="0.2">
      <c r="B1741" s="115"/>
      <c r="D1741" s="116"/>
    </row>
    <row r="1742" spans="2:4" x14ac:dyDescent="0.2">
      <c r="B1742" s="115"/>
      <c r="D1742" s="116"/>
    </row>
    <row r="1743" spans="2:4" x14ac:dyDescent="0.2">
      <c r="B1743" s="115"/>
      <c r="D1743" s="116"/>
    </row>
    <row r="1744" spans="2:4" x14ac:dyDescent="0.2">
      <c r="B1744" s="115"/>
      <c r="D1744" s="116"/>
    </row>
    <row r="1745" spans="2:4" x14ac:dyDescent="0.2">
      <c r="B1745" s="115"/>
      <c r="D1745" s="116"/>
    </row>
    <row r="1746" spans="2:4" x14ac:dyDescent="0.2">
      <c r="B1746" s="115"/>
      <c r="D1746" s="116"/>
    </row>
    <row r="1747" spans="2:4" x14ac:dyDescent="0.2">
      <c r="B1747" s="115"/>
      <c r="D1747" s="116"/>
    </row>
    <row r="1748" spans="2:4" x14ac:dyDescent="0.2">
      <c r="B1748" s="115"/>
      <c r="D1748" s="116"/>
    </row>
    <row r="1749" spans="2:4" x14ac:dyDescent="0.2">
      <c r="B1749" s="115"/>
      <c r="D1749" s="116"/>
    </row>
    <row r="1750" spans="2:4" x14ac:dyDescent="0.2">
      <c r="B1750" s="115"/>
      <c r="D1750" s="116"/>
    </row>
    <row r="1751" spans="2:4" x14ac:dyDescent="0.2">
      <c r="B1751" s="115"/>
      <c r="D1751" s="116"/>
    </row>
    <row r="1752" spans="2:4" x14ac:dyDescent="0.2">
      <c r="B1752" s="115"/>
      <c r="D1752" s="116"/>
    </row>
    <row r="1753" spans="2:4" x14ac:dyDescent="0.2">
      <c r="B1753" s="115"/>
      <c r="D1753" s="116"/>
    </row>
    <row r="1754" spans="2:4" x14ac:dyDescent="0.2">
      <c r="B1754" s="115"/>
      <c r="D1754" s="116"/>
    </row>
    <row r="1755" spans="2:4" x14ac:dyDescent="0.2">
      <c r="B1755" s="115"/>
      <c r="D1755" s="116"/>
    </row>
    <row r="1756" spans="2:4" x14ac:dyDescent="0.2">
      <c r="B1756" s="115"/>
      <c r="D1756" s="116"/>
    </row>
    <row r="1757" spans="2:4" x14ac:dyDescent="0.2">
      <c r="B1757" s="115"/>
      <c r="D1757" s="116"/>
    </row>
    <row r="1758" spans="2:4" x14ac:dyDescent="0.2">
      <c r="B1758" s="115"/>
      <c r="D1758" s="116"/>
    </row>
    <row r="1759" spans="2:4" x14ac:dyDescent="0.2">
      <c r="B1759" s="115"/>
      <c r="D1759" s="116"/>
    </row>
    <row r="1760" spans="2:4" x14ac:dyDescent="0.2">
      <c r="B1760" s="115"/>
      <c r="D1760" s="116"/>
    </row>
    <row r="1761" spans="2:4" x14ac:dyDescent="0.2">
      <c r="B1761" s="115"/>
      <c r="D1761" s="116"/>
    </row>
    <row r="1762" spans="2:4" x14ac:dyDescent="0.2">
      <c r="B1762" s="115"/>
      <c r="D1762" s="116"/>
    </row>
    <row r="1763" spans="2:4" x14ac:dyDescent="0.2">
      <c r="B1763" s="115"/>
      <c r="D1763" s="116"/>
    </row>
    <row r="1764" spans="2:4" x14ac:dyDescent="0.2">
      <c r="B1764" s="115"/>
      <c r="D1764" s="116"/>
    </row>
    <row r="1765" spans="2:4" x14ac:dyDescent="0.2">
      <c r="B1765" s="115"/>
      <c r="D1765" s="116"/>
    </row>
    <row r="1766" spans="2:4" x14ac:dyDescent="0.2">
      <c r="B1766" s="115"/>
      <c r="D1766" s="116"/>
    </row>
    <row r="1767" spans="2:4" x14ac:dyDescent="0.2">
      <c r="B1767" s="115"/>
      <c r="D1767" s="116"/>
    </row>
    <row r="1768" spans="2:4" x14ac:dyDescent="0.2">
      <c r="B1768" s="115"/>
      <c r="D1768" s="116"/>
    </row>
    <row r="1769" spans="2:4" x14ac:dyDescent="0.2">
      <c r="B1769" s="115"/>
      <c r="D1769" s="116"/>
    </row>
    <row r="1770" spans="2:4" x14ac:dyDescent="0.2">
      <c r="B1770" s="115"/>
      <c r="D1770" s="116"/>
    </row>
    <row r="1771" spans="2:4" x14ac:dyDescent="0.2">
      <c r="B1771" s="115"/>
      <c r="D1771" s="116"/>
    </row>
    <row r="1772" spans="2:4" x14ac:dyDescent="0.2">
      <c r="B1772" s="115"/>
      <c r="D1772" s="116"/>
    </row>
    <row r="1773" spans="2:4" x14ac:dyDescent="0.2">
      <c r="B1773" s="115"/>
      <c r="D1773" s="116"/>
    </row>
    <row r="1774" spans="2:4" x14ac:dyDescent="0.2">
      <c r="B1774" s="115"/>
      <c r="D1774" s="116"/>
    </row>
    <row r="1775" spans="2:4" x14ac:dyDescent="0.2">
      <c r="B1775" s="115"/>
      <c r="D1775" s="116"/>
    </row>
    <row r="1776" spans="2:4" x14ac:dyDescent="0.2">
      <c r="B1776" s="115"/>
      <c r="D1776" s="116"/>
    </row>
    <row r="1777" spans="2:4" x14ac:dyDescent="0.2">
      <c r="B1777" s="115"/>
      <c r="D1777" s="116"/>
    </row>
    <row r="1778" spans="2:4" x14ac:dyDescent="0.2">
      <c r="B1778" s="115"/>
      <c r="D1778" s="116"/>
    </row>
    <row r="1779" spans="2:4" x14ac:dyDescent="0.2">
      <c r="B1779" s="115"/>
      <c r="D1779" s="116"/>
    </row>
    <row r="1780" spans="2:4" x14ac:dyDescent="0.2">
      <c r="B1780" s="115"/>
      <c r="D1780" s="116"/>
    </row>
    <row r="1781" spans="2:4" x14ac:dyDescent="0.2">
      <c r="B1781" s="115"/>
      <c r="D1781" s="116"/>
    </row>
    <row r="1782" spans="2:4" x14ac:dyDescent="0.2">
      <c r="B1782" s="115"/>
      <c r="D1782" s="116"/>
    </row>
    <row r="1783" spans="2:4" x14ac:dyDescent="0.2">
      <c r="B1783" s="115"/>
      <c r="D1783" s="116"/>
    </row>
    <row r="1784" spans="2:4" x14ac:dyDescent="0.2">
      <c r="B1784" s="115"/>
      <c r="D1784" s="116"/>
    </row>
    <row r="1785" spans="2:4" x14ac:dyDescent="0.2">
      <c r="B1785" s="115"/>
      <c r="D1785" s="116"/>
    </row>
    <row r="1786" spans="2:4" x14ac:dyDescent="0.2">
      <c r="B1786" s="115"/>
      <c r="D1786" s="116"/>
    </row>
    <row r="1787" spans="2:4" x14ac:dyDescent="0.2">
      <c r="B1787" s="115"/>
      <c r="D1787" s="116"/>
    </row>
    <row r="1788" spans="2:4" x14ac:dyDescent="0.2">
      <c r="B1788" s="115"/>
      <c r="D1788" s="116"/>
    </row>
    <row r="1789" spans="2:4" x14ac:dyDescent="0.2">
      <c r="B1789" s="115"/>
      <c r="D1789" s="116"/>
    </row>
    <row r="1790" spans="2:4" x14ac:dyDescent="0.2">
      <c r="B1790" s="115"/>
      <c r="D1790" s="116"/>
    </row>
    <row r="1791" spans="2:4" x14ac:dyDescent="0.2">
      <c r="B1791" s="115"/>
      <c r="D1791" s="116"/>
    </row>
    <row r="1792" spans="2:4" x14ac:dyDescent="0.2">
      <c r="B1792" s="115"/>
      <c r="D1792" s="116"/>
    </row>
    <row r="1793" spans="2:4" x14ac:dyDescent="0.2">
      <c r="B1793" s="115"/>
      <c r="D1793" s="116"/>
    </row>
    <row r="1794" spans="2:4" x14ac:dyDescent="0.2">
      <c r="B1794" s="115"/>
      <c r="D1794" s="116"/>
    </row>
    <row r="1795" spans="2:4" x14ac:dyDescent="0.2">
      <c r="B1795" s="115"/>
      <c r="D1795" s="116"/>
    </row>
    <row r="1796" spans="2:4" x14ac:dyDescent="0.2">
      <c r="B1796" s="115"/>
      <c r="D1796" s="116"/>
    </row>
    <row r="1797" spans="2:4" x14ac:dyDescent="0.2">
      <c r="B1797" s="115"/>
      <c r="D1797" s="116"/>
    </row>
    <row r="1798" spans="2:4" x14ac:dyDescent="0.2">
      <c r="B1798" s="115"/>
      <c r="D1798" s="116"/>
    </row>
    <row r="1799" spans="2:4" x14ac:dyDescent="0.2">
      <c r="B1799" s="115"/>
      <c r="D1799" s="116"/>
    </row>
    <row r="1800" spans="2:4" x14ac:dyDescent="0.2">
      <c r="B1800" s="115"/>
      <c r="D1800" s="116"/>
    </row>
    <row r="1801" spans="2:4" x14ac:dyDescent="0.2">
      <c r="B1801" s="115"/>
      <c r="D1801" s="116"/>
    </row>
    <row r="1802" spans="2:4" x14ac:dyDescent="0.2">
      <c r="B1802" s="115"/>
      <c r="D1802" s="116"/>
    </row>
    <row r="1803" spans="2:4" x14ac:dyDescent="0.2">
      <c r="B1803" s="115"/>
      <c r="D1803" s="116"/>
    </row>
    <row r="1804" spans="2:4" x14ac:dyDescent="0.2">
      <c r="B1804" s="115"/>
      <c r="D1804" s="116"/>
    </row>
    <row r="1805" spans="2:4" x14ac:dyDescent="0.2">
      <c r="B1805" s="115"/>
      <c r="D1805" s="116"/>
    </row>
    <row r="1806" spans="2:4" x14ac:dyDescent="0.2">
      <c r="B1806" s="115"/>
      <c r="D1806" s="116"/>
    </row>
    <row r="1807" spans="2:4" x14ac:dyDescent="0.2">
      <c r="B1807" s="115"/>
      <c r="D1807" s="116"/>
    </row>
    <row r="1808" spans="2:4" x14ac:dyDescent="0.2">
      <c r="B1808" s="115"/>
      <c r="D1808" s="116"/>
    </row>
    <row r="1809" spans="2:4" x14ac:dyDescent="0.2">
      <c r="B1809" s="115"/>
      <c r="D1809" s="116"/>
    </row>
    <row r="1810" spans="2:4" x14ac:dyDescent="0.2">
      <c r="B1810" s="115"/>
      <c r="D1810" s="116"/>
    </row>
    <row r="1811" spans="2:4" x14ac:dyDescent="0.2">
      <c r="B1811" s="115"/>
      <c r="D1811" s="116"/>
    </row>
    <row r="1812" spans="2:4" x14ac:dyDescent="0.2">
      <c r="B1812" s="115"/>
      <c r="D1812" s="116"/>
    </row>
    <row r="1813" spans="2:4" x14ac:dyDescent="0.2">
      <c r="B1813" s="115"/>
      <c r="D1813" s="116"/>
    </row>
    <row r="1814" spans="2:4" x14ac:dyDescent="0.2">
      <c r="B1814" s="115"/>
      <c r="D1814" s="116"/>
    </row>
    <row r="1815" spans="2:4" x14ac:dyDescent="0.2">
      <c r="B1815" s="115"/>
      <c r="D1815" s="116"/>
    </row>
    <row r="1816" spans="2:4" x14ac:dyDescent="0.2">
      <c r="B1816" s="115"/>
      <c r="D1816" s="116"/>
    </row>
    <row r="1817" spans="2:4" x14ac:dyDescent="0.2">
      <c r="B1817" s="115"/>
      <c r="D1817" s="116"/>
    </row>
    <row r="1818" spans="2:4" x14ac:dyDescent="0.2">
      <c r="B1818" s="115"/>
      <c r="D1818" s="116"/>
    </row>
    <row r="1819" spans="2:4" x14ac:dyDescent="0.2">
      <c r="B1819" s="115"/>
      <c r="D1819" s="116"/>
    </row>
    <row r="1820" spans="2:4" x14ac:dyDescent="0.2">
      <c r="B1820" s="115"/>
      <c r="D1820" s="116"/>
    </row>
    <row r="1821" spans="2:4" x14ac:dyDescent="0.2">
      <c r="B1821" s="115"/>
      <c r="D1821" s="116"/>
    </row>
    <row r="1822" spans="2:4" x14ac:dyDescent="0.2">
      <c r="B1822" s="115"/>
      <c r="D1822" s="116"/>
    </row>
    <row r="1823" spans="2:4" x14ac:dyDescent="0.2">
      <c r="B1823" s="115"/>
      <c r="D1823" s="116"/>
    </row>
    <row r="1824" spans="2:4" x14ac:dyDescent="0.2">
      <c r="B1824" s="115"/>
      <c r="D1824" s="116"/>
    </row>
    <row r="1825" spans="2:4" x14ac:dyDescent="0.2">
      <c r="B1825" s="115"/>
      <c r="D1825" s="116"/>
    </row>
    <row r="1826" spans="2:4" x14ac:dyDescent="0.2">
      <c r="B1826" s="115"/>
      <c r="D1826" s="116"/>
    </row>
    <row r="1827" spans="2:4" x14ac:dyDescent="0.2">
      <c r="B1827" s="115"/>
      <c r="D1827" s="116"/>
    </row>
    <row r="1828" spans="2:4" x14ac:dyDescent="0.2">
      <c r="B1828" s="115"/>
      <c r="D1828" s="116"/>
    </row>
    <row r="1829" spans="2:4" x14ac:dyDescent="0.2">
      <c r="B1829" s="115"/>
      <c r="D1829" s="116"/>
    </row>
    <row r="1830" spans="2:4" x14ac:dyDescent="0.2">
      <c r="B1830" s="115"/>
      <c r="D1830" s="116"/>
    </row>
    <row r="1831" spans="2:4" x14ac:dyDescent="0.2">
      <c r="B1831" s="115"/>
      <c r="D1831" s="116"/>
    </row>
    <row r="1832" spans="2:4" x14ac:dyDescent="0.2">
      <c r="B1832" s="115"/>
      <c r="D1832" s="116"/>
    </row>
    <row r="1833" spans="2:4" x14ac:dyDescent="0.2">
      <c r="B1833" s="115"/>
      <c r="D1833" s="116"/>
    </row>
    <row r="1834" spans="2:4" x14ac:dyDescent="0.2">
      <c r="B1834" s="115"/>
      <c r="D1834" s="116"/>
    </row>
    <row r="1835" spans="2:4" x14ac:dyDescent="0.2">
      <c r="B1835" s="115"/>
      <c r="D1835" s="116"/>
    </row>
    <row r="1836" spans="2:4" x14ac:dyDescent="0.2">
      <c r="B1836" s="115"/>
      <c r="D1836" s="116"/>
    </row>
    <row r="1837" spans="2:4" x14ac:dyDescent="0.2">
      <c r="B1837" s="115"/>
      <c r="D1837" s="116"/>
    </row>
    <row r="1838" spans="2:4" x14ac:dyDescent="0.2">
      <c r="B1838" s="115"/>
      <c r="D1838" s="116"/>
    </row>
    <row r="1839" spans="2:4" x14ac:dyDescent="0.2">
      <c r="B1839" s="115"/>
      <c r="D1839" s="116"/>
    </row>
    <row r="1840" spans="2:4" x14ac:dyDescent="0.2">
      <c r="B1840" s="115"/>
      <c r="D1840" s="116"/>
    </row>
    <row r="1841" spans="2:4" x14ac:dyDescent="0.2">
      <c r="B1841" s="115"/>
      <c r="D1841" s="116"/>
    </row>
    <row r="1842" spans="2:4" x14ac:dyDescent="0.2">
      <c r="B1842" s="115"/>
      <c r="D1842" s="116"/>
    </row>
    <row r="1843" spans="2:4" x14ac:dyDescent="0.2">
      <c r="B1843" s="115"/>
      <c r="D1843" s="116"/>
    </row>
    <row r="1844" spans="2:4" x14ac:dyDescent="0.2">
      <c r="B1844" s="115"/>
      <c r="D1844" s="116"/>
    </row>
    <row r="1845" spans="2:4" x14ac:dyDescent="0.2">
      <c r="B1845" s="115"/>
      <c r="D1845" s="116"/>
    </row>
    <row r="1846" spans="2:4" x14ac:dyDescent="0.2">
      <c r="B1846" s="115"/>
      <c r="D1846" s="116"/>
    </row>
    <row r="1847" spans="2:4" x14ac:dyDescent="0.2">
      <c r="B1847" s="115"/>
      <c r="D1847" s="116"/>
    </row>
    <row r="1848" spans="2:4" x14ac:dyDescent="0.2">
      <c r="B1848" s="115"/>
      <c r="D1848" s="116"/>
    </row>
    <row r="1849" spans="2:4" x14ac:dyDescent="0.2">
      <c r="B1849" s="115"/>
      <c r="D1849" s="116"/>
    </row>
    <row r="1850" spans="2:4" x14ac:dyDescent="0.2">
      <c r="B1850" s="115"/>
      <c r="D1850" s="116"/>
    </row>
    <row r="1851" spans="2:4" x14ac:dyDescent="0.2">
      <c r="B1851" s="115"/>
      <c r="D1851" s="116"/>
    </row>
    <row r="1852" spans="2:4" x14ac:dyDescent="0.2">
      <c r="B1852" s="115"/>
      <c r="D1852" s="116"/>
    </row>
    <row r="1853" spans="2:4" x14ac:dyDescent="0.2">
      <c r="B1853" s="115"/>
      <c r="D1853" s="116"/>
    </row>
    <row r="1854" spans="2:4" x14ac:dyDescent="0.2">
      <c r="B1854" s="115"/>
      <c r="D1854" s="116"/>
    </row>
    <row r="1855" spans="2:4" x14ac:dyDescent="0.2">
      <c r="B1855" s="115"/>
      <c r="D1855" s="116"/>
    </row>
    <row r="1856" spans="2:4" x14ac:dyDescent="0.2">
      <c r="B1856" s="115"/>
      <c r="D1856" s="116"/>
    </row>
    <row r="1857" spans="2:4" x14ac:dyDescent="0.2">
      <c r="B1857" s="115"/>
      <c r="D1857" s="116"/>
    </row>
    <row r="1858" spans="2:4" x14ac:dyDescent="0.2">
      <c r="B1858" s="115"/>
      <c r="D1858" s="116"/>
    </row>
    <row r="1859" spans="2:4" x14ac:dyDescent="0.2">
      <c r="B1859" s="115"/>
      <c r="D1859" s="116"/>
    </row>
    <row r="1860" spans="2:4" x14ac:dyDescent="0.2">
      <c r="B1860" s="115"/>
      <c r="D1860" s="116"/>
    </row>
    <row r="1861" spans="2:4" x14ac:dyDescent="0.2">
      <c r="B1861" s="115"/>
      <c r="D1861" s="116"/>
    </row>
    <row r="1862" spans="2:4" x14ac:dyDescent="0.2">
      <c r="B1862" s="115"/>
      <c r="D1862" s="116"/>
    </row>
    <row r="1863" spans="2:4" x14ac:dyDescent="0.2">
      <c r="B1863" s="115"/>
      <c r="D1863" s="116"/>
    </row>
    <row r="1864" spans="2:4" x14ac:dyDescent="0.2">
      <c r="B1864" s="115"/>
      <c r="D1864" s="116"/>
    </row>
    <row r="1865" spans="2:4" x14ac:dyDescent="0.2">
      <c r="B1865" s="115"/>
      <c r="D1865" s="116"/>
    </row>
    <row r="1866" spans="2:4" x14ac:dyDescent="0.2">
      <c r="B1866" s="115"/>
      <c r="D1866" s="116"/>
    </row>
    <row r="1867" spans="2:4" x14ac:dyDescent="0.2">
      <c r="B1867" s="115"/>
      <c r="D1867" s="116"/>
    </row>
    <row r="1868" spans="2:4" x14ac:dyDescent="0.2">
      <c r="B1868" s="115"/>
      <c r="D1868" s="116"/>
    </row>
    <row r="1869" spans="2:4" x14ac:dyDescent="0.2">
      <c r="B1869" s="115"/>
      <c r="D1869" s="116"/>
    </row>
    <row r="1870" spans="2:4" x14ac:dyDescent="0.2">
      <c r="B1870" s="115"/>
      <c r="D1870" s="116"/>
    </row>
    <row r="1871" spans="2:4" x14ac:dyDescent="0.2">
      <c r="B1871" s="115"/>
      <c r="D1871" s="116"/>
    </row>
    <row r="1872" spans="2:4" x14ac:dyDescent="0.2">
      <c r="B1872" s="115"/>
      <c r="D1872" s="116"/>
    </row>
    <row r="1873" spans="2:4" x14ac:dyDescent="0.2">
      <c r="B1873" s="115"/>
      <c r="D1873" s="116"/>
    </row>
    <row r="1874" spans="2:4" x14ac:dyDescent="0.2">
      <c r="B1874" s="115"/>
      <c r="D1874" s="116"/>
    </row>
    <row r="1875" spans="2:4" x14ac:dyDescent="0.2">
      <c r="B1875" s="115"/>
      <c r="D1875" s="116"/>
    </row>
    <row r="1876" spans="2:4" x14ac:dyDescent="0.2">
      <c r="B1876" s="115"/>
      <c r="D1876" s="116"/>
    </row>
    <row r="1877" spans="2:4" x14ac:dyDescent="0.2">
      <c r="B1877" s="115"/>
      <c r="D1877" s="116"/>
    </row>
    <row r="1878" spans="2:4" x14ac:dyDescent="0.2">
      <c r="B1878" s="115"/>
      <c r="D1878" s="116"/>
    </row>
    <row r="1879" spans="2:4" x14ac:dyDescent="0.2">
      <c r="B1879" s="115"/>
      <c r="D1879" s="116"/>
    </row>
    <row r="1880" spans="2:4" x14ac:dyDescent="0.2">
      <c r="B1880" s="115"/>
      <c r="D1880" s="116"/>
    </row>
    <row r="1881" spans="2:4" x14ac:dyDescent="0.2">
      <c r="B1881" s="115"/>
      <c r="D1881" s="116"/>
    </row>
    <row r="1882" spans="2:4" x14ac:dyDescent="0.2">
      <c r="B1882" s="115"/>
      <c r="D1882" s="116"/>
    </row>
    <row r="1883" spans="2:4" x14ac:dyDescent="0.2">
      <c r="B1883" s="115"/>
      <c r="D1883" s="116"/>
    </row>
    <row r="1884" spans="2:4" x14ac:dyDescent="0.2">
      <c r="B1884" s="115"/>
      <c r="D1884" s="116"/>
    </row>
    <row r="1885" spans="2:4" x14ac:dyDescent="0.2">
      <c r="B1885" s="115"/>
      <c r="D1885" s="116"/>
    </row>
    <row r="1886" spans="2:4" x14ac:dyDescent="0.2">
      <c r="B1886" s="115"/>
      <c r="D1886" s="116"/>
    </row>
    <row r="1887" spans="2:4" x14ac:dyDescent="0.2">
      <c r="B1887" s="115"/>
      <c r="D1887" s="116"/>
    </row>
    <row r="1888" spans="2:4" x14ac:dyDescent="0.2">
      <c r="B1888" s="115"/>
      <c r="D1888" s="116"/>
    </row>
    <row r="1889" spans="2:4" x14ac:dyDescent="0.2">
      <c r="B1889" s="115"/>
      <c r="D1889" s="116"/>
    </row>
    <row r="1890" spans="2:4" x14ac:dyDescent="0.2">
      <c r="B1890" s="115"/>
      <c r="D1890" s="116"/>
    </row>
    <row r="1891" spans="2:4" x14ac:dyDescent="0.2">
      <c r="B1891" s="115"/>
      <c r="D1891" s="116"/>
    </row>
    <row r="1892" spans="2:4" x14ac:dyDescent="0.2">
      <c r="B1892" s="115"/>
      <c r="D1892" s="116"/>
    </row>
    <row r="1893" spans="2:4" x14ac:dyDescent="0.2">
      <c r="B1893" s="115"/>
      <c r="D1893" s="116"/>
    </row>
    <row r="1894" spans="2:4" x14ac:dyDescent="0.2">
      <c r="B1894" s="115"/>
      <c r="D1894" s="116"/>
    </row>
    <row r="1895" spans="2:4" x14ac:dyDescent="0.2">
      <c r="B1895" s="115"/>
      <c r="D1895" s="116"/>
    </row>
    <row r="1896" spans="2:4" x14ac:dyDescent="0.2">
      <c r="B1896" s="115"/>
      <c r="D1896" s="116"/>
    </row>
    <row r="1897" spans="2:4" x14ac:dyDescent="0.2">
      <c r="B1897" s="115"/>
      <c r="D1897" s="116"/>
    </row>
    <row r="1898" spans="2:4" x14ac:dyDescent="0.2">
      <c r="B1898" s="115"/>
      <c r="D1898" s="116"/>
    </row>
    <row r="1899" spans="2:4" x14ac:dyDescent="0.2">
      <c r="B1899" s="115"/>
      <c r="D1899" s="116"/>
    </row>
    <row r="1900" spans="2:4" x14ac:dyDescent="0.2">
      <c r="B1900" s="115"/>
      <c r="D1900" s="116"/>
    </row>
    <row r="1901" spans="2:4" x14ac:dyDescent="0.2">
      <c r="B1901" s="115"/>
      <c r="D1901" s="116"/>
    </row>
    <row r="1902" spans="2:4" x14ac:dyDescent="0.2">
      <c r="B1902" s="115"/>
      <c r="D1902" s="116"/>
    </row>
    <row r="1903" spans="2:4" x14ac:dyDescent="0.2">
      <c r="B1903" s="115"/>
      <c r="D1903" s="116"/>
    </row>
    <row r="1904" spans="2:4" x14ac:dyDescent="0.2">
      <c r="B1904" s="115"/>
      <c r="D1904" s="116"/>
    </row>
    <row r="1905" spans="2:4" x14ac:dyDescent="0.2">
      <c r="B1905" s="115"/>
      <c r="D1905" s="116"/>
    </row>
    <row r="1906" spans="2:4" x14ac:dyDescent="0.2">
      <c r="B1906" s="115"/>
      <c r="D1906" s="116"/>
    </row>
    <row r="1907" spans="2:4" x14ac:dyDescent="0.2">
      <c r="B1907" s="115"/>
      <c r="D1907" s="116"/>
    </row>
    <row r="1908" spans="2:4" x14ac:dyDescent="0.2">
      <c r="B1908" s="115"/>
      <c r="D1908" s="116"/>
    </row>
    <row r="1909" spans="2:4" x14ac:dyDescent="0.2">
      <c r="B1909" s="115"/>
      <c r="D1909" s="116"/>
    </row>
    <row r="1910" spans="2:4" x14ac:dyDescent="0.2">
      <c r="B1910" s="115"/>
      <c r="D1910" s="116"/>
    </row>
    <row r="1911" spans="2:4" x14ac:dyDescent="0.2">
      <c r="B1911" s="115"/>
      <c r="D1911" s="116"/>
    </row>
    <row r="1912" spans="2:4" x14ac:dyDescent="0.2">
      <c r="B1912" s="115"/>
      <c r="D1912" s="116"/>
    </row>
    <row r="1913" spans="2:4" x14ac:dyDescent="0.2">
      <c r="B1913" s="115"/>
      <c r="D1913" s="116"/>
    </row>
    <row r="1914" spans="2:4" x14ac:dyDescent="0.2">
      <c r="B1914" s="115"/>
      <c r="D1914" s="116"/>
    </row>
    <row r="1915" spans="2:4" x14ac:dyDescent="0.2">
      <c r="B1915" s="115"/>
      <c r="D1915" s="116"/>
    </row>
    <row r="1916" spans="2:4" x14ac:dyDescent="0.2">
      <c r="B1916" s="115"/>
      <c r="D1916" s="116"/>
    </row>
    <row r="1917" spans="2:4" x14ac:dyDescent="0.2">
      <c r="B1917" s="115"/>
      <c r="D1917" s="116"/>
    </row>
    <row r="1918" spans="2:4" x14ac:dyDescent="0.2">
      <c r="B1918" s="115"/>
      <c r="D1918" s="116"/>
    </row>
    <row r="1919" spans="2:4" x14ac:dyDescent="0.2">
      <c r="B1919" s="115"/>
      <c r="D1919" s="116"/>
    </row>
    <row r="1920" spans="2:4" x14ac:dyDescent="0.2">
      <c r="B1920" s="115"/>
      <c r="D1920" s="116"/>
    </row>
    <row r="1921" spans="2:4" x14ac:dyDescent="0.2">
      <c r="B1921" s="115"/>
      <c r="D1921" s="116"/>
    </row>
    <row r="1922" spans="2:4" x14ac:dyDescent="0.2">
      <c r="B1922" s="115"/>
      <c r="D1922" s="116"/>
    </row>
    <row r="1923" spans="2:4" x14ac:dyDescent="0.2">
      <c r="B1923" s="115"/>
      <c r="D1923" s="116"/>
    </row>
    <row r="1924" spans="2:4" x14ac:dyDescent="0.2">
      <c r="B1924" s="115"/>
      <c r="D1924" s="116"/>
    </row>
    <row r="1925" spans="2:4" x14ac:dyDescent="0.2">
      <c r="B1925" s="115"/>
      <c r="D1925" s="116"/>
    </row>
    <row r="1926" spans="2:4" x14ac:dyDescent="0.2">
      <c r="B1926" s="115"/>
      <c r="D1926" s="116"/>
    </row>
    <row r="1927" spans="2:4" x14ac:dyDescent="0.2">
      <c r="B1927" s="115"/>
      <c r="D1927" s="116"/>
    </row>
    <row r="1928" spans="2:4" x14ac:dyDescent="0.2">
      <c r="B1928" s="115"/>
      <c r="D1928" s="116"/>
    </row>
    <row r="1929" spans="2:4" x14ac:dyDescent="0.2">
      <c r="B1929" s="115"/>
      <c r="D1929" s="116"/>
    </row>
    <row r="1930" spans="2:4" x14ac:dyDescent="0.2">
      <c r="B1930" s="115"/>
      <c r="D1930" s="116"/>
    </row>
    <row r="1931" spans="2:4" x14ac:dyDescent="0.2">
      <c r="B1931" s="115"/>
      <c r="D1931" s="116"/>
    </row>
    <row r="1932" spans="2:4" x14ac:dyDescent="0.2">
      <c r="B1932" s="115"/>
      <c r="D1932" s="116"/>
    </row>
    <row r="1933" spans="2:4" x14ac:dyDescent="0.2">
      <c r="B1933" s="115"/>
      <c r="D1933" s="116"/>
    </row>
    <row r="1934" spans="2:4" x14ac:dyDescent="0.2">
      <c r="B1934" s="115"/>
      <c r="D1934" s="116"/>
    </row>
    <row r="1935" spans="2:4" x14ac:dyDescent="0.2">
      <c r="B1935" s="115"/>
      <c r="D1935" s="116"/>
    </row>
    <row r="1936" spans="2:4" x14ac:dyDescent="0.2">
      <c r="B1936" s="115"/>
      <c r="D1936" s="116"/>
    </row>
    <row r="1937" spans="2:4" x14ac:dyDescent="0.2">
      <c r="B1937" s="115"/>
      <c r="D1937" s="116"/>
    </row>
    <row r="1938" spans="2:4" x14ac:dyDescent="0.2">
      <c r="B1938" s="115"/>
      <c r="D1938" s="116"/>
    </row>
    <row r="1939" spans="2:4" x14ac:dyDescent="0.2">
      <c r="B1939" s="115"/>
      <c r="D1939" s="116"/>
    </row>
    <row r="1940" spans="2:4" x14ac:dyDescent="0.2">
      <c r="B1940" s="115"/>
      <c r="D1940" s="116"/>
    </row>
    <row r="1941" spans="2:4" x14ac:dyDescent="0.2">
      <c r="B1941" s="115"/>
      <c r="D1941" s="116"/>
    </row>
    <row r="1942" spans="2:4" x14ac:dyDescent="0.2">
      <c r="B1942" s="115"/>
      <c r="D1942" s="116"/>
    </row>
    <row r="1943" spans="2:4" x14ac:dyDescent="0.2">
      <c r="B1943" s="115"/>
      <c r="D1943" s="116"/>
    </row>
    <row r="1944" spans="2:4" x14ac:dyDescent="0.2">
      <c r="B1944" s="115"/>
      <c r="D1944" s="116"/>
    </row>
    <row r="1945" spans="2:4" x14ac:dyDescent="0.2">
      <c r="B1945" s="115"/>
      <c r="D1945" s="116"/>
    </row>
    <row r="1946" spans="2:4" x14ac:dyDescent="0.2">
      <c r="B1946" s="115"/>
      <c r="D1946" s="116"/>
    </row>
    <row r="1947" spans="2:4" x14ac:dyDescent="0.2">
      <c r="B1947" s="115"/>
      <c r="D1947" s="116"/>
    </row>
    <row r="1948" spans="2:4" x14ac:dyDescent="0.2">
      <c r="B1948" s="115"/>
      <c r="D1948" s="116"/>
    </row>
    <row r="1949" spans="2:4" x14ac:dyDescent="0.2">
      <c r="B1949" s="115"/>
      <c r="D1949" s="116"/>
    </row>
    <row r="1950" spans="2:4" x14ac:dyDescent="0.2">
      <c r="B1950" s="115"/>
      <c r="D1950" s="116"/>
    </row>
    <row r="1951" spans="2:4" x14ac:dyDescent="0.2">
      <c r="B1951" s="115"/>
      <c r="D1951" s="116"/>
    </row>
    <row r="1952" spans="2:4" x14ac:dyDescent="0.2">
      <c r="B1952" s="115"/>
      <c r="D1952" s="116"/>
    </row>
    <row r="1953" spans="2:4" x14ac:dyDescent="0.2">
      <c r="B1953" s="115"/>
      <c r="D1953" s="116"/>
    </row>
    <row r="1954" spans="2:4" x14ac:dyDescent="0.2">
      <c r="B1954" s="115"/>
      <c r="D1954" s="116"/>
    </row>
    <row r="1955" spans="2:4" x14ac:dyDescent="0.2">
      <c r="B1955" s="115"/>
      <c r="D1955" s="116"/>
    </row>
    <row r="1956" spans="2:4" x14ac:dyDescent="0.2">
      <c r="B1956" s="115"/>
      <c r="D1956" s="116"/>
    </row>
    <row r="1957" spans="2:4" x14ac:dyDescent="0.2">
      <c r="B1957" s="115"/>
      <c r="D1957" s="116"/>
    </row>
    <row r="1958" spans="2:4" x14ac:dyDescent="0.2">
      <c r="B1958" s="115"/>
      <c r="D1958" s="116"/>
    </row>
    <row r="1959" spans="2:4" x14ac:dyDescent="0.2">
      <c r="B1959" s="115"/>
      <c r="D1959" s="116"/>
    </row>
    <row r="1960" spans="2:4" x14ac:dyDescent="0.2">
      <c r="B1960" s="115"/>
      <c r="D1960" s="116"/>
    </row>
    <row r="1961" spans="2:4" x14ac:dyDescent="0.2">
      <c r="B1961" s="115"/>
      <c r="D1961" s="116"/>
    </row>
    <row r="1962" spans="2:4" x14ac:dyDescent="0.2">
      <c r="B1962" s="115"/>
      <c r="D1962" s="116"/>
    </row>
    <row r="1963" spans="2:4" x14ac:dyDescent="0.2">
      <c r="B1963" s="115"/>
      <c r="D1963" s="116"/>
    </row>
    <row r="1964" spans="2:4" x14ac:dyDescent="0.2">
      <c r="B1964" s="115"/>
      <c r="D1964" s="116"/>
    </row>
    <row r="1965" spans="2:4" x14ac:dyDescent="0.2">
      <c r="B1965" s="115"/>
      <c r="D1965" s="116"/>
    </row>
    <row r="1966" spans="2:4" x14ac:dyDescent="0.2">
      <c r="B1966" s="115"/>
      <c r="D1966" s="116"/>
    </row>
    <row r="1967" spans="2:4" x14ac:dyDescent="0.2">
      <c r="B1967" s="115"/>
      <c r="D1967" s="116"/>
    </row>
    <row r="1968" spans="2:4" x14ac:dyDescent="0.2">
      <c r="B1968" s="115"/>
      <c r="D1968" s="116"/>
    </row>
    <row r="1969" spans="2:4" x14ac:dyDescent="0.2">
      <c r="B1969" s="115"/>
      <c r="D1969" s="116"/>
    </row>
    <row r="1970" spans="2:4" x14ac:dyDescent="0.2">
      <c r="B1970" s="115"/>
      <c r="D1970" s="116"/>
    </row>
    <row r="1971" spans="2:4" x14ac:dyDescent="0.2">
      <c r="B1971" s="115"/>
      <c r="D1971" s="116"/>
    </row>
    <row r="1972" spans="2:4" x14ac:dyDescent="0.2">
      <c r="B1972" s="115"/>
      <c r="D1972" s="116"/>
    </row>
    <row r="1973" spans="2:4" x14ac:dyDescent="0.2">
      <c r="B1973" s="115"/>
      <c r="D1973" s="116"/>
    </row>
    <row r="1974" spans="2:4" x14ac:dyDescent="0.2">
      <c r="B1974" s="115"/>
      <c r="D1974" s="116"/>
    </row>
    <row r="1975" spans="2:4" x14ac:dyDescent="0.2">
      <c r="B1975" s="115"/>
      <c r="D1975" s="116"/>
    </row>
    <row r="1976" spans="2:4" x14ac:dyDescent="0.2">
      <c r="B1976" s="115"/>
      <c r="D1976" s="116"/>
    </row>
    <row r="1977" spans="2:4" x14ac:dyDescent="0.2">
      <c r="B1977" s="115"/>
      <c r="D1977" s="116"/>
    </row>
    <row r="1978" spans="2:4" x14ac:dyDescent="0.2">
      <c r="B1978" s="115"/>
      <c r="D1978" s="116"/>
    </row>
    <row r="1979" spans="2:4" x14ac:dyDescent="0.2">
      <c r="B1979" s="115"/>
      <c r="D1979" s="116"/>
    </row>
    <row r="1980" spans="2:4" x14ac:dyDescent="0.2">
      <c r="B1980" s="115"/>
      <c r="D1980" s="116"/>
    </row>
    <row r="1981" spans="2:4" x14ac:dyDescent="0.2">
      <c r="B1981" s="115"/>
      <c r="D1981" s="116"/>
    </row>
    <row r="1982" spans="2:4" x14ac:dyDescent="0.2">
      <c r="B1982" s="115"/>
      <c r="D1982" s="116"/>
    </row>
    <row r="1983" spans="2:4" x14ac:dyDescent="0.2">
      <c r="B1983" s="115"/>
      <c r="D1983" s="116"/>
    </row>
    <row r="1984" spans="2:4" x14ac:dyDescent="0.2">
      <c r="B1984" s="115"/>
      <c r="D1984" s="116"/>
    </row>
    <row r="1985" spans="2:4" x14ac:dyDescent="0.2">
      <c r="B1985" s="115"/>
      <c r="D1985" s="116"/>
    </row>
    <row r="1986" spans="2:4" x14ac:dyDescent="0.2">
      <c r="B1986" s="115"/>
      <c r="D1986" s="116"/>
    </row>
    <row r="1987" spans="2:4" x14ac:dyDescent="0.2">
      <c r="B1987" s="115"/>
      <c r="D1987" s="116"/>
    </row>
    <row r="1988" spans="2:4" x14ac:dyDescent="0.2">
      <c r="B1988" s="115"/>
      <c r="D1988" s="116"/>
    </row>
    <row r="1989" spans="2:4" x14ac:dyDescent="0.2">
      <c r="B1989" s="115"/>
      <c r="D1989" s="116"/>
    </row>
    <row r="1990" spans="2:4" x14ac:dyDescent="0.2">
      <c r="B1990" s="115"/>
      <c r="D1990" s="116"/>
    </row>
    <row r="1991" spans="2:4" x14ac:dyDescent="0.2">
      <c r="B1991" s="115"/>
      <c r="D1991" s="116"/>
    </row>
    <row r="1992" spans="2:4" x14ac:dyDescent="0.2">
      <c r="B1992" s="115"/>
      <c r="D1992" s="116"/>
    </row>
    <row r="1993" spans="2:4" x14ac:dyDescent="0.2">
      <c r="B1993" s="115"/>
      <c r="D1993" s="116"/>
    </row>
    <row r="1994" spans="2:4" x14ac:dyDescent="0.2">
      <c r="B1994" s="115"/>
      <c r="D1994" s="116"/>
    </row>
    <row r="1995" spans="2:4" x14ac:dyDescent="0.2">
      <c r="B1995" s="115"/>
      <c r="D1995" s="116"/>
    </row>
    <row r="1996" spans="2:4" x14ac:dyDescent="0.2">
      <c r="B1996" s="115"/>
      <c r="D1996" s="116"/>
    </row>
    <row r="1997" spans="2:4" x14ac:dyDescent="0.2">
      <c r="B1997" s="115"/>
      <c r="D1997" s="116"/>
    </row>
    <row r="1998" spans="2:4" x14ac:dyDescent="0.2">
      <c r="B1998" s="115"/>
      <c r="D1998" s="116"/>
    </row>
    <row r="1999" spans="2:4" x14ac:dyDescent="0.2">
      <c r="B1999" s="115"/>
      <c r="D1999" s="116"/>
    </row>
    <row r="2000" spans="2:4" x14ac:dyDescent="0.2">
      <c r="B2000" s="115"/>
      <c r="D2000" s="116"/>
    </row>
    <row r="2001" spans="2:4" x14ac:dyDescent="0.2">
      <c r="B2001" s="115"/>
      <c r="D2001" s="116"/>
    </row>
    <row r="2002" spans="2:4" x14ac:dyDescent="0.2">
      <c r="B2002" s="115"/>
      <c r="D2002" s="116"/>
    </row>
    <row r="2003" spans="2:4" x14ac:dyDescent="0.2">
      <c r="B2003" s="115"/>
      <c r="D2003" s="116"/>
    </row>
    <row r="2004" spans="2:4" x14ac:dyDescent="0.2">
      <c r="B2004" s="115"/>
      <c r="D2004" s="116"/>
    </row>
    <row r="2005" spans="2:4" x14ac:dyDescent="0.2">
      <c r="B2005" s="115"/>
      <c r="D2005" s="116"/>
    </row>
    <row r="2006" spans="2:4" x14ac:dyDescent="0.2">
      <c r="B2006" s="115"/>
      <c r="D2006" s="116"/>
    </row>
    <row r="2007" spans="2:4" x14ac:dyDescent="0.2">
      <c r="B2007" s="115"/>
      <c r="D2007" s="116"/>
    </row>
    <row r="2008" spans="2:4" x14ac:dyDescent="0.2">
      <c r="B2008" s="115"/>
      <c r="D2008" s="116"/>
    </row>
    <row r="2009" spans="2:4" x14ac:dyDescent="0.2">
      <c r="B2009" s="115"/>
      <c r="D2009" s="116"/>
    </row>
    <row r="2010" spans="2:4" x14ac:dyDescent="0.2">
      <c r="B2010" s="115"/>
      <c r="D2010" s="116"/>
    </row>
    <row r="2011" spans="2:4" x14ac:dyDescent="0.2">
      <c r="B2011" s="115"/>
      <c r="D2011" s="116"/>
    </row>
    <row r="2012" spans="2:4" x14ac:dyDescent="0.2">
      <c r="B2012" s="115"/>
      <c r="D2012" s="116"/>
    </row>
    <row r="2013" spans="2:4" x14ac:dyDescent="0.2">
      <c r="B2013" s="115"/>
      <c r="D2013" s="116"/>
    </row>
    <row r="2014" spans="2:4" x14ac:dyDescent="0.2">
      <c r="B2014" s="115"/>
      <c r="D2014" s="116"/>
    </row>
    <row r="2015" spans="2:4" x14ac:dyDescent="0.2">
      <c r="B2015" s="115"/>
      <c r="D2015" s="116"/>
    </row>
    <row r="2016" spans="2:4" x14ac:dyDescent="0.2">
      <c r="B2016" s="115"/>
      <c r="D2016" s="116"/>
    </row>
    <row r="2017" spans="2:4" x14ac:dyDescent="0.2">
      <c r="B2017" s="115"/>
      <c r="D2017" s="116"/>
    </row>
    <row r="2018" spans="2:4" x14ac:dyDescent="0.2">
      <c r="B2018" s="115"/>
      <c r="D2018" s="116"/>
    </row>
    <row r="2019" spans="2:4" x14ac:dyDescent="0.2">
      <c r="B2019" s="115"/>
      <c r="D2019" s="116"/>
    </row>
    <row r="2020" spans="2:4" x14ac:dyDescent="0.2">
      <c r="B2020" s="115"/>
      <c r="D2020" s="116"/>
    </row>
    <row r="2021" spans="2:4" x14ac:dyDescent="0.2">
      <c r="B2021" s="115"/>
      <c r="D2021" s="116"/>
    </row>
    <row r="2022" spans="2:4" x14ac:dyDescent="0.2">
      <c r="B2022" s="115"/>
      <c r="D2022" s="116"/>
    </row>
    <row r="2023" spans="2:4" x14ac:dyDescent="0.2">
      <c r="B2023" s="115"/>
      <c r="D2023" s="116"/>
    </row>
    <row r="2024" spans="2:4" x14ac:dyDescent="0.2">
      <c r="B2024" s="115"/>
      <c r="D2024" s="116"/>
    </row>
    <row r="2025" spans="2:4" x14ac:dyDescent="0.2">
      <c r="B2025" s="115"/>
      <c r="D2025" s="116"/>
    </row>
    <row r="2026" spans="2:4" x14ac:dyDescent="0.2">
      <c r="B2026" s="115"/>
      <c r="D2026" s="116"/>
    </row>
    <row r="2027" spans="2:4" x14ac:dyDescent="0.2">
      <c r="B2027" s="115"/>
      <c r="D2027" s="116"/>
    </row>
    <row r="2028" spans="2:4" x14ac:dyDescent="0.2">
      <c r="B2028" s="115"/>
      <c r="D2028" s="116"/>
    </row>
    <row r="2029" spans="2:4" x14ac:dyDescent="0.2">
      <c r="B2029" s="115"/>
      <c r="D2029" s="116"/>
    </row>
    <row r="2030" spans="2:4" x14ac:dyDescent="0.2">
      <c r="B2030" s="115"/>
      <c r="D2030" s="116"/>
    </row>
    <row r="2031" spans="2:4" x14ac:dyDescent="0.2">
      <c r="B2031" s="115"/>
      <c r="D2031" s="116"/>
    </row>
    <row r="2032" spans="2:4" x14ac:dyDescent="0.2">
      <c r="B2032" s="115"/>
      <c r="D2032" s="116"/>
    </row>
    <row r="2033" spans="2:4" x14ac:dyDescent="0.2">
      <c r="B2033" s="115"/>
      <c r="D2033" s="116"/>
    </row>
    <row r="2034" spans="2:4" x14ac:dyDescent="0.2">
      <c r="B2034" s="115"/>
      <c r="D2034" s="116"/>
    </row>
    <row r="2035" spans="2:4" x14ac:dyDescent="0.2">
      <c r="B2035" s="115"/>
      <c r="D2035" s="116"/>
    </row>
    <row r="2036" spans="2:4" x14ac:dyDescent="0.2">
      <c r="B2036" s="115"/>
      <c r="D2036" s="116"/>
    </row>
    <row r="2037" spans="2:4" x14ac:dyDescent="0.2">
      <c r="B2037" s="115"/>
      <c r="D2037" s="116"/>
    </row>
    <row r="2038" spans="2:4" x14ac:dyDescent="0.2">
      <c r="B2038" s="115"/>
      <c r="D2038" s="116"/>
    </row>
    <row r="2039" spans="2:4" x14ac:dyDescent="0.2">
      <c r="B2039" s="115"/>
      <c r="D2039" s="116"/>
    </row>
    <row r="2040" spans="2:4" x14ac:dyDescent="0.2">
      <c r="B2040" s="115"/>
      <c r="D2040" s="116"/>
    </row>
    <row r="2041" spans="2:4" x14ac:dyDescent="0.2">
      <c r="B2041" s="115"/>
      <c r="D2041" s="116"/>
    </row>
    <row r="2042" spans="2:4" x14ac:dyDescent="0.2">
      <c r="B2042" s="115"/>
      <c r="D2042" s="116"/>
    </row>
    <row r="2043" spans="2:4" x14ac:dyDescent="0.2">
      <c r="B2043" s="115"/>
      <c r="D2043" s="116"/>
    </row>
    <row r="2044" spans="2:4" x14ac:dyDescent="0.2">
      <c r="B2044" s="115"/>
      <c r="D2044" s="116"/>
    </row>
    <row r="2045" spans="2:4" x14ac:dyDescent="0.2">
      <c r="B2045" s="115"/>
      <c r="D2045" s="116"/>
    </row>
    <row r="2046" spans="2:4" x14ac:dyDescent="0.2">
      <c r="B2046" s="115"/>
      <c r="D2046" s="116"/>
    </row>
    <row r="2047" spans="2:4" x14ac:dyDescent="0.2">
      <c r="B2047" s="115"/>
      <c r="D2047" s="116"/>
    </row>
    <row r="2048" spans="2:4" x14ac:dyDescent="0.2">
      <c r="B2048" s="115"/>
      <c r="D2048" s="116"/>
    </row>
    <row r="2049" spans="2:4" x14ac:dyDescent="0.2">
      <c r="B2049" s="115"/>
      <c r="D2049" s="116"/>
    </row>
    <row r="2050" spans="2:4" x14ac:dyDescent="0.2">
      <c r="B2050" s="115"/>
      <c r="D2050" s="116"/>
    </row>
    <row r="2051" spans="2:4" x14ac:dyDescent="0.2">
      <c r="B2051" s="115"/>
      <c r="D2051" s="116"/>
    </row>
    <row r="2052" spans="2:4" x14ac:dyDescent="0.2">
      <c r="B2052" s="115"/>
      <c r="D2052" s="116"/>
    </row>
    <row r="2053" spans="2:4" x14ac:dyDescent="0.2">
      <c r="B2053" s="115"/>
      <c r="D2053" s="116"/>
    </row>
    <row r="2054" spans="2:4" x14ac:dyDescent="0.2">
      <c r="B2054" s="115"/>
      <c r="D2054" s="116"/>
    </row>
    <row r="2055" spans="2:4" x14ac:dyDescent="0.2">
      <c r="B2055" s="115"/>
      <c r="D2055" s="116"/>
    </row>
    <row r="2056" spans="2:4" x14ac:dyDescent="0.2">
      <c r="B2056" s="115"/>
      <c r="D2056" s="116"/>
    </row>
    <row r="2057" spans="2:4" x14ac:dyDescent="0.2">
      <c r="B2057" s="115"/>
      <c r="D2057" s="116"/>
    </row>
    <row r="2058" spans="2:4" x14ac:dyDescent="0.2">
      <c r="B2058" s="115"/>
      <c r="D2058" s="116"/>
    </row>
    <row r="2059" spans="2:4" x14ac:dyDescent="0.2">
      <c r="B2059" s="115"/>
      <c r="D2059" s="116"/>
    </row>
    <row r="2060" spans="2:4" x14ac:dyDescent="0.2">
      <c r="B2060" s="115"/>
      <c r="D2060" s="116"/>
    </row>
    <row r="2061" spans="2:4" x14ac:dyDescent="0.2">
      <c r="B2061" s="115"/>
      <c r="D2061" s="116"/>
    </row>
    <row r="2062" spans="2:4" x14ac:dyDescent="0.2">
      <c r="B2062" s="115"/>
      <c r="D2062" s="116"/>
    </row>
    <row r="2063" spans="2:4" x14ac:dyDescent="0.2">
      <c r="B2063" s="115"/>
      <c r="D2063" s="116"/>
    </row>
    <row r="2064" spans="2:4" x14ac:dyDescent="0.2">
      <c r="B2064" s="115"/>
      <c r="D2064" s="116"/>
    </row>
    <row r="2065" spans="2:4" x14ac:dyDescent="0.2">
      <c r="B2065" s="115"/>
      <c r="D2065" s="116"/>
    </row>
    <row r="2066" spans="2:4" x14ac:dyDescent="0.2">
      <c r="B2066" s="115"/>
      <c r="D2066" s="116"/>
    </row>
    <row r="2067" spans="2:4" x14ac:dyDescent="0.2">
      <c r="B2067" s="115"/>
      <c r="D2067" s="116"/>
    </row>
    <row r="2068" spans="2:4" x14ac:dyDescent="0.2">
      <c r="B2068" s="115"/>
      <c r="D2068" s="116"/>
    </row>
    <row r="2069" spans="2:4" x14ac:dyDescent="0.2">
      <c r="B2069" s="115"/>
      <c r="D2069" s="116"/>
    </row>
    <row r="2070" spans="2:4" x14ac:dyDescent="0.2">
      <c r="B2070" s="115"/>
      <c r="D2070" s="116"/>
    </row>
    <row r="2071" spans="2:4" x14ac:dyDescent="0.2">
      <c r="B2071" s="115"/>
      <c r="D2071" s="116"/>
    </row>
    <row r="2072" spans="2:4" x14ac:dyDescent="0.2">
      <c r="B2072" s="115"/>
      <c r="D2072" s="116"/>
    </row>
    <row r="2073" spans="2:4" x14ac:dyDescent="0.2">
      <c r="B2073" s="115"/>
      <c r="D2073" s="116"/>
    </row>
    <row r="2074" spans="2:4" x14ac:dyDescent="0.2">
      <c r="B2074" s="115"/>
      <c r="D2074" s="116"/>
    </row>
    <row r="2075" spans="2:4" x14ac:dyDescent="0.2">
      <c r="B2075" s="115"/>
      <c r="D2075" s="116"/>
    </row>
    <row r="2076" spans="2:4" x14ac:dyDescent="0.2">
      <c r="B2076" s="115"/>
      <c r="D2076" s="116"/>
    </row>
    <row r="2077" spans="2:4" x14ac:dyDescent="0.2">
      <c r="B2077" s="115"/>
      <c r="D2077" s="116"/>
    </row>
    <row r="2078" spans="2:4" x14ac:dyDescent="0.2">
      <c r="B2078" s="115"/>
      <c r="D2078" s="116"/>
    </row>
    <row r="2079" spans="2:4" x14ac:dyDescent="0.2">
      <c r="B2079" s="115"/>
      <c r="D2079" s="116"/>
    </row>
    <row r="2080" spans="2:4" x14ac:dyDescent="0.2">
      <c r="B2080" s="115"/>
      <c r="D2080" s="116"/>
    </row>
    <row r="2081" spans="2:4" x14ac:dyDescent="0.2">
      <c r="B2081" s="115"/>
      <c r="D2081" s="116"/>
    </row>
    <row r="2082" spans="2:4" x14ac:dyDescent="0.2">
      <c r="B2082" s="115"/>
      <c r="D2082" s="116"/>
    </row>
    <row r="2083" spans="2:4" x14ac:dyDescent="0.2">
      <c r="B2083" s="115"/>
      <c r="D2083" s="116"/>
    </row>
    <row r="2084" spans="2:4" x14ac:dyDescent="0.2">
      <c r="B2084" s="115"/>
      <c r="D2084" s="116"/>
    </row>
    <row r="2085" spans="2:4" x14ac:dyDescent="0.2">
      <c r="B2085" s="115"/>
      <c r="D2085" s="116"/>
    </row>
    <row r="2086" spans="2:4" x14ac:dyDescent="0.2">
      <c r="B2086" s="115"/>
      <c r="D2086" s="116"/>
    </row>
    <row r="2087" spans="2:4" x14ac:dyDescent="0.2">
      <c r="B2087" s="115"/>
      <c r="D2087" s="116"/>
    </row>
    <row r="2088" spans="2:4" x14ac:dyDescent="0.2">
      <c r="B2088" s="115"/>
      <c r="D2088" s="116"/>
    </row>
    <row r="2089" spans="2:4" x14ac:dyDescent="0.2">
      <c r="B2089" s="115"/>
      <c r="D2089" s="116"/>
    </row>
    <row r="2090" spans="2:4" x14ac:dyDescent="0.2">
      <c r="B2090" s="115"/>
      <c r="D2090" s="116"/>
    </row>
    <row r="2091" spans="2:4" x14ac:dyDescent="0.2">
      <c r="B2091" s="115"/>
      <c r="D2091" s="116"/>
    </row>
    <row r="2092" spans="2:4" x14ac:dyDescent="0.2">
      <c r="B2092" s="115"/>
      <c r="D2092" s="116"/>
    </row>
    <row r="2093" spans="2:4" x14ac:dyDescent="0.2">
      <c r="B2093" s="115"/>
      <c r="D2093" s="116"/>
    </row>
    <row r="2094" spans="2:4" x14ac:dyDescent="0.2">
      <c r="B2094" s="115"/>
      <c r="D2094" s="116"/>
    </row>
    <row r="2095" spans="2:4" x14ac:dyDescent="0.2">
      <c r="B2095" s="115"/>
      <c r="D2095" s="116"/>
    </row>
    <row r="2096" spans="2:4" x14ac:dyDescent="0.2">
      <c r="B2096" s="115"/>
      <c r="D2096" s="116"/>
    </row>
    <row r="2097" spans="2:4" x14ac:dyDescent="0.2">
      <c r="B2097" s="115"/>
      <c r="D2097" s="116"/>
    </row>
    <row r="2098" spans="2:4" x14ac:dyDescent="0.2">
      <c r="B2098" s="115"/>
      <c r="D2098" s="116"/>
    </row>
    <row r="2099" spans="2:4" x14ac:dyDescent="0.2">
      <c r="B2099" s="115"/>
      <c r="D2099" s="116"/>
    </row>
    <row r="2100" spans="2:4" x14ac:dyDescent="0.2">
      <c r="B2100" s="115"/>
      <c r="D2100" s="116"/>
    </row>
    <row r="2101" spans="2:4" x14ac:dyDescent="0.2">
      <c r="B2101" s="115"/>
      <c r="D2101" s="116"/>
    </row>
    <row r="2102" spans="2:4" x14ac:dyDescent="0.2">
      <c r="B2102" s="115"/>
      <c r="D2102" s="116"/>
    </row>
    <row r="2103" spans="2:4" x14ac:dyDescent="0.2">
      <c r="B2103" s="115"/>
      <c r="D2103" s="116"/>
    </row>
    <row r="2104" spans="2:4" x14ac:dyDescent="0.2">
      <c r="B2104" s="115"/>
      <c r="D2104" s="116"/>
    </row>
    <row r="2105" spans="2:4" x14ac:dyDescent="0.2">
      <c r="B2105" s="115"/>
      <c r="D2105" s="116"/>
    </row>
    <row r="2106" spans="2:4" x14ac:dyDescent="0.2">
      <c r="B2106" s="115"/>
      <c r="D2106" s="116"/>
    </row>
    <row r="2107" spans="2:4" x14ac:dyDescent="0.2">
      <c r="B2107" s="115"/>
      <c r="D2107" s="116"/>
    </row>
    <row r="2108" spans="2:4" x14ac:dyDescent="0.2">
      <c r="B2108" s="115"/>
      <c r="D2108" s="116"/>
    </row>
    <row r="2109" spans="2:4" x14ac:dyDescent="0.2">
      <c r="B2109" s="115"/>
      <c r="D2109" s="116"/>
    </row>
    <row r="2110" spans="2:4" x14ac:dyDescent="0.2">
      <c r="B2110" s="115"/>
      <c r="D2110" s="116"/>
    </row>
    <row r="2111" spans="2:4" x14ac:dyDescent="0.2">
      <c r="B2111" s="115"/>
      <c r="D2111" s="116"/>
    </row>
    <row r="2112" spans="2:4" x14ac:dyDescent="0.2">
      <c r="B2112" s="115"/>
      <c r="D2112" s="116"/>
    </row>
    <row r="2113" spans="2:4" x14ac:dyDescent="0.2">
      <c r="B2113" s="115"/>
      <c r="D2113" s="116"/>
    </row>
    <row r="2114" spans="2:4" x14ac:dyDescent="0.2">
      <c r="B2114" s="115"/>
      <c r="D2114" s="116"/>
    </row>
    <row r="2115" spans="2:4" x14ac:dyDescent="0.2">
      <c r="B2115" s="115"/>
      <c r="D2115" s="116"/>
    </row>
    <row r="2116" spans="2:4" x14ac:dyDescent="0.2">
      <c r="B2116" s="115"/>
      <c r="D2116" s="116"/>
    </row>
    <row r="2117" spans="2:4" x14ac:dyDescent="0.2">
      <c r="B2117" s="115"/>
      <c r="D2117" s="116"/>
    </row>
    <row r="2118" spans="2:4" x14ac:dyDescent="0.2">
      <c r="B2118" s="115"/>
      <c r="D2118" s="116"/>
    </row>
    <row r="2119" spans="2:4" x14ac:dyDescent="0.2">
      <c r="B2119" s="115"/>
      <c r="D2119" s="116"/>
    </row>
    <row r="2120" spans="2:4" x14ac:dyDescent="0.2">
      <c r="B2120" s="115"/>
      <c r="D2120" s="116"/>
    </row>
    <row r="2121" spans="2:4" x14ac:dyDescent="0.2">
      <c r="B2121" s="115"/>
      <c r="D2121" s="116"/>
    </row>
    <row r="2122" spans="2:4" x14ac:dyDescent="0.2">
      <c r="B2122" s="115"/>
      <c r="D2122" s="116"/>
    </row>
    <row r="2123" spans="2:4" x14ac:dyDescent="0.2">
      <c r="B2123" s="115"/>
      <c r="D2123" s="116"/>
    </row>
    <row r="2124" spans="2:4" x14ac:dyDescent="0.2">
      <c r="B2124" s="115"/>
      <c r="D2124" s="116"/>
    </row>
    <row r="2125" spans="2:4" x14ac:dyDescent="0.2">
      <c r="B2125" s="115"/>
      <c r="D2125" s="116"/>
    </row>
    <row r="2126" spans="2:4" x14ac:dyDescent="0.2">
      <c r="B2126" s="115"/>
      <c r="D2126" s="116"/>
    </row>
    <row r="2127" spans="2:4" x14ac:dyDescent="0.2">
      <c r="B2127" s="115"/>
      <c r="D2127" s="116"/>
    </row>
    <row r="2128" spans="2:4" x14ac:dyDescent="0.2">
      <c r="B2128" s="115"/>
      <c r="D2128" s="116"/>
    </row>
    <row r="2129" spans="2:4" x14ac:dyDescent="0.2">
      <c r="B2129" s="115"/>
      <c r="D2129" s="116"/>
    </row>
    <row r="2130" spans="2:4" x14ac:dyDescent="0.2">
      <c r="B2130" s="115"/>
      <c r="D2130" s="116"/>
    </row>
    <row r="2131" spans="2:4" x14ac:dyDescent="0.2">
      <c r="B2131" s="115"/>
      <c r="D2131" s="116"/>
    </row>
    <row r="2132" spans="2:4" x14ac:dyDescent="0.2">
      <c r="B2132" s="115"/>
      <c r="D2132" s="116"/>
    </row>
    <row r="2133" spans="2:4" x14ac:dyDescent="0.2">
      <c r="B2133" s="115"/>
      <c r="D2133" s="116"/>
    </row>
    <row r="2134" spans="2:4" x14ac:dyDescent="0.2">
      <c r="B2134" s="115"/>
      <c r="D2134" s="116"/>
    </row>
    <row r="2135" spans="2:4" x14ac:dyDescent="0.2">
      <c r="B2135" s="115"/>
      <c r="D2135" s="116"/>
    </row>
    <row r="2136" spans="2:4" x14ac:dyDescent="0.2">
      <c r="B2136" s="115"/>
      <c r="D2136" s="116"/>
    </row>
    <row r="2137" spans="2:4" x14ac:dyDescent="0.2">
      <c r="B2137" s="115"/>
      <c r="D2137" s="116"/>
    </row>
    <row r="2138" spans="2:4" x14ac:dyDescent="0.2">
      <c r="B2138" s="115"/>
      <c r="D2138" s="116"/>
    </row>
    <row r="2139" spans="2:4" x14ac:dyDescent="0.2">
      <c r="B2139" s="115"/>
      <c r="D2139" s="116"/>
    </row>
    <row r="2140" spans="2:4" x14ac:dyDescent="0.2">
      <c r="B2140" s="115"/>
      <c r="D2140" s="116"/>
    </row>
    <row r="2141" spans="2:4" x14ac:dyDescent="0.2">
      <c r="B2141" s="115"/>
      <c r="D2141" s="116"/>
    </row>
    <row r="2142" spans="2:4" x14ac:dyDescent="0.2">
      <c r="B2142" s="115"/>
      <c r="D2142" s="116"/>
    </row>
    <row r="2143" spans="2:4" x14ac:dyDescent="0.2">
      <c r="B2143" s="115"/>
      <c r="D2143" s="116"/>
    </row>
    <row r="2144" spans="2:4" x14ac:dyDescent="0.2">
      <c r="B2144" s="115"/>
      <c r="D2144" s="116"/>
    </row>
    <row r="2145" spans="2:4" x14ac:dyDescent="0.2">
      <c r="B2145" s="115"/>
      <c r="D2145" s="116"/>
    </row>
    <row r="2146" spans="2:4" x14ac:dyDescent="0.2">
      <c r="B2146" s="115"/>
      <c r="D2146" s="116"/>
    </row>
    <row r="2147" spans="2:4" x14ac:dyDescent="0.2">
      <c r="B2147" s="115"/>
      <c r="D2147" s="116"/>
    </row>
    <row r="2148" spans="2:4" x14ac:dyDescent="0.2">
      <c r="B2148" s="115"/>
      <c r="D2148" s="116"/>
    </row>
    <row r="2149" spans="2:4" x14ac:dyDescent="0.2">
      <c r="B2149" s="115"/>
      <c r="D2149" s="116"/>
    </row>
    <row r="2150" spans="2:4" x14ac:dyDescent="0.2">
      <c r="B2150" s="115"/>
      <c r="D2150" s="116"/>
    </row>
    <row r="2151" spans="2:4" x14ac:dyDescent="0.2">
      <c r="B2151" s="115"/>
      <c r="D2151" s="116"/>
    </row>
    <row r="2152" spans="2:4" x14ac:dyDescent="0.2">
      <c r="B2152" s="115"/>
      <c r="D2152" s="116"/>
    </row>
    <row r="2153" spans="2:4" x14ac:dyDescent="0.2">
      <c r="B2153" s="115"/>
      <c r="D2153" s="116"/>
    </row>
    <row r="2154" spans="2:4" x14ac:dyDescent="0.2">
      <c r="B2154" s="115"/>
      <c r="D2154" s="116"/>
    </row>
    <row r="2155" spans="2:4" x14ac:dyDescent="0.2">
      <c r="B2155" s="115"/>
      <c r="D2155" s="116"/>
    </row>
    <row r="2156" spans="2:4" x14ac:dyDescent="0.2">
      <c r="B2156" s="115"/>
      <c r="D2156" s="116"/>
    </row>
    <row r="2157" spans="2:4" x14ac:dyDescent="0.2">
      <c r="B2157" s="115"/>
      <c r="D2157" s="116"/>
    </row>
    <row r="2158" spans="2:4" x14ac:dyDescent="0.2">
      <c r="B2158" s="115"/>
      <c r="D2158" s="116"/>
    </row>
    <row r="2159" spans="2:4" x14ac:dyDescent="0.2">
      <c r="B2159" s="115"/>
      <c r="D2159" s="116"/>
    </row>
    <row r="2160" spans="2:4" x14ac:dyDescent="0.2">
      <c r="B2160" s="115"/>
      <c r="D2160" s="116"/>
    </row>
    <row r="2161" spans="2:4" x14ac:dyDescent="0.2">
      <c r="B2161" s="115"/>
      <c r="D2161" s="116"/>
    </row>
    <row r="2162" spans="2:4" x14ac:dyDescent="0.2">
      <c r="B2162" s="115"/>
      <c r="D2162" s="116"/>
    </row>
    <row r="2163" spans="2:4" x14ac:dyDescent="0.2">
      <c r="B2163" s="115"/>
      <c r="D2163" s="116"/>
    </row>
    <row r="2164" spans="2:4" x14ac:dyDescent="0.2">
      <c r="B2164" s="115"/>
      <c r="D2164" s="116"/>
    </row>
    <row r="2165" spans="2:4" x14ac:dyDescent="0.2">
      <c r="B2165" s="115"/>
      <c r="D2165" s="116"/>
    </row>
    <row r="2166" spans="2:4" x14ac:dyDescent="0.2">
      <c r="B2166" s="115"/>
      <c r="D2166" s="116"/>
    </row>
    <row r="2167" spans="2:4" x14ac:dyDescent="0.2">
      <c r="B2167" s="115"/>
      <c r="D2167" s="116"/>
    </row>
    <row r="2168" spans="2:4" x14ac:dyDescent="0.2">
      <c r="B2168" s="115"/>
      <c r="D2168" s="116"/>
    </row>
    <row r="2169" spans="2:4" x14ac:dyDescent="0.2">
      <c r="B2169" s="115"/>
      <c r="D2169" s="116"/>
    </row>
    <row r="2170" spans="2:4" x14ac:dyDescent="0.2">
      <c r="B2170" s="115"/>
      <c r="D2170" s="116"/>
    </row>
    <row r="2171" spans="2:4" x14ac:dyDescent="0.2">
      <c r="B2171" s="115"/>
      <c r="D2171" s="116"/>
    </row>
    <row r="2172" spans="2:4" x14ac:dyDescent="0.2">
      <c r="B2172" s="115"/>
      <c r="D2172" s="116"/>
    </row>
    <row r="2173" spans="2:4" x14ac:dyDescent="0.2">
      <c r="B2173" s="115"/>
      <c r="D2173" s="116"/>
    </row>
    <row r="2174" spans="2:4" x14ac:dyDescent="0.2">
      <c r="B2174" s="115"/>
      <c r="D2174" s="116"/>
    </row>
    <row r="2175" spans="2:4" x14ac:dyDescent="0.2">
      <c r="B2175" s="115"/>
      <c r="D2175" s="116"/>
    </row>
    <row r="2176" spans="2:4" x14ac:dyDescent="0.2">
      <c r="B2176" s="115"/>
      <c r="D2176" s="116"/>
    </row>
    <row r="2177" spans="2:4" x14ac:dyDescent="0.2">
      <c r="B2177" s="115"/>
      <c r="D2177" s="116"/>
    </row>
    <row r="2178" spans="2:4" x14ac:dyDescent="0.2">
      <c r="B2178" s="115"/>
      <c r="D2178" s="116"/>
    </row>
    <row r="2179" spans="2:4" x14ac:dyDescent="0.2">
      <c r="B2179" s="115"/>
      <c r="D2179" s="116"/>
    </row>
    <row r="2180" spans="2:4" x14ac:dyDescent="0.2">
      <c r="B2180" s="115"/>
      <c r="D2180" s="116"/>
    </row>
    <row r="2181" spans="2:4" x14ac:dyDescent="0.2">
      <c r="B2181" s="115"/>
      <c r="D2181" s="116"/>
    </row>
    <row r="2182" spans="2:4" x14ac:dyDescent="0.2">
      <c r="B2182" s="115"/>
      <c r="D2182" s="116"/>
    </row>
    <row r="2183" spans="2:4" x14ac:dyDescent="0.2">
      <c r="B2183" s="115"/>
      <c r="D2183" s="116"/>
    </row>
    <row r="2184" spans="2:4" x14ac:dyDescent="0.2">
      <c r="B2184" s="115"/>
      <c r="D2184" s="116"/>
    </row>
    <row r="2185" spans="2:4" x14ac:dyDescent="0.2">
      <c r="B2185" s="115"/>
      <c r="D2185" s="116"/>
    </row>
    <row r="2186" spans="2:4" x14ac:dyDescent="0.2">
      <c r="B2186" s="115"/>
      <c r="D2186" s="116"/>
    </row>
    <row r="2187" spans="2:4" x14ac:dyDescent="0.2">
      <c r="B2187" s="115"/>
      <c r="D2187" s="116"/>
    </row>
    <row r="2188" spans="2:4" x14ac:dyDescent="0.2">
      <c r="B2188" s="115"/>
      <c r="D2188" s="116"/>
    </row>
    <row r="2189" spans="2:4" x14ac:dyDescent="0.2">
      <c r="B2189" s="115"/>
      <c r="D2189" s="116"/>
    </row>
    <row r="2190" spans="2:4" x14ac:dyDescent="0.2">
      <c r="B2190" s="115"/>
      <c r="D2190" s="116"/>
    </row>
    <row r="2191" spans="2:4" x14ac:dyDescent="0.2">
      <c r="B2191" s="115"/>
      <c r="D2191" s="116"/>
    </row>
    <row r="2192" spans="2:4" x14ac:dyDescent="0.2">
      <c r="B2192" s="115"/>
      <c r="D2192" s="116"/>
    </row>
    <row r="2193" spans="2:4" x14ac:dyDescent="0.2">
      <c r="B2193" s="115"/>
      <c r="D2193" s="116"/>
    </row>
    <row r="2194" spans="2:4" x14ac:dyDescent="0.2">
      <c r="B2194" s="115"/>
      <c r="D2194" s="116"/>
    </row>
    <row r="2195" spans="2:4" x14ac:dyDescent="0.2">
      <c r="B2195" s="115"/>
      <c r="D2195" s="116"/>
    </row>
    <row r="2196" spans="2:4" x14ac:dyDescent="0.2">
      <c r="B2196" s="115"/>
      <c r="D2196" s="116"/>
    </row>
    <row r="2197" spans="2:4" x14ac:dyDescent="0.2">
      <c r="B2197" s="115"/>
      <c r="D2197" s="116"/>
    </row>
    <row r="2198" spans="2:4" x14ac:dyDescent="0.2">
      <c r="B2198" s="115"/>
      <c r="D2198" s="116"/>
    </row>
    <row r="2199" spans="2:4" x14ac:dyDescent="0.2">
      <c r="B2199" s="115"/>
      <c r="D2199" s="116"/>
    </row>
    <row r="2200" spans="2:4" x14ac:dyDescent="0.2">
      <c r="B2200" s="115"/>
      <c r="D2200" s="116"/>
    </row>
    <row r="2201" spans="2:4" x14ac:dyDescent="0.2">
      <c r="B2201" s="115"/>
      <c r="D2201" s="116"/>
    </row>
    <row r="2202" spans="2:4" x14ac:dyDescent="0.2">
      <c r="B2202" s="115"/>
      <c r="D2202" s="116"/>
    </row>
    <row r="2203" spans="2:4" x14ac:dyDescent="0.2">
      <c r="B2203" s="115"/>
      <c r="D2203" s="116"/>
    </row>
    <row r="2204" spans="2:4" x14ac:dyDescent="0.2">
      <c r="B2204" s="115"/>
      <c r="D2204" s="116"/>
    </row>
    <row r="2205" spans="2:4" x14ac:dyDescent="0.2">
      <c r="B2205" s="115"/>
      <c r="D2205" s="116"/>
    </row>
    <row r="2206" spans="2:4" x14ac:dyDescent="0.2">
      <c r="B2206" s="115"/>
      <c r="D2206" s="116"/>
    </row>
    <row r="2207" spans="2:4" x14ac:dyDescent="0.2">
      <c r="B2207" s="115"/>
      <c r="D2207" s="116"/>
    </row>
    <row r="2208" spans="2:4" x14ac:dyDescent="0.2">
      <c r="B2208" s="115"/>
      <c r="D2208" s="116"/>
    </row>
    <row r="2209" spans="2:4" x14ac:dyDescent="0.2">
      <c r="B2209" s="115"/>
      <c r="D2209" s="116"/>
    </row>
    <row r="2210" spans="2:4" x14ac:dyDescent="0.2">
      <c r="B2210" s="115"/>
      <c r="D2210" s="116"/>
    </row>
    <row r="2211" spans="2:4" x14ac:dyDescent="0.2">
      <c r="B2211" s="115"/>
      <c r="D2211" s="116"/>
    </row>
    <row r="2212" spans="2:4" x14ac:dyDescent="0.2">
      <c r="B2212" s="115"/>
      <c r="D2212" s="116"/>
    </row>
    <row r="2213" spans="2:4" x14ac:dyDescent="0.2">
      <c r="B2213" s="115"/>
      <c r="D2213" s="116"/>
    </row>
    <row r="2214" spans="2:4" x14ac:dyDescent="0.2">
      <c r="B2214" s="115"/>
      <c r="D2214" s="116"/>
    </row>
    <row r="2215" spans="2:4" x14ac:dyDescent="0.2">
      <c r="B2215" s="115"/>
      <c r="D2215" s="116"/>
    </row>
    <row r="2216" spans="2:4" x14ac:dyDescent="0.2">
      <c r="B2216" s="115"/>
      <c r="D2216" s="116"/>
    </row>
    <row r="2217" spans="2:4" x14ac:dyDescent="0.2">
      <c r="B2217" s="115"/>
      <c r="D2217" s="116"/>
    </row>
    <row r="2218" spans="2:4" x14ac:dyDescent="0.2">
      <c r="B2218" s="115"/>
      <c r="D2218" s="116"/>
    </row>
    <row r="2219" spans="2:4" x14ac:dyDescent="0.2">
      <c r="B2219" s="115"/>
      <c r="D2219" s="116"/>
    </row>
    <row r="2220" spans="2:4" x14ac:dyDescent="0.2">
      <c r="B2220" s="115"/>
      <c r="D2220" s="116"/>
    </row>
    <row r="2221" spans="2:4" x14ac:dyDescent="0.2">
      <c r="B2221" s="115"/>
      <c r="D2221" s="116"/>
    </row>
    <row r="2222" spans="2:4" x14ac:dyDescent="0.2">
      <c r="B2222" s="115"/>
      <c r="D2222" s="116"/>
    </row>
    <row r="2223" spans="2:4" x14ac:dyDescent="0.2">
      <c r="B2223" s="115"/>
      <c r="D2223" s="116"/>
    </row>
    <row r="2224" spans="2:4" x14ac:dyDescent="0.2">
      <c r="B2224" s="115"/>
      <c r="D2224" s="116"/>
    </row>
    <row r="2225" spans="2:4" x14ac:dyDescent="0.2">
      <c r="B2225" s="115"/>
      <c r="D2225" s="116"/>
    </row>
    <row r="2226" spans="2:4" x14ac:dyDescent="0.2">
      <c r="B2226" s="115"/>
      <c r="D2226" s="116"/>
    </row>
    <row r="2227" spans="2:4" x14ac:dyDescent="0.2">
      <c r="B2227" s="115"/>
      <c r="D2227" s="116"/>
    </row>
    <row r="2228" spans="2:4" x14ac:dyDescent="0.2">
      <c r="B2228" s="115"/>
      <c r="D2228" s="116"/>
    </row>
    <row r="2229" spans="2:4" x14ac:dyDescent="0.2">
      <c r="B2229" s="115"/>
      <c r="D2229" s="116"/>
    </row>
    <row r="2230" spans="2:4" x14ac:dyDescent="0.2">
      <c r="B2230" s="115"/>
      <c r="D2230" s="116"/>
    </row>
    <row r="2231" spans="2:4" x14ac:dyDescent="0.2">
      <c r="B2231" s="115"/>
      <c r="D2231" s="116"/>
    </row>
    <row r="2232" spans="2:4" x14ac:dyDescent="0.2">
      <c r="B2232" s="115"/>
      <c r="D2232" s="116"/>
    </row>
    <row r="2233" spans="2:4" x14ac:dyDescent="0.2">
      <c r="B2233" s="115"/>
      <c r="D2233" s="116"/>
    </row>
    <row r="2234" spans="2:4" x14ac:dyDescent="0.2">
      <c r="B2234" s="115"/>
      <c r="D2234" s="116"/>
    </row>
    <row r="2235" spans="2:4" x14ac:dyDescent="0.2">
      <c r="B2235" s="115"/>
      <c r="D2235" s="116"/>
    </row>
    <row r="2236" spans="2:4" x14ac:dyDescent="0.2">
      <c r="B2236" s="115"/>
      <c r="D2236" s="116"/>
    </row>
    <row r="2237" spans="2:4" x14ac:dyDescent="0.2">
      <c r="B2237" s="115"/>
      <c r="D2237" s="116"/>
    </row>
    <row r="2238" spans="2:4" x14ac:dyDescent="0.2">
      <c r="B2238" s="115"/>
      <c r="D2238" s="116"/>
    </row>
    <row r="2239" spans="2:4" x14ac:dyDescent="0.2">
      <c r="B2239" s="115"/>
      <c r="D2239" s="116"/>
    </row>
    <row r="2240" spans="2:4" x14ac:dyDescent="0.2">
      <c r="B2240" s="115"/>
      <c r="D2240" s="116"/>
    </row>
    <row r="2241" spans="2:4" x14ac:dyDescent="0.2">
      <c r="B2241" s="115"/>
      <c r="D2241" s="116"/>
    </row>
    <row r="2242" spans="2:4" x14ac:dyDescent="0.2">
      <c r="B2242" s="115"/>
      <c r="D2242" s="116"/>
    </row>
    <row r="2243" spans="2:4" x14ac:dyDescent="0.2">
      <c r="B2243" s="115"/>
      <c r="D2243" s="116"/>
    </row>
    <row r="2244" spans="2:4" x14ac:dyDescent="0.2">
      <c r="B2244" s="115"/>
      <c r="D2244" s="116"/>
    </row>
    <row r="2245" spans="2:4" x14ac:dyDescent="0.2">
      <c r="B2245" s="115"/>
      <c r="D2245" s="116"/>
    </row>
    <row r="2246" spans="2:4" x14ac:dyDescent="0.2">
      <c r="B2246" s="115"/>
      <c r="D2246" s="116"/>
    </row>
    <row r="2247" spans="2:4" x14ac:dyDescent="0.2">
      <c r="B2247" s="115"/>
      <c r="D2247" s="116"/>
    </row>
    <row r="2248" spans="2:4" x14ac:dyDescent="0.2">
      <c r="B2248" s="115"/>
      <c r="D2248" s="116"/>
    </row>
    <row r="2249" spans="2:4" x14ac:dyDescent="0.2">
      <c r="B2249" s="115"/>
      <c r="D2249" s="116"/>
    </row>
    <row r="2250" spans="2:4" x14ac:dyDescent="0.2">
      <c r="B2250" s="115"/>
      <c r="D2250" s="116"/>
    </row>
    <row r="2251" spans="2:4" x14ac:dyDescent="0.2">
      <c r="B2251" s="115"/>
      <c r="D2251" s="116"/>
    </row>
    <row r="2252" spans="2:4" x14ac:dyDescent="0.2">
      <c r="B2252" s="115"/>
      <c r="D2252" s="116"/>
    </row>
    <row r="2253" spans="2:4" x14ac:dyDescent="0.2">
      <c r="B2253" s="115"/>
      <c r="D2253" s="116"/>
    </row>
    <row r="2254" spans="2:4" x14ac:dyDescent="0.2">
      <c r="B2254" s="115"/>
      <c r="D2254" s="116"/>
    </row>
    <row r="2255" spans="2:4" x14ac:dyDescent="0.2">
      <c r="B2255" s="115"/>
      <c r="D2255" s="116"/>
    </row>
    <row r="2256" spans="2:4" x14ac:dyDescent="0.2">
      <c r="B2256" s="115"/>
      <c r="D2256" s="116"/>
    </row>
    <row r="2257" spans="2:4" x14ac:dyDescent="0.2">
      <c r="B2257" s="115"/>
      <c r="D2257" s="116"/>
    </row>
    <row r="2258" spans="2:4" x14ac:dyDescent="0.2">
      <c r="B2258" s="115"/>
      <c r="D2258" s="116"/>
    </row>
    <row r="2259" spans="2:4" x14ac:dyDescent="0.2">
      <c r="B2259" s="115"/>
      <c r="D2259" s="116"/>
    </row>
    <row r="2260" spans="2:4" x14ac:dyDescent="0.2">
      <c r="B2260" s="115"/>
      <c r="D2260" s="116"/>
    </row>
    <row r="2261" spans="2:4" x14ac:dyDescent="0.2">
      <c r="B2261" s="115"/>
      <c r="D2261" s="116"/>
    </row>
    <row r="2262" spans="2:4" x14ac:dyDescent="0.2">
      <c r="B2262" s="115"/>
      <c r="D2262" s="116"/>
    </row>
    <row r="2263" spans="2:4" x14ac:dyDescent="0.2">
      <c r="B2263" s="115"/>
      <c r="D2263" s="116"/>
    </row>
    <row r="2264" spans="2:4" x14ac:dyDescent="0.2">
      <c r="B2264" s="115"/>
      <c r="D2264" s="116"/>
    </row>
    <row r="2265" spans="2:4" x14ac:dyDescent="0.2">
      <c r="B2265" s="115"/>
      <c r="D2265" s="116"/>
    </row>
    <row r="2266" spans="2:4" x14ac:dyDescent="0.2">
      <c r="B2266" s="115"/>
      <c r="D2266" s="116"/>
    </row>
    <row r="2267" spans="2:4" x14ac:dyDescent="0.2">
      <c r="B2267" s="115"/>
      <c r="D2267" s="116"/>
    </row>
    <row r="2268" spans="2:4" x14ac:dyDescent="0.2">
      <c r="B2268" s="115"/>
      <c r="D2268" s="116"/>
    </row>
    <row r="2269" spans="2:4" x14ac:dyDescent="0.2">
      <c r="B2269" s="115"/>
      <c r="D2269" s="116"/>
    </row>
    <row r="2270" spans="2:4" x14ac:dyDescent="0.2">
      <c r="B2270" s="115"/>
      <c r="D2270" s="116"/>
    </row>
    <row r="2271" spans="2:4" x14ac:dyDescent="0.2">
      <c r="B2271" s="115"/>
      <c r="D2271" s="116"/>
    </row>
    <row r="2272" spans="2:4" x14ac:dyDescent="0.2">
      <c r="B2272" s="115"/>
      <c r="D2272" s="116"/>
    </row>
    <row r="2273" spans="2:4" x14ac:dyDescent="0.2">
      <c r="B2273" s="115"/>
      <c r="D2273" s="116"/>
    </row>
    <row r="2274" spans="2:4" x14ac:dyDescent="0.2">
      <c r="B2274" s="115"/>
      <c r="D2274" s="116"/>
    </row>
    <row r="2275" spans="2:4" x14ac:dyDescent="0.2">
      <c r="B2275" s="115"/>
      <c r="D2275" s="116"/>
    </row>
    <row r="2276" spans="2:4" x14ac:dyDescent="0.2">
      <c r="B2276" s="115"/>
      <c r="D2276" s="116"/>
    </row>
    <row r="2277" spans="2:4" x14ac:dyDescent="0.2">
      <c r="B2277" s="115"/>
      <c r="D2277" s="116"/>
    </row>
    <row r="2278" spans="2:4" x14ac:dyDescent="0.2">
      <c r="B2278" s="115"/>
      <c r="D2278" s="116"/>
    </row>
    <row r="2279" spans="2:4" x14ac:dyDescent="0.2">
      <c r="B2279" s="115"/>
      <c r="D2279" s="116"/>
    </row>
    <row r="2280" spans="2:4" x14ac:dyDescent="0.2">
      <c r="B2280" s="115"/>
      <c r="D2280" s="116"/>
    </row>
    <row r="2281" spans="2:4" x14ac:dyDescent="0.2">
      <c r="B2281" s="115"/>
      <c r="D2281" s="116"/>
    </row>
    <row r="2282" spans="2:4" x14ac:dyDescent="0.2">
      <c r="B2282" s="115"/>
      <c r="D2282" s="116"/>
    </row>
    <row r="2283" spans="2:4" x14ac:dyDescent="0.2">
      <c r="B2283" s="115"/>
      <c r="D2283" s="116"/>
    </row>
    <row r="2284" spans="2:4" x14ac:dyDescent="0.2">
      <c r="B2284" s="115"/>
      <c r="D2284" s="116"/>
    </row>
    <row r="2285" spans="2:4" x14ac:dyDescent="0.2">
      <c r="B2285" s="115"/>
      <c r="D2285" s="116"/>
    </row>
    <row r="2286" spans="2:4" x14ac:dyDescent="0.2">
      <c r="B2286" s="115"/>
      <c r="D2286" s="116"/>
    </row>
    <row r="2287" spans="2:4" x14ac:dyDescent="0.2">
      <c r="B2287" s="115"/>
      <c r="D2287" s="116"/>
    </row>
    <row r="2288" spans="2:4" x14ac:dyDescent="0.2">
      <c r="B2288" s="115"/>
      <c r="D2288" s="116"/>
    </row>
    <row r="2289" spans="2:4" x14ac:dyDescent="0.2">
      <c r="B2289" s="115"/>
      <c r="D2289" s="116"/>
    </row>
    <row r="2290" spans="2:4" x14ac:dyDescent="0.2">
      <c r="B2290" s="115"/>
      <c r="D2290" s="116"/>
    </row>
    <row r="2291" spans="2:4" x14ac:dyDescent="0.2">
      <c r="B2291" s="115"/>
      <c r="D2291" s="116"/>
    </row>
    <row r="2292" spans="2:4" x14ac:dyDescent="0.2">
      <c r="B2292" s="115"/>
      <c r="D2292" s="116"/>
    </row>
    <row r="2293" spans="2:4" x14ac:dyDescent="0.2">
      <c r="B2293" s="115"/>
      <c r="D2293" s="116"/>
    </row>
    <row r="2294" spans="2:4" x14ac:dyDescent="0.2">
      <c r="B2294" s="115"/>
      <c r="D2294" s="116"/>
    </row>
    <row r="2295" spans="2:4" x14ac:dyDescent="0.2">
      <c r="B2295" s="115"/>
      <c r="D2295" s="116"/>
    </row>
    <row r="2296" spans="2:4" x14ac:dyDescent="0.2">
      <c r="B2296" s="115"/>
      <c r="D2296" s="116"/>
    </row>
    <row r="2297" spans="2:4" x14ac:dyDescent="0.2">
      <c r="B2297" s="115"/>
      <c r="D2297" s="116"/>
    </row>
    <row r="2298" spans="2:4" x14ac:dyDescent="0.2">
      <c r="B2298" s="115"/>
      <c r="D2298" s="116"/>
    </row>
    <row r="2299" spans="2:4" x14ac:dyDescent="0.2">
      <c r="B2299" s="115"/>
      <c r="D2299" s="116"/>
    </row>
    <row r="2300" spans="2:4" x14ac:dyDescent="0.2">
      <c r="B2300" s="115"/>
      <c r="D2300" s="116"/>
    </row>
    <row r="2301" spans="2:4" x14ac:dyDescent="0.2">
      <c r="B2301" s="115"/>
      <c r="D2301" s="116"/>
    </row>
    <row r="2302" spans="2:4" x14ac:dyDescent="0.2">
      <c r="B2302" s="115"/>
      <c r="D2302" s="116"/>
    </row>
    <row r="2303" spans="2:4" x14ac:dyDescent="0.2">
      <c r="B2303" s="115"/>
      <c r="D2303" s="116"/>
    </row>
    <row r="2304" spans="2:4" x14ac:dyDescent="0.2">
      <c r="B2304" s="115"/>
      <c r="D2304" s="116"/>
    </row>
    <row r="2305" spans="2:4" x14ac:dyDescent="0.2">
      <c r="B2305" s="115"/>
      <c r="D2305" s="116"/>
    </row>
    <row r="2306" spans="2:4" x14ac:dyDescent="0.2">
      <c r="B2306" s="115"/>
      <c r="D2306" s="116"/>
    </row>
    <row r="2307" spans="2:4" x14ac:dyDescent="0.2">
      <c r="B2307" s="115"/>
      <c r="D2307" s="116"/>
    </row>
    <row r="2308" spans="2:4" x14ac:dyDescent="0.2">
      <c r="B2308" s="115"/>
      <c r="D2308" s="116"/>
    </row>
    <row r="2309" spans="2:4" x14ac:dyDescent="0.2">
      <c r="B2309" s="115"/>
      <c r="D2309" s="116"/>
    </row>
    <row r="2310" spans="2:4" x14ac:dyDescent="0.2">
      <c r="B2310" s="115"/>
      <c r="D2310" s="116"/>
    </row>
    <row r="2311" spans="2:4" x14ac:dyDescent="0.2">
      <c r="B2311" s="115"/>
      <c r="D2311" s="116"/>
    </row>
    <row r="2312" spans="2:4" x14ac:dyDescent="0.2">
      <c r="B2312" s="115"/>
      <c r="D2312" s="116"/>
    </row>
    <row r="2313" spans="2:4" x14ac:dyDescent="0.2">
      <c r="B2313" s="115"/>
      <c r="D2313" s="116"/>
    </row>
    <row r="2314" spans="2:4" x14ac:dyDescent="0.2">
      <c r="B2314" s="115"/>
      <c r="D2314" s="116"/>
    </row>
    <row r="2315" spans="2:4" x14ac:dyDescent="0.2">
      <c r="B2315" s="115"/>
      <c r="D2315" s="116"/>
    </row>
    <row r="2316" spans="2:4" x14ac:dyDescent="0.2">
      <c r="B2316" s="115"/>
      <c r="D2316" s="116"/>
    </row>
    <row r="2317" spans="2:4" x14ac:dyDescent="0.2">
      <c r="B2317" s="115"/>
      <c r="D2317" s="116"/>
    </row>
    <row r="2318" spans="2:4" x14ac:dyDescent="0.2">
      <c r="B2318" s="115"/>
      <c r="D2318" s="116"/>
    </row>
    <row r="2319" spans="2:4" x14ac:dyDescent="0.2">
      <c r="B2319" s="115"/>
      <c r="D2319" s="116"/>
    </row>
    <row r="2320" spans="2:4" x14ac:dyDescent="0.2">
      <c r="B2320" s="115"/>
      <c r="D2320" s="116"/>
    </row>
    <row r="2321" spans="2:4" x14ac:dyDescent="0.2">
      <c r="B2321" s="115"/>
      <c r="D2321" s="116"/>
    </row>
    <row r="2322" spans="2:4" x14ac:dyDescent="0.2">
      <c r="B2322" s="115"/>
      <c r="D2322" s="116"/>
    </row>
    <row r="2323" spans="2:4" x14ac:dyDescent="0.2">
      <c r="B2323" s="115"/>
      <c r="D2323" s="116"/>
    </row>
    <row r="2324" spans="2:4" x14ac:dyDescent="0.2">
      <c r="B2324" s="115"/>
      <c r="D2324" s="116"/>
    </row>
    <row r="2325" spans="2:4" x14ac:dyDescent="0.2">
      <c r="B2325" s="115"/>
      <c r="D2325" s="116"/>
    </row>
    <row r="2326" spans="2:4" x14ac:dyDescent="0.2">
      <c r="B2326" s="115"/>
      <c r="D2326" s="116"/>
    </row>
    <row r="2327" spans="2:4" x14ac:dyDescent="0.2">
      <c r="B2327" s="115"/>
      <c r="D2327" s="116"/>
    </row>
    <row r="2328" spans="2:4" x14ac:dyDescent="0.2">
      <c r="B2328" s="115"/>
      <c r="D2328" s="116"/>
    </row>
    <row r="2329" spans="2:4" x14ac:dyDescent="0.2">
      <c r="B2329" s="115"/>
      <c r="D2329" s="116"/>
    </row>
    <row r="2330" spans="2:4" x14ac:dyDescent="0.2">
      <c r="B2330" s="115"/>
      <c r="D2330" s="116"/>
    </row>
    <row r="2331" spans="2:4" x14ac:dyDescent="0.2">
      <c r="B2331" s="115"/>
      <c r="D2331" s="116"/>
    </row>
    <row r="2332" spans="2:4" x14ac:dyDescent="0.2">
      <c r="B2332" s="115"/>
      <c r="D2332" s="116"/>
    </row>
    <row r="2333" spans="2:4" x14ac:dyDescent="0.2">
      <c r="B2333" s="115"/>
      <c r="D2333" s="116"/>
    </row>
    <row r="2334" spans="2:4" x14ac:dyDescent="0.2">
      <c r="B2334" s="115"/>
      <c r="D2334" s="116"/>
    </row>
    <row r="2335" spans="2:4" x14ac:dyDescent="0.2">
      <c r="B2335" s="115"/>
      <c r="D2335" s="116"/>
    </row>
    <row r="2336" spans="2:4" x14ac:dyDescent="0.2">
      <c r="B2336" s="115"/>
      <c r="D2336" s="116"/>
    </row>
    <row r="2337" spans="2:4" x14ac:dyDescent="0.2">
      <c r="B2337" s="115"/>
      <c r="D2337" s="116"/>
    </row>
    <row r="2338" spans="2:4" x14ac:dyDescent="0.2">
      <c r="B2338" s="115"/>
      <c r="D2338" s="116"/>
    </row>
    <row r="2339" spans="2:4" x14ac:dyDescent="0.2">
      <c r="B2339" s="115"/>
      <c r="D2339" s="116"/>
    </row>
    <row r="2340" spans="2:4" x14ac:dyDescent="0.2">
      <c r="B2340" s="115"/>
      <c r="D2340" s="116"/>
    </row>
    <row r="2341" spans="2:4" x14ac:dyDescent="0.2">
      <c r="B2341" s="115"/>
      <c r="D2341" s="116"/>
    </row>
    <row r="2342" spans="2:4" x14ac:dyDescent="0.2">
      <c r="B2342" s="115"/>
      <c r="D2342" s="116"/>
    </row>
    <row r="2343" spans="2:4" x14ac:dyDescent="0.2">
      <c r="B2343" s="115"/>
      <c r="D2343" s="116"/>
    </row>
    <row r="2344" spans="2:4" x14ac:dyDescent="0.2">
      <c r="B2344" s="115"/>
      <c r="D2344" s="116"/>
    </row>
    <row r="2345" spans="2:4" x14ac:dyDescent="0.2">
      <c r="B2345" s="115"/>
      <c r="D2345" s="116"/>
    </row>
    <row r="2346" spans="2:4" x14ac:dyDescent="0.2">
      <c r="B2346" s="115"/>
      <c r="D2346" s="116"/>
    </row>
    <row r="2347" spans="2:4" x14ac:dyDescent="0.2">
      <c r="B2347" s="115"/>
      <c r="D2347" s="116"/>
    </row>
    <row r="2348" spans="2:4" x14ac:dyDescent="0.2">
      <c r="B2348" s="115"/>
      <c r="D2348" s="116"/>
    </row>
    <row r="2349" spans="2:4" x14ac:dyDescent="0.2">
      <c r="B2349" s="115"/>
      <c r="D2349" s="116"/>
    </row>
    <row r="2350" spans="2:4" x14ac:dyDescent="0.2">
      <c r="B2350" s="115"/>
      <c r="D2350" s="116"/>
    </row>
    <row r="2351" spans="2:4" x14ac:dyDescent="0.2">
      <c r="B2351" s="115"/>
      <c r="D2351" s="116"/>
    </row>
    <row r="2352" spans="2:4" x14ac:dyDescent="0.2">
      <c r="B2352" s="115"/>
      <c r="D2352" s="116"/>
    </row>
    <row r="2353" spans="2:4" x14ac:dyDescent="0.2">
      <c r="B2353" s="115"/>
      <c r="D2353" s="116"/>
    </row>
    <row r="2354" spans="2:4" x14ac:dyDescent="0.2">
      <c r="B2354" s="115"/>
      <c r="D2354" s="116"/>
    </row>
    <row r="2355" spans="2:4" x14ac:dyDescent="0.2">
      <c r="B2355" s="115"/>
      <c r="D2355" s="116"/>
    </row>
    <row r="2356" spans="2:4" x14ac:dyDescent="0.2">
      <c r="B2356" s="115"/>
      <c r="D2356" s="116"/>
    </row>
    <row r="2357" spans="2:4" x14ac:dyDescent="0.2">
      <c r="B2357" s="115"/>
      <c r="D2357" s="116"/>
    </row>
    <row r="2358" spans="2:4" x14ac:dyDescent="0.2">
      <c r="B2358" s="115"/>
      <c r="D2358" s="116"/>
    </row>
    <row r="2359" spans="2:4" x14ac:dyDescent="0.2">
      <c r="B2359" s="115"/>
      <c r="D2359" s="116"/>
    </row>
    <row r="2360" spans="2:4" x14ac:dyDescent="0.2">
      <c r="B2360" s="115"/>
      <c r="D2360" s="116"/>
    </row>
    <row r="2361" spans="2:4" x14ac:dyDescent="0.2">
      <c r="B2361" s="115"/>
      <c r="D2361" s="116"/>
    </row>
    <row r="2362" spans="2:4" x14ac:dyDescent="0.2">
      <c r="B2362" s="115"/>
      <c r="D2362" s="116"/>
    </row>
    <row r="2363" spans="2:4" x14ac:dyDescent="0.2">
      <c r="B2363" s="115"/>
      <c r="D2363" s="116"/>
    </row>
    <row r="2364" spans="2:4" x14ac:dyDescent="0.2">
      <c r="B2364" s="115"/>
      <c r="D2364" s="116"/>
    </row>
    <row r="2365" spans="2:4" x14ac:dyDescent="0.2">
      <c r="B2365" s="115"/>
      <c r="D2365" s="116"/>
    </row>
    <row r="2366" spans="2:4" x14ac:dyDescent="0.2">
      <c r="B2366" s="115"/>
      <c r="D2366" s="116"/>
    </row>
    <row r="2367" spans="2:4" x14ac:dyDescent="0.2">
      <c r="B2367" s="115"/>
      <c r="D2367" s="116"/>
    </row>
    <row r="2368" spans="2:4" x14ac:dyDescent="0.2">
      <c r="B2368" s="115"/>
      <c r="D2368" s="116"/>
    </row>
    <row r="2369" spans="2:4" x14ac:dyDescent="0.2">
      <c r="B2369" s="115"/>
      <c r="D2369" s="116"/>
    </row>
    <row r="2370" spans="2:4" x14ac:dyDescent="0.2">
      <c r="B2370" s="115"/>
      <c r="D2370" s="116"/>
    </row>
    <row r="2371" spans="2:4" x14ac:dyDescent="0.2">
      <c r="B2371" s="115"/>
      <c r="D2371" s="116"/>
    </row>
    <row r="2372" spans="2:4" x14ac:dyDescent="0.2">
      <c r="B2372" s="115"/>
      <c r="D2372" s="116"/>
    </row>
    <row r="2373" spans="2:4" x14ac:dyDescent="0.2">
      <c r="B2373" s="115"/>
      <c r="D2373" s="116"/>
    </row>
    <row r="2374" spans="2:4" x14ac:dyDescent="0.2">
      <c r="B2374" s="115"/>
      <c r="D2374" s="116"/>
    </row>
    <row r="2375" spans="2:4" x14ac:dyDescent="0.2">
      <c r="B2375" s="115"/>
      <c r="D2375" s="116"/>
    </row>
    <row r="2376" spans="2:4" x14ac:dyDescent="0.2">
      <c r="B2376" s="115"/>
      <c r="D2376" s="116"/>
    </row>
    <row r="2377" spans="2:4" x14ac:dyDescent="0.2">
      <c r="B2377" s="115"/>
      <c r="D2377" s="116"/>
    </row>
    <row r="2378" spans="2:4" x14ac:dyDescent="0.2">
      <c r="B2378" s="115"/>
      <c r="D2378" s="116"/>
    </row>
    <row r="2379" spans="2:4" x14ac:dyDescent="0.2">
      <c r="B2379" s="115"/>
      <c r="D2379" s="116"/>
    </row>
    <row r="2380" spans="2:4" x14ac:dyDescent="0.2">
      <c r="B2380" s="115"/>
      <c r="D2380" s="116"/>
    </row>
    <row r="2381" spans="2:4" x14ac:dyDescent="0.2">
      <c r="B2381" s="115"/>
      <c r="D2381" s="116"/>
    </row>
    <row r="2382" spans="2:4" x14ac:dyDescent="0.2">
      <c r="B2382" s="115"/>
      <c r="D2382" s="116"/>
    </row>
    <row r="2383" spans="2:4" x14ac:dyDescent="0.2">
      <c r="B2383" s="115"/>
      <c r="D2383" s="116"/>
    </row>
    <row r="2384" spans="2:4" x14ac:dyDescent="0.2">
      <c r="B2384" s="115"/>
      <c r="D2384" s="116"/>
    </row>
    <row r="2385" spans="2:4" x14ac:dyDescent="0.2">
      <c r="B2385" s="115"/>
      <c r="D2385" s="116"/>
    </row>
    <row r="2386" spans="2:4" x14ac:dyDescent="0.2">
      <c r="B2386" s="115"/>
      <c r="D2386" s="116"/>
    </row>
    <row r="2387" spans="2:4" x14ac:dyDescent="0.2">
      <c r="B2387" s="115"/>
      <c r="D2387" s="116"/>
    </row>
    <row r="2388" spans="2:4" x14ac:dyDescent="0.2">
      <c r="B2388" s="115"/>
      <c r="D2388" s="116"/>
    </row>
    <row r="2389" spans="2:4" x14ac:dyDescent="0.2">
      <c r="B2389" s="115"/>
      <c r="D2389" s="116"/>
    </row>
    <row r="2390" spans="2:4" x14ac:dyDescent="0.2">
      <c r="B2390" s="115"/>
      <c r="D2390" s="116"/>
    </row>
    <row r="2391" spans="2:4" x14ac:dyDescent="0.2">
      <c r="B2391" s="115"/>
      <c r="D2391" s="116"/>
    </row>
    <row r="2392" spans="2:4" x14ac:dyDescent="0.2">
      <c r="B2392" s="115"/>
      <c r="D2392" s="116"/>
    </row>
    <row r="2393" spans="2:4" x14ac:dyDescent="0.2">
      <c r="B2393" s="115"/>
      <c r="D2393" s="116"/>
    </row>
    <row r="2394" spans="2:4" x14ac:dyDescent="0.2">
      <c r="B2394" s="115"/>
      <c r="D2394" s="116"/>
    </row>
    <row r="2395" spans="2:4" x14ac:dyDescent="0.2">
      <c r="B2395" s="115"/>
      <c r="D2395" s="116"/>
    </row>
    <row r="2396" spans="2:4" x14ac:dyDescent="0.2">
      <c r="B2396" s="115"/>
      <c r="D2396" s="116"/>
    </row>
    <row r="2397" spans="2:4" x14ac:dyDescent="0.2">
      <c r="B2397" s="115"/>
      <c r="D2397" s="116"/>
    </row>
    <row r="2398" spans="2:4" x14ac:dyDescent="0.2">
      <c r="B2398" s="115"/>
      <c r="D2398" s="116"/>
    </row>
    <row r="2399" spans="2:4" x14ac:dyDescent="0.2">
      <c r="B2399" s="115"/>
      <c r="D2399" s="116"/>
    </row>
    <row r="2400" spans="2:4" x14ac:dyDescent="0.2">
      <c r="B2400" s="115"/>
      <c r="D2400" s="116"/>
    </row>
    <row r="2401" spans="2:4" x14ac:dyDescent="0.2">
      <c r="B2401" s="115"/>
      <c r="D2401" s="116"/>
    </row>
    <row r="2402" spans="2:4" x14ac:dyDescent="0.2">
      <c r="B2402" s="115"/>
      <c r="D2402" s="116"/>
    </row>
    <row r="2403" spans="2:4" x14ac:dyDescent="0.2">
      <c r="B2403" s="115"/>
      <c r="D2403" s="116"/>
    </row>
    <row r="2404" spans="2:4" x14ac:dyDescent="0.2">
      <c r="B2404" s="115"/>
      <c r="D2404" s="116"/>
    </row>
    <row r="2405" spans="2:4" x14ac:dyDescent="0.2">
      <c r="B2405" s="115"/>
      <c r="D2405" s="116"/>
    </row>
    <row r="2406" spans="2:4" x14ac:dyDescent="0.2">
      <c r="B2406" s="115"/>
      <c r="D2406" s="116"/>
    </row>
    <row r="2407" spans="2:4" x14ac:dyDescent="0.2">
      <c r="B2407" s="115"/>
      <c r="D2407" s="116"/>
    </row>
    <row r="2408" spans="2:4" x14ac:dyDescent="0.2">
      <c r="B2408" s="115"/>
      <c r="D2408" s="116"/>
    </row>
    <row r="2409" spans="2:4" x14ac:dyDescent="0.2">
      <c r="B2409" s="115"/>
      <c r="D2409" s="116"/>
    </row>
    <row r="2410" spans="2:4" x14ac:dyDescent="0.2">
      <c r="B2410" s="115"/>
      <c r="D2410" s="116"/>
    </row>
    <row r="2411" spans="2:4" x14ac:dyDescent="0.2">
      <c r="B2411" s="115"/>
      <c r="D2411" s="116"/>
    </row>
    <row r="2412" spans="2:4" x14ac:dyDescent="0.2">
      <c r="B2412" s="115"/>
      <c r="D2412" s="116"/>
    </row>
    <row r="2413" spans="2:4" x14ac:dyDescent="0.2">
      <c r="B2413" s="115"/>
      <c r="D2413" s="116"/>
    </row>
    <row r="2414" spans="2:4" x14ac:dyDescent="0.2">
      <c r="B2414" s="115"/>
      <c r="D2414" s="116"/>
    </row>
    <row r="2415" spans="2:4" x14ac:dyDescent="0.2">
      <c r="B2415" s="115"/>
      <c r="D2415" s="116"/>
    </row>
    <row r="2416" spans="2:4" x14ac:dyDescent="0.2">
      <c r="B2416" s="115"/>
      <c r="D2416" s="116"/>
    </row>
    <row r="2417" spans="2:4" x14ac:dyDescent="0.2">
      <c r="B2417" s="115"/>
      <c r="D2417" s="116"/>
    </row>
    <row r="2418" spans="2:4" x14ac:dyDescent="0.2">
      <c r="B2418" s="115"/>
      <c r="D2418" s="116"/>
    </row>
    <row r="2419" spans="2:4" x14ac:dyDescent="0.2">
      <c r="B2419" s="115"/>
      <c r="D2419" s="116"/>
    </row>
    <row r="2420" spans="2:4" x14ac:dyDescent="0.2">
      <c r="B2420" s="115"/>
      <c r="D2420" s="116"/>
    </row>
    <row r="2421" spans="2:4" x14ac:dyDescent="0.2">
      <c r="B2421" s="115"/>
      <c r="D2421" s="116"/>
    </row>
    <row r="2422" spans="2:4" x14ac:dyDescent="0.2">
      <c r="B2422" s="115"/>
      <c r="D2422" s="116"/>
    </row>
    <row r="2423" spans="2:4" x14ac:dyDescent="0.2">
      <c r="B2423" s="115"/>
      <c r="D2423" s="116"/>
    </row>
    <row r="2424" spans="2:4" x14ac:dyDescent="0.2">
      <c r="B2424" s="115"/>
      <c r="D2424" s="116"/>
    </row>
    <row r="2425" spans="2:4" x14ac:dyDescent="0.2">
      <c r="B2425" s="115"/>
      <c r="D2425" s="116"/>
    </row>
    <row r="2426" spans="2:4" x14ac:dyDescent="0.2">
      <c r="B2426" s="115"/>
      <c r="D2426" s="116"/>
    </row>
    <row r="2427" spans="2:4" x14ac:dyDescent="0.2">
      <c r="B2427" s="115"/>
      <c r="D2427" s="116"/>
    </row>
    <row r="2428" spans="2:4" x14ac:dyDescent="0.2">
      <c r="B2428" s="115"/>
      <c r="D2428" s="116"/>
    </row>
    <row r="2429" spans="2:4" x14ac:dyDescent="0.2">
      <c r="B2429" s="115"/>
      <c r="D2429" s="116"/>
    </row>
    <row r="2430" spans="2:4" x14ac:dyDescent="0.2">
      <c r="B2430" s="115"/>
      <c r="D2430" s="116"/>
    </row>
    <row r="2431" spans="2:4" x14ac:dyDescent="0.2">
      <c r="B2431" s="115"/>
      <c r="D2431" s="116"/>
    </row>
    <row r="2432" spans="2:4" x14ac:dyDescent="0.2">
      <c r="B2432" s="115"/>
      <c r="D2432" s="116"/>
    </row>
    <row r="2433" spans="2:4" x14ac:dyDescent="0.2">
      <c r="B2433" s="115"/>
      <c r="D2433" s="116"/>
    </row>
    <row r="2434" spans="2:4" x14ac:dyDescent="0.2">
      <c r="B2434" s="115"/>
      <c r="D2434" s="116"/>
    </row>
    <row r="2435" spans="2:4" x14ac:dyDescent="0.2">
      <c r="B2435" s="115"/>
      <c r="D2435" s="116"/>
    </row>
    <row r="2436" spans="2:4" x14ac:dyDescent="0.2">
      <c r="B2436" s="115"/>
      <c r="D2436" s="116"/>
    </row>
    <row r="2437" spans="2:4" x14ac:dyDescent="0.2">
      <c r="B2437" s="115"/>
      <c r="D2437" s="116"/>
    </row>
    <row r="2438" spans="2:4" x14ac:dyDescent="0.2">
      <c r="B2438" s="115"/>
      <c r="D2438" s="116"/>
    </row>
    <row r="2439" spans="2:4" x14ac:dyDescent="0.2">
      <c r="B2439" s="115"/>
      <c r="D2439" s="116"/>
    </row>
    <row r="2440" spans="2:4" x14ac:dyDescent="0.2">
      <c r="B2440" s="115"/>
      <c r="D2440" s="116"/>
    </row>
    <row r="2441" spans="2:4" x14ac:dyDescent="0.2">
      <c r="B2441" s="115"/>
      <c r="D2441" s="116"/>
    </row>
    <row r="2442" spans="2:4" x14ac:dyDescent="0.2">
      <c r="B2442" s="115"/>
      <c r="D2442" s="116"/>
    </row>
    <row r="2443" spans="2:4" x14ac:dyDescent="0.2">
      <c r="B2443" s="115"/>
      <c r="D2443" s="116"/>
    </row>
    <row r="2444" spans="2:4" x14ac:dyDescent="0.2">
      <c r="B2444" s="115"/>
      <c r="D2444" s="116"/>
    </row>
    <row r="2445" spans="2:4" x14ac:dyDescent="0.2">
      <c r="B2445" s="115"/>
      <c r="D2445" s="116"/>
    </row>
    <row r="2446" spans="2:4" x14ac:dyDescent="0.2">
      <c r="B2446" s="115"/>
      <c r="D2446" s="116"/>
    </row>
    <row r="2447" spans="2:4" x14ac:dyDescent="0.2">
      <c r="B2447" s="115"/>
      <c r="D2447" s="116"/>
    </row>
    <row r="2448" spans="2:4" x14ac:dyDescent="0.2">
      <c r="B2448" s="115"/>
      <c r="D2448" s="116"/>
    </row>
    <row r="2449" spans="2:4" x14ac:dyDescent="0.2">
      <c r="B2449" s="115"/>
      <c r="D2449" s="116"/>
    </row>
    <row r="2450" spans="2:4" x14ac:dyDescent="0.2">
      <c r="B2450" s="115"/>
      <c r="D2450" s="116"/>
    </row>
    <row r="2451" spans="2:4" x14ac:dyDescent="0.2">
      <c r="B2451" s="115"/>
      <c r="D2451" s="116"/>
    </row>
    <row r="2452" spans="2:4" x14ac:dyDescent="0.2">
      <c r="B2452" s="115"/>
      <c r="D2452" s="116"/>
    </row>
    <row r="2453" spans="2:4" x14ac:dyDescent="0.2">
      <c r="B2453" s="115"/>
      <c r="D2453" s="116"/>
    </row>
    <row r="2454" spans="2:4" x14ac:dyDescent="0.2">
      <c r="B2454" s="115"/>
      <c r="D2454" s="116"/>
    </row>
    <row r="2455" spans="2:4" x14ac:dyDescent="0.2">
      <c r="B2455" s="115"/>
      <c r="D2455" s="116"/>
    </row>
    <row r="2456" spans="2:4" x14ac:dyDescent="0.2">
      <c r="B2456" s="115"/>
      <c r="D2456" s="116"/>
    </row>
    <row r="2457" spans="2:4" x14ac:dyDescent="0.2">
      <c r="B2457" s="115"/>
      <c r="D2457" s="116"/>
    </row>
    <row r="2458" spans="2:4" x14ac:dyDescent="0.2">
      <c r="B2458" s="115"/>
      <c r="D2458" s="116"/>
    </row>
    <row r="2459" spans="2:4" x14ac:dyDescent="0.2">
      <c r="B2459" s="115"/>
      <c r="D2459" s="116"/>
    </row>
    <row r="2460" spans="2:4" x14ac:dyDescent="0.2">
      <c r="B2460" s="115"/>
      <c r="D2460" s="116"/>
    </row>
    <row r="2461" spans="2:4" x14ac:dyDescent="0.2">
      <c r="B2461" s="115"/>
      <c r="D2461" s="116"/>
    </row>
    <row r="2462" spans="2:4" x14ac:dyDescent="0.2">
      <c r="B2462" s="115"/>
      <c r="D2462" s="116"/>
    </row>
    <row r="2463" spans="2:4" x14ac:dyDescent="0.2">
      <c r="B2463" s="115"/>
      <c r="D2463" s="116"/>
    </row>
    <row r="2464" spans="2:4" x14ac:dyDescent="0.2">
      <c r="B2464" s="115"/>
      <c r="D2464" s="116"/>
    </row>
    <row r="2465" spans="2:4" x14ac:dyDescent="0.2">
      <c r="B2465" s="115"/>
      <c r="D2465" s="116"/>
    </row>
    <row r="2466" spans="2:4" x14ac:dyDescent="0.2">
      <c r="B2466" s="115"/>
      <c r="D2466" s="116"/>
    </row>
    <row r="2467" spans="2:4" x14ac:dyDescent="0.2">
      <c r="B2467" s="115"/>
      <c r="D2467" s="116"/>
    </row>
    <row r="2468" spans="2:4" x14ac:dyDescent="0.2">
      <c r="B2468" s="115"/>
      <c r="D2468" s="116"/>
    </row>
    <row r="2469" spans="2:4" x14ac:dyDescent="0.2">
      <c r="B2469" s="115"/>
      <c r="D2469" s="116"/>
    </row>
    <row r="2470" spans="2:4" x14ac:dyDescent="0.2">
      <c r="B2470" s="115"/>
      <c r="D2470" s="116"/>
    </row>
    <row r="2471" spans="2:4" x14ac:dyDescent="0.2">
      <c r="B2471" s="115"/>
      <c r="D2471" s="116"/>
    </row>
    <row r="2472" spans="2:4" x14ac:dyDescent="0.2">
      <c r="B2472" s="115"/>
      <c r="D2472" s="116"/>
    </row>
    <row r="2473" spans="2:4" x14ac:dyDescent="0.2">
      <c r="B2473" s="115"/>
      <c r="D2473" s="116"/>
    </row>
    <row r="2474" spans="2:4" x14ac:dyDescent="0.2">
      <c r="B2474" s="115"/>
      <c r="D2474" s="116"/>
    </row>
    <row r="2475" spans="2:4" x14ac:dyDescent="0.2">
      <c r="B2475" s="115"/>
      <c r="D2475" s="116"/>
    </row>
    <row r="2476" spans="2:4" x14ac:dyDescent="0.2">
      <c r="B2476" s="115"/>
      <c r="D2476" s="116"/>
    </row>
    <row r="2477" spans="2:4" x14ac:dyDescent="0.2">
      <c r="B2477" s="115"/>
      <c r="D2477" s="116"/>
    </row>
    <row r="2478" spans="2:4" x14ac:dyDescent="0.2">
      <c r="B2478" s="115"/>
      <c r="D2478" s="116"/>
    </row>
    <row r="2479" spans="2:4" x14ac:dyDescent="0.2">
      <c r="B2479" s="115"/>
      <c r="D2479" s="116"/>
    </row>
    <row r="2480" spans="2:4" x14ac:dyDescent="0.2">
      <c r="B2480" s="115"/>
      <c r="D2480" s="116"/>
    </row>
    <row r="2481" spans="2:4" x14ac:dyDescent="0.2">
      <c r="B2481" s="115"/>
      <c r="D2481" s="116"/>
    </row>
    <row r="2482" spans="2:4" x14ac:dyDescent="0.2">
      <c r="B2482" s="115"/>
      <c r="D2482" s="116"/>
    </row>
    <row r="2483" spans="2:4" x14ac:dyDescent="0.2">
      <c r="B2483" s="115"/>
      <c r="D2483" s="116"/>
    </row>
    <row r="2484" spans="2:4" x14ac:dyDescent="0.2">
      <c r="B2484" s="115"/>
      <c r="D2484" s="116"/>
    </row>
    <row r="2485" spans="2:4" x14ac:dyDescent="0.2">
      <c r="B2485" s="115"/>
      <c r="D2485" s="116"/>
    </row>
    <row r="2486" spans="2:4" x14ac:dyDescent="0.2">
      <c r="B2486" s="115"/>
      <c r="D2486" s="116"/>
    </row>
    <row r="2487" spans="2:4" x14ac:dyDescent="0.2">
      <c r="B2487" s="115"/>
      <c r="D2487" s="116"/>
    </row>
    <row r="2488" spans="2:4" x14ac:dyDescent="0.2">
      <c r="B2488" s="115"/>
      <c r="D2488" s="116"/>
    </row>
    <row r="2489" spans="2:4" x14ac:dyDescent="0.2">
      <c r="B2489" s="115"/>
      <c r="D2489" s="116"/>
    </row>
    <row r="2490" spans="2:4" x14ac:dyDescent="0.2">
      <c r="B2490" s="115"/>
      <c r="D2490" s="116"/>
    </row>
    <row r="2491" spans="2:4" x14ac:dyDescent="0.2">
      <c r="B2491" s="115"/>
      <c r="D2491" s="116"/>
    </row>
    <row r="2492" spans="2:4" x14ac:dyDescent="0.2">
      <c r="B2492" s="115"/>
      <c r="D2492" s="116"/>
    </row>
    <row r="2493" spans="2:4" x14ac:dyDescent="0.2">
      <c r="B2493" s="115"/>
      <c r="D2493" s="116"/>
    </row>
    <row r="2494" spans="2:4" x14ac:dyDescent="0.2">
      <c r="B2494" s="115"/>
      <c r="D2494" s="116"/>
    </row>
    <row r="2495" spans="2:4" x14ac:dyDescent="0.2">
      <c r="B2495" s="115"/>
      <c r="D2495" s="116"/>
    </row>
    <row r="2496" spans="2:4" x14ac:dyDescent="0.2">
      <c r="B2496" s="115"/>
      <c r="D2496" s="116"/>
    </row>
    <row r="2497" spans="2:4" x14ac:dyDescent="0.2">
      <c r="B2497" s="115"/>
      <c r="D2497" s="116"/>
    </row>
    <row r="2498" spans="2:4" x14ac:dyDescent="0.2">
      <c r="B2498" s="115"/>
      <c r="D2498" s="116"/>
    </row>
    <row r="2499" spans="2:4" x14ac:dyDescent="0.2">
      <c r="B2499" s="115"/>
      <c r="D2499" s="116"/>
    </row>
    <row r="2500" spans="2:4" x14ac:dyDescent="0.2">
      <c r="B2500" s="115"/>
      <c r="D2500" s="116"/>
    </row>
    <row r="2501" spans="2:4" x14ac:dyDescent="0.2">
      <c r="B2501" s="115"/>
      <c r="D2501" s="116"/>
    </row>
    <row r="2502" spans="2:4" x14ac:dyDescent="0.2">
      <c r="B2502" s="115"/>
      <c r="D2502" s="116"/>
    </row>
    <row r="2503" spans="2:4" x14ac:dyDescent="0.2">
      <c r="B2503" s="115"/>
      <c r="D2503" s="116"/>
    </row>
    <row r="2504" spans="2:4" x14ac:dyDescent="0.2">
      <c r="B2504" s="115"/>
      <c r="D2504" s="116"/>
    </row>
    <row r="2505" spans="2:4" x14ac:dyDescent="0.2">
      <c r="B2505" s="115"/>
      <c r="D2505" s="116"/>
    </row>
    <row r="2506" spans="2:4" x14ac:dyDescent="0.2">
      <c r="B2506" s="115"/>
      <c r="D2506" s="116"/>
    </row>
    <row r="2507" spans="2:4" x14ac:dyDescent="0.2">
      <c r="B2507" s="115"/>
      <c r="D2507" s="116"/>
    </row>
    <row r="2508" spans="2:4" x14ac:dyDescent="0.2">
      <c r="B2508" s="115"/>
      <c r="D2508" s="116"/>
    </row>
    <row r="2509" spans="2:4" x14ac:dyDescent="0.2">
      <c r="B2509" s="115"/>
      <c r="D2509" s="116"/>
    </row>
    <row r="2510" spans="2:4" x14ac:dyDescent="0.2">
      <c r="B2510" s="115"/>
      <c r="D2510" s="116"/>
    </row>
    <row r="2511" spans="2:4" x14ac:dyDescent="0.2">
      <c r="B2511" s="115"/>
      <c r="D2511" s="116"/>
    </row>
    <row r="2512" spans="2:4" x14ac:dyDescent="0.2">
      <c r="B2512" s="115"/>
      <c r="D2512" s="116"/>
    </row>
    <row r="2513" spans="2:4" x14ac:dyDescent="0.2">
      <c r="B2513" s="115"/>
      <c r="D2513" s="116"/>
    </row>
    <row r="2514" spans="2:4" x14ac:dyDescent="0.2">
      <c r="B2514" s="115"/>
      <c r="D2514" s="116"/>
    </row>
    <row r="2515" spans="2:4" x14ac:dyDescent="0.2">
      <c r="B2515" s="115"/>
      <c r="D2515" s="116"/>
    </row>
    <row r="2516" spans="2:4" x14ac:dyDescent="0.2">
      <c r="B2516" s="115"/>
      <c r="D2516" s="116"/>
    </row>
    <row r="2517" spans="2:4" x14ac:dyDescent="0.2">
      <c r="B2517" s="115"/>
      <c r="D2517" s="116"/>
    </row>
    <row r="2518" spans="2:4" x14ac:dyDescent="0.2">
      <c r="B2518" s="115"/>
      <c r="D2518" s="116"/>
    </row>
    <row r="2519" spans="2:4" x14ac:dyDescent="0.2">
      <c r="B2519" s="115"/>
      <c r="D2519" s="116"/>
    </row>
    <row r="2520" spans="2:4" x14ac:dyDescent="0.2">
      <c r="B2520" s="115"/>
      <c r="D2520" s="116"/>
    </row>
    <row r="2521" spans="2:4" x14ac:dyDescent="0.2">
      <c r="B2521" s="115"/>
      <c r="D2521" s="116"/>
    </row>
    <row r="2522" spans="2:4" x14ac:dyDescent="0.2">
      <c r="B2522" s="115"/>
      <c r="D2522" s="116"/>
    </row>
    <row r="2523" spans="2:4" x14ac:dyDescent="0.2">
      <c r="B2523" s="115"/>
      <c r="D2523" s="116"/>
    </row>
    <row r="2524" spans="2:4" x14ac:dyDescent="0.2">
      <c r="B2524" s="115"/>
      <c r="D2524" s="116"/>
    </row>
    <row r="2525" spans="2:4" x14ac:dyDescent="0.2">
      <c r="B2525" s="115"/>
      <c r="D2525" s="116"/>
    </row>
    <row r="2526" spans="2:4" x14ac:dyDescent="0.2">
      <c r="B2526" s="115"/>
      <c r="D2526" s="116"/>
    </row>
    <row r="2527" spans="2:4" x14ac:dyDescent="0.2">
      <c r="B2527" s="115"/>
      <c r="D2527" s="116"/>
    </row>
    <row r="2528" spans="2:4" x14ac:dyDescent="0.2">
      <c r="B2528" s="115"/>
      <c r="D2528" s="116"/>
    </row>
    <row r="2529" spans="2:4" x14ac:dyDescent="0.2">
      <c r="B2529" s="115"/>
      <c r="D2529" s="116"/>
    </row>
    <row r="2530" spans="2:4" x14ac:dyDescent="0.2">
      <c r="B2530" s="115"/>
      <c r="D2530" s="116"/>
    </row>
    <row r="2531" spans="2:4" x14ac:dyDescent="0.2">
      <c r="B2531" s="115"/>
      <c r="D2531" s="116"/>
    </row>
    <row r="2532" spans="2:4" x14ac:dyDescent="0.2">
      <c r="B2532" s="115"/>
      <c r="D2532" s="116"/>
    </row>
    <row r="2533" spans="2:4" x14ac:dyDescent="0.2">
      <c r="B2533" s="115"/>
      <c r="D2533" s="116"/>
    </row>
    <row r="2534" spans="2:4" x14ac:dyDescent="0.2">
      <c r="B2534" s="115"/>
      <c r="D2534" s="116"/>
    </row>
    <row r="2535" spans="2:4" x14ac:dyDescent="0.2">
      <c r="B2535" s="115"/>
      <c r="D2535" s="116"/>
    </row>
    <row r="2536" spans="2:4" x14ac:dyDescent="0.2">
      <c r="B2536" s="115"/>
      <c r="D2536" s="116"/>
    </row>
    <row r="2537" spans="2:4" x14ac:dyDescent="0.2">
      <c r="B2537" s="115"/>
      <c r="D2537" s="116"/>
    </row>
    <row r="2538" spans="2:4" x14ac:dyDescent="0.2">
      <c r="B2538" s="115"/>
      <c r="D2538" s="116"/>
    </row>
    <row r="2539" spans="2:4" x14ac:dyDescent="0.2">
      <c r="B2539" s="115"/>
      <c r="D2539" s="116"/>
    </row>
    <row r="2540" spans="2:4" x14ac:dyDescent="0.2">
      <c r="B2540" s="115"/>
      <c r="D2540" s="116"/>
    </row>
    <row r="2541" spans="2:4" x14ac:dyDescent="0.2">
      <c r="B2541" s="115"/>
      <c r="D2541" s="116"/>
    </row>
    <row r="2542" spans="2:4" x14ac:dyDescent="0.2">
      <c r="B2542" s="115"/>
      <c r="D2542" s="116"/>
    </row>
    <row r="2543" spans="2:4" x14ac:dyDescent="0.2">
      <c r="B2543" s="115"/>
      <c r="D2543" s="116"/>
    </row>
    <row r="2544" spans="2:4" x14ac:dyDescent="0.2">
      <c r="B2544" s="115"/>
      <c r="D2544" s="116"/>
    </row>
    <row r="2545" spans="2:4" x14ac:dyDescent="0.2">
      <c r="B2545" s="115"/>
      <c r="D2545" s="116"/>
    </row>
    <row r="2546" spans="2:4" x14ac:dyDescent="0.2">
      <c r="B2546" s="115"/>
      <c r="D2546" s="116"/>
    </row>
    <row r="2547" spans="2:4" x14ac:dyDescent="0.2">
      <c r="B2547" s="115"/>
      <c r="D2547" s="116"/>
    </row>
    <row r="2548" spans="2:4" x14ac:dyDescent="0.2">
      <c r="B2548" s="115"/>
      <c r="D2548" s="116"/>
    </row>
    <row r="2549" spans="2:4" x14ac:dyDescent="0.2">
      <c r="B2549" s="115"/>
      <c r="D2549" s="116"/>
    </row>
    <row r="2550" spans="2:4" x14ac:dyDescent="0.2">
      <c r="B2550" s="115"/>
      <c r="D2550" s="116"/>
    </row>
    <row r="2551" spans="2:4" x14ac:dyDescent="0.2">
      <c r="B2551" s="115"/>
      <c r="D2551" s="116"/>
    </row>
    <row r="2552" spans="2:4" x14ac:dyDescent="0.2">
      <c r="B2552" s="115"/>
      <c r="D2552" s="116"/>
    </row>
    <row r="2553" spans="2:4" x14ac:dyDescent="0.2">
      <c r="B2553" s="115"/>
      <c r="D2553" s="116"/>
    </row>
    <row r="2554" spans="2:4" x14ac:dyDescent="0.2">
      <c r="B2554" s="115"/>
      <c r="D2554" s="116"/>
    </row>
    <row r="2555" spans="2:4" x14ac:dyDescent="0.2">
      <c r="B2555" s="115"/>
      <c r="D2555" s="116"/>
    </row>
    <row r="2556" spans="2:4" x14ac:dyDescent="0.2">
      <c r="B2556" s="115"/>
      <c r="D2556" s="116"/>
    </row>
    <row r="2557" spans="2:4" x14ac:dyDescent="0.2">
      <c r="B2557" s="115"/>
      <c r="D2557" s="116"/>
    </row>
    <row r="2558" spans="2:4" x14ac:dyDescent="0.2">
      <c r="B2558" s="115"/>
      <c r="D2558" s="116"/>
    </row>
    <row r="2559" spans="2:4" x14ac:dyDescent="0.2">
      <c r="B2559" s="115"/>
      <c r="D2559" s="116"/>
    </row>
    <row r="2560" spans="2:4" x14ac:dyDescent="0.2">
      <c r="B2560" s="115"/>
      <c r="D2560" s="116"/>
    </row>
    <row r="2561" spans="2:4" x14ac:dyDescent="0.2">
      <c r="B2561" s="115"/>
      <c r="D2561" s="116"/>
    </row>
    <row r="2562" spans="2:4" x14ac:dyDescent="0.2">
      <c r="B2562" s="115"/>
      <c r="D2562" s="116"/>
    </row>
    <row r="2563" spans="2:4" x14ac:dyDescent="0.2">
      <c r="B2563" s="115"/>
      <c r="D2563" s="116"/>
    </row>
    <row r="2564" spans="2:4" x14ac:dyDescent="0.2">
      <c r="B2564" s="115"/>
      <c r="D2564" s="116"/>
    </row>
    <row r="2565" spans="2:4" x14ac:dyDescent="0.2">
      <c r="B2565" s="115"/>
      <c r="D2565" s="116"/>
    </row>
    <row r="2566" spans="2:4" x14ac:dyDescent="0.2">
      <c r="B2566" s="115"/>
      <c r="D2566" s="116"/>
    </row>
    <row r="2567" spans="2:4" x14ac:dyDescent="0.2">
      <c r="B2567" s="115"/>
      <c r="D2567" s="116"/>
    </row>
    <row r="2568" spans="2:4" x14ac:dyDescent="0.2">
      <c r="B2568" s="115"/>
      <c r="D2568" s="116"/>
    </row>
    <row r="2569" spans="2:4" x14ac:dyDescent="0.2">
      <c r="B2569" s="115"/>
      <c r="D2569" s="116"/>
    </row>
    <row r="2570" spans="2:4" x14ac:dyDescent="0.2">
      <c r="B2570" s="115"/>
      <c r="D2570" s="116"/>
    </row>
    <row r="2571" spans="2:4" x14ac:dyDescent="0.2">
      <c r="B2571" s="115"/>
      <c r="D2571" s="116"/>
    </row>
    <row r="2572" spans="2:4" x14ac:dyDescent="0.2">
      <c r="B2572" s="115"/>
      <c r="D2572" s="116"/>
    </row>
    <row r="2573" spans="2:4" x14ac:dyDescent="0.2">
      <c r="B2573" s="115"/>
      <c r="D2573" s="116"/>
    </row>
    <row r="2574" spans="2:4" x14ac:dyDescent="0.2">
      <c r="B2574" s="115"/>
      <c r="D2574" s="116"/>
    </row>
    <row r="2575" spans="2:4" x14ac:dyDescent="0.2">
      <c r="B2575" s="115"/>
      <c r="D2575" s="116"/>
    </row>
    <row r="2576" spans="2:4" x14ac:dyDescent="0.2">
      <c r="B2576" s="115"/>
      <c r="D2576" s="116"/>
    </row>
    <row r="2577" spans="2:4" x14ac:dyDescent="0.2">
      <c r="B2577" s="115"/>
      <c r="D2577" s="116"/>
    </row>
    <row r="2578" spans="2:4" x14ac:dyDescent="0.2">
      <c r="B2578" s="115"/>
      <c r="D2578" s="116"/>
    </row>
    <row r="2579" spans="2:4" x14ac:dyDescent="0.2">
      <c r="B2579" s="115"/>
      <c r="D2579" s="116"/>
    </row>
    <row r="2580" spans="2:4" x14ac:dyDescent="0.2">
      <c r="B2580" s="115"/>
      <c r="D2580" s="116"/>
    </row>
    <row r="2581" spans="2:4" x14ac:dyDescent="0.2">
      <c r="B2581" s="115"/>
      <c r="D2581" s="116"/>
    </row>
    <row r="2582" spans="2:4" x14ac:dyDescent="0.2">
      <c r="B2582" s="115"/>
      <c r="D2582" s="116"/>
    </row>
    <row r="2583" spans="2:4" x14ac:dyDescent="0.2">
      <c r="B2583" s="115"/>
      <c r="D2583" s="116"/>
    </row>
    <row r="2584" spans="2:4" x14ac:dyDescent="0.2">
      <c r="B2584" s="115"/>
      <c r="D2584" s="116"/>
    </row>
    <row r="2585" spans="2:4" x14ac:dyDescent="0.2">
      <c r="B2585" s="115"/>
      <c r="D2585" s="116"/>
    </row>
    <row r="2586" spans="2:4" x14ac:dyDescent="0.2">
      <c r="B2586" s="115"/>
      <c r="D2586" s="116"/>
    </row>
    <row r="2587" spans="2:4" x14ac:dyDescent="0.2">
      <c r="B2587" s="115"/>
      <c r="D2587" s="116"/>
    </row>
    <row r="2588" spans="2:4" x14ac:dyDescent="0.2">
      <c r="B2588" s="115"/>
      <c r="D2588" s="116"/>
    </row>
    <row r="2589" spans="2:4" x14ac:dyDescent="0.2">
      <c r="B2589" s="115"/>
      <c r="D2589" s="116"/>
    </row>
    <row r="2590" spans="2:4" x14ac:dyDescent="0.2">
      <c r="B2590" s="115"/>
      <c r="D2590" s="116"/>
    </row>
    <row r="2591" spans="2:4" x14ac:dyDescent="0.2">
      <c r="B2591" s="115"/>
      <c r="D2591" s="116"/>
    </row>
    <row r="2592" spans="2:4" x14ac:dyDescent="0.2">
      <c r="B2592" s="115"/>
      <c r="D2592" s="116"/>
    </row>
    <row r="2593" spans="2:4" x14ac:dyDescent="0.2">
      <c r="B2593" s="115"/>
      <c r="D2593" s="116"/>
    </row>
    <row r="2594" spans="2:4" x14ac:dyDescent="0.2">
      <c r="B2594" s="115"/>
      <c r="D2594" s="116"/>
    </row>
    <row r="2595" spans="2:4" x14ac:dyDescent="0.2">
      <c r="B2595" s="115"/>
      <c r="D2595" s="116"/>
    </row>
    <row r="2596" spans="2:4" x14ac:dyDescent="0.2">
      <c r="B2596" s="115"/>
      <c r="D2596" s="116"/>
    </row>
    <row r="2597" spans="2:4" x14ac:dyDescent="0.2">
      <c r="B2597" s="115"/>
      <c r="D2597" s="116"/>
    </row>
    <row r="2598" spans="2:4" x14ac:dyDescent="0.2">
      <c r="B2598" s="115"/>
      <c r="D2598" s="116"/>
    </row>
    <row r="2599" spans="2:4" x14ac:dyDescent="0.2">
      <c r="B2599" s="115"/>
      <c r="D2599" s="116"/>
    </row>
    <row r="2600" spans="2:4" x14ac:dyDescent="0.2">
      <c r="B2600" s="115"/>
      <c r="D2600" s="116"/>
    </row>
    <row r="2601" spans="2:4" x14ac:dyDescent="0.2">
      <c r="B2601" s="115"/>
      <c r="D2601" s="116"/>
    </row>
    <row r="2602" spans="2:4" x14ac:dyDescent="0.2">
      <c r="B2602" s="115"/>
      <c r="D2602" s="116"/>
    </row>
    <row r="2603" spans="2:4" x14ac:dyDescent="0.2">
      <c r="B2603" s="115"/>
      <c r="D2603" s="116"/>
    </row>
    <row r="2604" spans="2:4" x14ac:dyDescent="0.2">
      <c r="B2604" s="115"/>
      <c r="D2604" s="116"/>
    </row>
    <row r="2605" spans="2:4" x14ac:dyDescent="0.2">
      <c r="B2605" s="115"/>
      <c r="D2605" s="116"/>
    </row>
    <row r="2606" spans="2:4" x14ac:dyDescent="0.2">
      <c r="B2606" s="115"/>
      <c r="D2606" s="116"/>
    </row>
    <row r="2607" spans="2:4" x14ac:dyDescent="0.2">
      <c r="B2607" s="115"/>
      <c r="D2607" s="116"/>
    </row>
    <row r="2608" spans="2:4" x14ac:dyDescent="0.2">
      <c r="B2608" s="115"/>
      <c r="D2608" s="116"/>
    </row>
    <row r="2609" spans="2:4" x14ac:dyDescent="0.2">
      <c r="B2609" s="115"/>
      <c r="D2609" s="116"/>
    </row>
    <row r="2610" spans="2:4" x14ac:dyDescent="0.2">
      <c r="B2610" s="115"/>
      <c r="D2610" s="116"/>
    </row>
    <row r="2611" spans="2:4" x14ac:dyDescent="0.2">
      <c r="B2611" s="115"/>
      <c r="D2611" s="116"/>
    </row>
    <row r="2612" spans="2:4" x14ac:dyDescent="0.2">
      <c r="B2612" s="115"/>
      <c r="D2612" s="116"/>
    </row>
    <row r="2613" spans="2:4" x14ac:dyDescent="0.2">
      <c r="B2613" s="115"/>
      <c r="D2613" s="116"/>
    </row>
    <row r="2614" spans="2:4" x14ac:dyDescent="0.2">
      <c r="B2614" s="115"/>
      <c r="D2614" s="116"/>
    </row>
    <row r="2615" spans="2:4" x14ac:dyDescent="0.2">
      <c r="B2615" s="115"/>
      <c r="D2615" s="116"/>
    </row>
    <row r="2616" spans="2:4" x14ac:dyDescent="0.2">
      <c r="B2616" s="115"/>
      <c r="D2616" s="116"/>
    </row>
    <row r="2617" spans="2:4" x14ac:dyDescent="0.2">
      <c r="B2617" s="115"/>
      <c r="D2617" s="116"/>
    </row>
    <row r="2618" spans="2:4" x14ac:dyDescent="0.2">
      <c r="B2618" s="115"/>
      <c r="D2618" s="116"/>
    </row>
    <row r="2619" spans="2:4" x14ac:dyDescent="0.2">
      <c r="B2619" s="115"/>
      <c r="D2619" s="116"/>
    </row>
    <row r="2620" spans="2:4" x14ac:dyDescent="0.2">
      <c r="B2620" s="115"/>
      <c r="D2620" s="116"/>
    </row>
    <row r="2621" spans="2:4" x14ac:dyDescent="0.2">
      <c r="B2621" s="115"/>
      <c r="D2621" s="116"/>
    </row>
    <row r="2622" spans="2:4" x14ac:dyDescent="0.2">
      <c r="B2622" s="115"/>
      <c r="D2622" s="116"/>
    </row>
    <row r="2623" spans="2:4" x14ac:dyDescent="0.2">
      <c r="B2623" s="115"/>
      <c r="D2623" s="116"/>
    </row>
    <row r="2624" spans="2:4" x14ac:dyDescent="0.2">
      <c r="B2624" s="115"/>
      <c r="D2624" s="116"/>
    </row>
    <row r="2625" spans="2:4" x14ac:dyDescent="0.2">
      <c r="B2625" s="115"/>
      <c r="D2625" s="116"/>
    </row>
    <row r="2626" spans="2:4" x14ac:dyDescent="0.2">
      <c r="B2626" s="115"/>
      <c r="D2626" s="116"/>
    </row>
    <row r="2627" spans="2:4" x14ac:dyDescent="0.2">
      <c r="B2627" s="115"/>
      <c r="D2627" s="116"/>
    </row>
    <row r="2628" spans="2:4" x14ac:dyDescent="0.2">
      <c r="B2628" s="115"/>
      <c r="D2628" s="116"/>
    </row>
    <row r="2629" spans="2:4" x14ac:dyDescent="0.2">
      <c r="B2629" s="115"/>
      <c r="D2629" s="116"/>
    </row>
    <row r="2630" spans="2:4" x14ac:dyDescent="0.2">
      <c r="B2630" s="115"/>
      <c r="D2630" s="116"/>
    </row>
    <row r="2631" spans="2:4" x14ac:dyDescent="0.2">
      <c r="B2631" s="115"/>
      <c r="D2631" s="116"/>
    </row>
    <row r="2632" spans="2:4" x14ac:dyDescent="0.2">
      <c r="B2632" s="115"/>
      <c r="D2632" s="116"/>
    </row>
    <row r="2633" spans="2:4" x14ac:dyDescent="0.2">
      <c r="B2633" s="115"/>
      <c r="D2633" s="116"/>
    </row>
    <row r="2634" spans="2:4" x14ac:dyDescent="0.2">
      <c r="B2634" s="115"/>
      <c r="D2634" s="116"/>
    </row>
    <row r="2635" spans="2:4" x14ac:dyDescent="0.2">
      <c r="B2635" s="115"/>
      <c r="D2635" s="116"/>
    </row>
    <row r="2636" spans="2:4" x14ac:dyDescent="0.2">
      <c r="B2636" s="115"/>
      <c r="D2636" s="116"/>
    </row>
    <row r="2637" spans="2:4" x14ac:dyDescent="0.2">
      <c r="B2637" s="115"/>
      <c r="D2637" s="116"/>
    </row>
    <row r="2638" spans="2:4" x14ac:dyDescent="0.2">
      <c r="B2638" s="115"/>
      <c r="D2638" s="116"/>
    </row>
    <row r="2639" spans="2:4" x14ac:dyDescent="0.2">
      <c r="B2639" s="115"/>
      <c r="D2639" s="116"/>
    </row>
    <row r="2640" spans="2:4" x14ac:dyDescent="0.2">
      <c r="B2640" s="115"/>
      <c r="D2640" s="116"/>
    </row>
    <row r="2641" spans="2:4" x14ac:dyDescent="0.2">
      <c r="B2641" s="115"/>
      <c r="D2641" s="116"/>
    </row>
    <row r="2642" spans="2:4" x14ac:dyDescent="0.2">
      <c r="B2642" s="115"/>
      <c r="D2642" s="116"/>
    </row>
    <row r="2643" spans="2:4" x14ac:dyDescent="0.2">
      <c r="B2643" s="115"/>
      <c r="D2643" s="116"/>
    </row>
    <row r="2644" spans="2:4" x14ac:dyDescent="0.2">
      <c r="B2644" s="115"/>
      <c r="D2644" s="116"/>
    </row>
    <row r="2645" spans="2:4" x14ac:dyDescent="0.2">
      <c r="B2645" s="115"/>
      <c r="D2645" s="116"/>
    </row>
    <row r="2646" spans="2:4" x14ac:dyDescent="0.2">
      <c r="B2646" s="115"/>
      <c r="D2646" s="116"/>
    </row>
    <row r="2647" spans="2:4" x14ac:dyDescent="0.2">
      <c r="B2647" s="115"/>
      <c r="D2647" s="116"/>
    </row>
    <row r="2648" spans="2:4" x14ac:dyDescent="0.2">
      <c r="B2648" s="115"/>
      <c r="D2648" s="116"/>
    </row>
    <row r="2649" spans="2:4" x14ac:dyDescent="0.2">
      <c r="B2649" s="115"/>
      <c r="D2649" s="116"/>
    </row>
    <row r="2650" spans="2:4" x14ac:dyDescent="0.2">
      <c r="B2650" s="115"/>
      <c r="D2650" s="116"/>
    </row>
    <row r="2651" spans="2:4" x14ac:dyDescent="0.2">
      <c r="B2651" s="115"/>
      <c r="D2651" s="116"/>
    </row>
    <row r="2652" spans="2:4" x14ac:dyDescent="0.2">
      <c r="B2652" s="115"/>
      <c r="D2652" s="116"/>
    </row>
    <row r="2653" spans="2:4" x14ac:dyDescent="0.2">
      <c r="B2653" s="115"/>
      <c r="D2653" s="116"/>
    </row>
    <row r="2654" spans="2:4" x14ac:dyDescent="0.2">
      <c r="B2654" s="115"/>
      <c r="D2654" s="116"/>
    </row>
    <row r="2655" spans="2:4" x14ac:dyDescent="0.2">
      <c r="B2655" s="115"/>
      <c r="D2655" s="116"/>
    </row>
    <row r="2656" spans="2:4" x14ac:dyDescent="0.2">
      <c r="B2656" s="115"/>
      <c r="D2656" s="116"/>
    </row>
    <row r="2657" spans="2:4" x14ac:dyDescent="0.2">
      <c r="B2657" s="115"/>
      <c r="D2657" s="116"/>
    </row>
    <row r="2658" spans="2:4" x14ac:dyDescent="0.2">
      <c r="B2658" s="115"/>
      <c r="D2658" s="116"/>
    </row>
    <row r="2659" spans="2:4" x14ac:dyDescent="0.2">
      <c r="B2659" s="115"/>
      <c r="D2659" s="116"/>
    </row>
    <row r="2660" spans="2:4" x14ac:dyDescent="0.2">
      <c r="B2660" s="115"/>
      <c r="D2660" s="116"/>
    </row>
    <row r="2661" spans="2:4" x14ac:dyDescent="0.2">
      <c r="B2661" s="115"/>
      <c r="D2661" s="116"/>
    </row>
    <row r="2662" spans="2:4" x14ac:dyDescent="0.2">
      <c r="B2662" s="115"/>
      <c r="D2662" s="116"/>
    </row>
    <row r="2663" spans="2:4" x14ac:dyDescent="0.2">
      <c r="B2663" s="115"/>
      <c r="D2663" s="116"/>
    </row>
    <row r="2664" spans="2:4" x14ac:dyDescent="0.2">
      <c r="B2664" s="115"/>
      <c r="D2664" s="116"/>
    </row>
    <row r="2665" spans="2:4" x14ac:dyDescent="0.2">
      <c r="B2665" s="115"/>
      <c r="D2665" s="116"/>
    </row>
    <row r="2666" spans="2:4" x14ac:dyDescent="0.2">
      <c r="B2666" s="115"/>
      <c r="D2666" s="116"/>
    </row>
    <row r="2667" spans="2:4" x14ac:dyDescent="0.2">
      <c r="B2667" s="115"/>
      <c r="D2667" s="116"/>
    </row>
    <row r="2668" spans="2:4" x14ac:dyDescent="0.2">
      <c r="B2668" s="115"/>
      <c r="D2668" s="116"/>
    </row>
    <row r="2669" spans="2:4" x14ac:dyDescent="0.2">
      <c r="B2669" s="115"/>
      <c r="D2669" s="116"/>
    </row>
    <row r="2670" spans="2:4" x14ac:dyDescent="0.2">
      <c r="B2670" s="115"/>
      <c r="D2670" s="116"/>
    </row>
    <row r="2671" spans="2:4" x14ac:dyDescent="0.2">
      <c r="B2671" s="115"/>
      <c r="D2671" s="116"/>
    </row>
    <row r="2672" spans="2:4" x14ac:dyDescent="0.2">
      <c r="B2672" s="115"/>
      <c r="D2672" s="116"/>
    </row>
    <row r="2673" spans="2:4" x14ac:dyDescent="0.2">
      <c r="B2673" s="115"/>
      <c r="D2673" s="116"/>
    </row>
    <row r="2674" spans="2:4" x14ac:dyDescent="0.2">
      <c r="B2674" s="115"/>
      <c r="D2674" s="116"/>
    </row>
    <row r="2675" spans="2:4" x14ac:dyDescent="0.2">
      <c r="B2675" s="115"/>
      <c r="D2675" s="116"/>
    </row>
    <row r="2676" spans="2:4" x14ac:dyDescent="0.2">
      <c r="B2676" s="115"/>
      <c r="D2676" s="116"/>
    </row>
    <row r="2677" spans="2:4" x14ac:dyDescent="0.2">
      <c r="B2677" s="115"/>
      <c r="D2677" s="116"/>
    </row>
    <row r="2678" spans="2:4" x14ac:dyDescent="0.2">
      <c r="B2678" s="115"/>
      <c r="D2678" s="116"/>
    </row>
    <row r="2679" spans="2:4" x14ac:dyDescent="0.2">
      <c r="B2679" s="115"/>
      <c r="D2679" s="116"/>
    </row>
    <row r="2680" spans="2:4" x14ac:dyDescent="0.2">
      <c r="B2680" s="115"/>
      <c r="D2680" s="116"/>
    </row>
    <row r="2681" spans="2:4" x14ac:dyDescent="0.2">
      <c r="B2681" s="115"/>
      <c r="D2681" s="116"/>
    </row>
    <row r="2682" spans="2:4" x14ac:dyDescent="0.2">
      <c r="B2682" s="115"/>
      <c r="D2682" s="116"/>
    </row>
    <row r="2683" spans="2:4" x14ac:dyDescent="0.2">
      <c r="B2683" s="115"/>
      <c r="D2683" s="116"/>
    </row>
    <row r="2684" spans="2:4" x14ac:dyDescent="0.2">
      <c r="B2684" s="115"/>
      <c r="D2684" s="116"/>
    </row>
    <row r="2685" spans="2:4" x14ac:dyDescent="0.2">
      <c r="B2685" s="115"/>
      <c r="D2685" s="116"/>
    </row>
    <row r="2686" spans="2:4" x14ac:dyDescent="0.2">
      <c r="B2686" s="115"/>
      <c r="D2686" s="116"/>
    </row>
    <row r="2687" spans="2:4" x14ac:dyDescent="0.2">
      <c r="B2687" s="115"/>
      <c r="D2687" s="116"/>
    </row>
    <row r="2688" spans="2:4" x14ac:dyDescent="0.2">
      <c r="B2688" s="115"/>
      <c r="D2688" s="116"/>
    </row>
    <row r="2689" spans="2:4" x14ac:dyDescent="0.2">
      <c r="B2689" s="115"/>
      <c r="D2689" s="116"/>
    </row>
    <row r="2690" spans="2:4" x14ac:dyDescent="0.2">
      <c r="B2690" s="115"/>
      <c r="D2690" s="116"/>
    </row>
    <row r="2691" spans="2:4" x14ac:dyDescent="0.2">
      <c r="B2691" s="115"/>
      <c r="D2691" s="116"/>
    </row>
    <row r="2692" spans="2:4" x14ac:dyDescent="0.2">
      <c r="B2692" s="115"/>
      <c r="D2692" s="116"/>
    </row>
    <row r="2693" spans="2:4" x14ac:dyDescent="0.2">
      <c r="B2693" s="115"/>
      <c r="D2693" s="116"/>
    </row>
    <row r="2694" spans="2:4" x14ac:dyDescent="0.2">
      <c r="B2694" s="115"/>
      <c r="D2694" s="116"/>
    </row>
    <row r="2695" spans="2:4" x14ac:dyDescent="0.2">
      <c r="B2695" s="115"/>
      <c r="D2695" s="116"/>
    </row>
    <row r="2696" spans="2:4" x14ac:dyDescent="0.2">
      <c r="B2696" s="115"/>
      <c r="D2696" s="116"/>
    </row>
    <row r="2697" spans="2:4" x14ac:dyDescent="0.2">
      <c r="B2697" s="115"/>
      <c r="D2697" s="116"/>
    </row>
    <row r="2698" spans="2:4" x14ac:dyDescent="0.2">
      <c r="B2698" s="115"/>
      <c r="D2698" s="116"/>
    </row>
    <row r="2699" spans="2:4" x14ac:dyDescent="0.2">
      <c r="B2699" s="115"/>
      <c r="D2699" s="116"/>
    </row>
    <row r="2700" spans="2:4" x14ac:dyDescent="0.2">
      <c r="B2700" s="115"/>
      <c r="D2700" s="116"/>
    </row>
    <row r="2701" spans="2:4" x14ac:dyDescent="0.2">
      <c r="B2701" s="115"/>
      <c r="D2701" s="116"/>
    </row>
    <row r="2702" spans="2:4" x14ac:dyDescent="0.2">
      <c r="B2702" s="115"/>
      <c r="D2702" s="116"/>
    </row>
    <row r="2703" spans="2:4" x14ac:dyDescent="0.2">
      <c r="B2703" s="115"/>
      <c r="D2703" s="116"/>
    </row>
    <row r="2704" spans="2:4" x14ac:dyDescent="0.2">
      <c r="B2704" s="115"/>
      <c r="D2704" s="116"/>
    </row>
    <row r="2705" spans="2:4" x14ac:dyDescent="0.2">
      <c r="B2705" s="115"/>
      <c r="D2705" s="116"/>
    </row>
    <row r="2706" spans="2:4" x14ac:dyDescent="0.2">
      <c r="B2706" s="115"/>
      <c r="D2706" s="116"/>
    </row>
    <row r="2707" spans="2:4" x14ac:dyDescent="0.2">
      <c r="B2707" s="115"/>
      <c r="D2707" s="116"/>
    </row>
    <row r="2708" spans="2:4" x14ac:dyDescent="0.2">
      <c r="B2708" s="115"/>
      <c r="D2708" s="116"/>
    </row>
    <row r="2709" spans="2:4" x14ac:dyDescent="0.2">
      <c r="B2709" s="115"/>
      <c r="D2709" s="116"/>
    </row>
    <row r="2710" spans="2:4" x14ac:dyDescent="0.2">
      <c r="B2710" s="115"/>
      <c r="D2710" s="116"/>
    </row>
    <row r="2711" spans="2:4" x14ac:dyDescent="0.2">
      <c r="B2711" s="115"/>
      <c r="D2711" s="116"/>
    </row>
    <row r="2712" spans="2:4" x14ac:dyDescent="0.2">
      <c r="B2712" s="115"/>
      <c r="D2712" s="116"/>
    </row>
    <row r="2713" spans="2:4" x14ac:dyDescent="0.2">
      <c r="B2713" s="115"/>
      <c r="D2713" s="116"/>
    </row>
    <row r="2714" spans="2:4" x14ac:dyDescent="0.2">
      <c r="B2714" s="115"/>
      <c r="D2714" s="116"/>
    </row>
    <row r="2715" spans="2:4" x14ac:dyDescent="0.2">
      <c r="B2715" s="115"/>
      <c r="D2715" s="116"/>
    </row>
    <row r="2716" spans="2:4" x14ac:dyDescent="0.2">
      <c r="B2716" s="115"/>
      <c r="D2716" s="116"/>
    </row>
    <row r="2717" spans="2:4" x14ac:dyDescent="0.2">
      <c r="B2717" s="115"/>
      <c r="D2717" s="116"/>
    </row>
    <row r="2718" spans="2:4" x14ac:dyDescent="0.2">
      <c r="B2718" s="115"/>
      <c r="D2718" s="116"/>
    </row>
    <row r="2719" spans="2:4" x14ac:dyDescent="0.2">
      <c r="B2719" s="115"/>
      <c r="D2719" s="116"/>
    </row>
    <row r="2720" spans="2:4" x14ac:dyDescent="0.2">
      <c r="B2720" s="115"/>
      <c r="D2720" s="116"/>
    </row>
    <row r="2721" spans="2:4" x14ac:dyDescent="0.2">
      <c r="B2721" s="115"/>
      <c r="D2721" s="116"/>
    </row>
    <row r="2722" spans="2:4" x14ac:dyDescent="0.2">
      <c r="B2722" s="115"/>
      <c r="D2722" s="116"/>
    </row>
    <row r="2723" spans="2:4" x14ac:dyDescent="0.2">
      <c r="B2723" s="115"/>
      <c r="D2723" s="116"/>
    </row>
    <row r="2724" spans="2:4" x14ac:dyDescent="0.2">
      <c r="B2724" s="115"/>
      <c r="D2724" s="116"/>
    </row>
    <row r="2725" spans="2:4" x14ac:dyDescent="0.2">
      <c r="B2725" s="115"/>
      <c r="D2725" s="116"/>
    </row>
    <row r="2726" spans="2:4" x14ac:dyDescent="0.2">
      <c r="B2726" s="115"/>
      <c r="D2726" s="116"/>
    </row>
    <row r="2727" spans="2:4" x14ac:dyDescent="0.2">
      <c r="B2727" s="115"/>
      <c r="D2727" s="116"/>
    </row>
    <row r="2728" spans="2:4" x14ac:dyDescent="0.2">
      <c r="B2728" s="115"/>
      <c r="D2728" s="116"/>
    </row>
    <row r="2729" spans="2:4" x14ac:dyDescent="0.2">
      <c r="B2729" s="115"/>
      <c r="D2729" s="116"/>
    </row>
    <row r="2730" spans="2:4" x14ac:dyDescent="0.2">
      <c r="B2730" s="115"/>
      <c r="D2730" s="116"/>
    </row>
    <row r="2731" spans="2:4" x14ac:dyDescent="0.2">
      <c r="B2731" s="115"/>
      <c r="D2731" s="116"/>
    </row>
    <row r="2732" spans="2:4" x14ac:dyDescent="0.2">
      <c r="B2732" s="115"/>
      <c r="D2732" s="116"/>
    </row>
    <row r="2733" spans="2:4" x14ac:dyDescent="0.2">
      <c r="B2733" s="115"/>
      <c r="D2733" s="116"/>
    </row>
    <row r="2734" spans="2:4" x14ac:dyDescent="0.2">
      <c r="B2734" s="115"/>
      <c r="D2734" s="116"/>
    </row>
    <row r="2735" spans="2:4" x14ac:dyDescent="0.2">
      <c r="B2735" s="115"/>
      <c r="D2735" s="116"/>
    </row>
    <row r="2736" spans="2:4" x14ac:dyDescent="0.2">
      <c r="B2736" s="115"/>
      <c r="D2736" s="116"/>
    </row>
    <row r="2737" spans="2:4" x14ac:dyDescent="0.2">
      <c r="B2737" s="115"/>
      <c r="D2737" s="116"/>
    </row>
    <row r="2738" spans="2:4" x14ac:dyDescent="0.2">
      <c r="B2738" s="115"/>
      <c r="D2738" s="116"/>
    </row>
    <row r="2739" spans="2:4" x14ac:dyDescent="0.2">
      <c r="B2739" s="115"/>
      <c r="D2739" s="116"/>
    </row>
    <row r="2740" spans="2:4" x14ac:dyDescent="0.2">
      <c r="B2740" s="115"/>
      <c r="D2740" s="116"/>
    </row>
    <row r="2741" spans="2:4" x14ac:dyDescent="0.2">
      <c r="B2741" s="115"/>
      <c r="D2741" s="116"/>
    </row>
    <row r="2742" spans="2:4" x14ac:dyDescent="0.2">
      <c r="B2742" s="115"/>
      <c r="D2742" s="116"/>
    </row>
    <row r="2743" spans="2:4" x14ac:dyDescent="0.2">
      <c r="B2743" s="115"/>
      <c r="D2743" s="116"/>
    </row>
    <row r="2744" spans="2:4" x14ac:dyDescent="0.2">
      <c r="B2744" s="115"/>
      <c r="D2744" s="116"/>
    </row>
    <row r="2745" spans="2:4" x14ac:dyDescent="0.2">
      <c r="B2745" s="115"/>
      <c r="D2745" s="116"/>
    </row>
    <row r="2746" spans="2:4" x14ac:dyDescent="0.2">
      <c r="B2746" s="115"/>
      <c r="D2746" s="116"/>
    </row>
    <row r="2747" spans="2:4" x14ac:dyDescent="0.2">
      <c r="B2747" s="115"/>
      <c r="D2747" s="116"/>
    </row>
    <row r="2748" spans="2:4" x14ac:dyDescent="0.2">
      <c r="B2748" s="115"/>
      <c r="D2748" s="116"/>
    </row>
    <row r="2749" spans="2:4" x14ac:dyDescent="0.2">
      <c r="B2749" s="115"/>
      <c r="D2749" s="116"/>
    </row>
    <row r="2750" spans="2:4" x14ac:dyDescent="0.2">
      <c r="B2750" s="115"/>
      <c r="D2750" s="116"/>
    </row>
    <row r="2751" spans="2:4" x14ac:dyDescent="0.2">
      <c r="B2751" s="115"/>
      <c r="D2751" s="116"/>
    </row>
    <row r="2752" spans="2:4" x14ac:dyDescent="0.2">
      <c r="B2752" s="115"/>
      <c r="D2752" s="116"/>
    </row>
    <row r="2753" spans="2:4" x14ac:dyDescent="0.2">
      <c r="B2753" s="115"/>
      <c r="D2753" s="116"/>
    </row>
    <row r="2754" spans="2:4" x14ac:dyDescent="0.2">
      <c r="B2754" s="115"/>
      <c r="D2754" s="116"/>
    </row>
    <row r="2755" spans="2:4" x14ac:dyDescent="0.2">
      <c r="B2755" s="115"/>
      <c r="D2755" s="116"/>
    </row>
    <row r="2756" spans="2:4" x14ac:dyDescent="0.2">
      <c r="B2756" s="115"/>
      <c r="D2756" s="116"/>
    </row>
    <row r="2757" spans="2:4" x14ac:dyDescent="0.2">
      <c r="B2757" s="115"/>
      <c r="D2757" s="116"/>
    </row>
    <row r="2758" spans="2:4" x14ac:dyDescent="0.2">
      <c r="B2758" s="115"/>
      <c r="D2758" s="116"/>
    </row>
    <row r="2759" spans="2:4" x14ac:dyDescent="0.2">
      <c r="B2759" s="115"/>
      <c r="D2759" s="116"/>
    </row>
    <row r="2760" spans="2:4" x14ac:dyDescent="0.2">
      <c r="B2760" s="115"/>
      <c r="D2760" s="116"/>
    </row>
    <row r="2761" spans="2:4" x14ac:dyDescent="0.2">
      <c r="B2761" s="115"/>
      <c r="D2761" s="116"/>
    </row>
    <row r="2762" spans="2:4" x14ac:dyDescent="0.2">
      <c r="B2762" s="115"/>
      <c r="D2762" s="116"/>
    </row>
    <row r="2763" spans="2:4" x14ac:dyDescent="0.2">
      <c r="B2763" s="115"/>
      <c r="D2763" s="116"/>
    </row>
    <row r="2764" spans="2:4" x14ac:dyDescent="0.2">
      <c r="B2764" s="115"/>
      <c r="D2764" s="116"/>
    </row>
    <row r="2765" spans="2:4" x14ac:dyDescent="0.2">
      <c r="B2765" s="115"/>
      <c r="D2765" s="116"/>
    </row>
    <row r="2766" spans="2:4" x14ac:dyDescent="0.2">
      <c r="B2766" s="115"/>
      <c r="D2766" s="116"/>
    </row>
    <row r="2767" spans="2:4" x14ac:dyDescent="0.2">
      <c r="B2767" s="115"/>
      <c r="D2767" s="116"/>
    </row>
    <row r="2768" spans="2:4" x14ac:dyDescent="0.2">
      <c r="B2768" s="115"/>
      <c r="D2768" s="116"/>
    </row>
    <row r="2769" spans="2:4" x14ac:dyDescent="0.2">
      <c r="B2769" s="115"/>
      <c r="D2769" s="116"/>
    </row>
    <row r="2770" spans="2:4" x14ac:dyDescent="0.2">
      <c r="B2770" s="115"/>
      <c r="D2770" s="116"/>
    </row>
    <row r="2771" spans="2:4" x14ac:dyDescent="0.2">
      <c r="B2771" s="115"/>
      <c r="D2771" s="116"/>
    </row>
    <row r="2772" spans="2:4" x14ac:dyDescent="0.2">
      <c r="B2772" s="115"/>
      <c r="D2772" s="116"/>
    </row>
    <row r="2773" spans="2:4" x14ac:dyDescent="0.2">
      <c r="B2773" s="115"/>
      <c r="D2773" s="116"/>
    </row>
    <row r="2774" spans="2:4" x14ac:dyDescent="0.2">
      <c r="B2774" s="115"/>
      <c r="D2774" s="116"/>
    </row>
    <row r="2775" spans="2:4" x14ac:dyDescent="0.2">
      <c r="B2775" s="115"/>
      <c r="D2775" s="116"/>
    </row>
    <row r="2776" spans="2:4" x14ac:dyDescent="0.2">
      <c r="B2776" s="115"/>
      <c r="D2776" s="116"/>
    </row>
    <row r="2777" spans="2:4" x14ac:dyDescent="0.2">
      <c r="B2777" s="115"/>
      <c r="D2777" s="116"/>
    </row>
    <row r="2778" spans="2:4" x14ac:dyDescent="0.2">
      <c r="B2778" s="115"/>
      <c r="D2778" s="116"/>
    </row>
    <row r="2779" spans="2:4" x14ac:dyDescent="0.2">
      <c r="B2779" s="115"/>
      <c r="D2779" s="116"/>
    </row>
    <row r="2780" spans="2:4" x14ac:dyDescent="0.2">
      <c r="B2780" s="115"/>
      <c r="D2780" s="116"/>
    </row>
    <row r="2781" spans="2:4" x14ac:dyDescent="0.2">
      <c r="B2781" s="115"/>
      <c r="D2781" s="116"/>
    </row>
    <row r="2782" spans="2:4" x14ac:dyDescent="0.2">
      <c r="B2782" s="115"/>
      <c r="D2782" s="116"/>
    </row>
    <row r="2783" spans="2:4" x14ac:dyDescent="0.2">
      <c r="B2783" s="115"/>
      <c r="D2783" s="116"/>
    </row>
    <row r="2784" spans="2:4" x14ac:dyDescent="0.2">
      <c r="B2784" s="115"/>
      <c r="D2784" s="116"/>
    </row>
    <row r="2785" spans="2:4" x14ac:dyDescent="0.2">
      <c r="B2785" s="115"/>
      <c r="D2785" s="116"/>
    </row>
    <row r="2786" spans="2:4" x14ac:dyDescent="0.2">
      <c r="B2786" s="115"/>
      <c r="D2786" s="116"/>
    </row>
    <row r="2787" spans="2:4" x14ac:dyDescent="0.2">
      <c r="B2787" s="115"/>
      <c r="D2787" s="116"/>
    </row>
    <row r="2788" spans="2:4" x14ac:dyDescent="0.2">
      <c r="B2788" s="115"/>
      <c r="D2788" s="116"/>
    </row>
    <row r="2789" spans="2:4" x14ac:dyDescent="0.2">
      <c r="B2789" s="115"/>
      <c r="D2789" s="116"/>
    </row>
    <row r="2790" spans="2:4" x14ac:dyDescent="0.2">
      <c r="B2790" s="115"/>
      <c r="D2790" s="116"/>
    </row>
    <row r="2791" spans="2:4" x14ac:dyDescent="0.2">
      <c r="B2791" s="115"/>
      <c r="D2791" s="116"/>
    </row>
    <row r="2792" spans="2:4" x14ac:dyDescent="0.2">
      <c r="B2792" s="115"/>
      <c r="D2792" s="116"/>
    </row>
    <row r="2793" spans="2:4" x14ac:dyDescent="0.2">
      <c r="B2793" s="115"/>
      <c r="D2793" s="116"/>
    </row>
    <row r="2794" spans="2:4" x14ac:dyDescent="0.2">
      <c r="B2794" s="115"/>
      <c r="D2794" s="116"/>
    </row>
    <row r="2795" spans="2:4" x14ac:dyDescent="0.2">
      <c r="B2795" s="115"/>
      <c r="D2795" s="116"/>
    </row>
    <row r="2796" spans="2:4" x14ac:dyDescent="0.2">
      <c r="B2796" s="115"/>
      <c r="D2796" s="116"/>
    </row>
    <row r="2797" spans="2:4" x14ac:dyDescent="0.2">
      <c r="B2797" s="115"/>
      <c r="D2797" s="116"/>
    </row>
    <row r="2798" spans="2:4" x14ac:dyDescent="0.2">
      <c r="B2798" s="115"/>
      <c r="D2798" s="116"/>
    </row>
    <row r="2799" spans="2:4" x14ac:dyDescent="0.2">
      <c r="B2799" s="115"/>
      <c r="D2799" s="116"/>
    </row>
    <row r="2800" spans="2:4" x14ac:dyDescent="0.2">
      <c r="B2800" s="115"/>
      <c r="D2800" s="116"/>
    </row>
    <row r="2801" spans="2:4" x14ac:dyDescent="0.2">
      <c r="B2801" s="115"/>
      <c r="D2801" s="116"/>
    </row>
    <row r="2802" spans="2:4" x14ac:dyDescent="0.2">
      <c r="B2802" s="115"/>
      <c r="D2802" s="116"/>
    </row>
    <row r="2803" spans="2:4" x14ac:dyDescent="0.2">
      <c r="B2803" s="115"/>
      <c r="D2803" s="116"/>
    </row>
    <row r="2804" spans="2:4" x14ac:dyDescent="0.2">
      <c r="B2804" s="115"/>
      <c r="D2804" s="116"/>
    </row>
    <row r="2805" spans="2:4" x14ac:dyDescent="0.2">
      <c r="B2805" s="115"/>
      <c r="D2805" s="116"/>
    </row>
    <row r="2806" spans="2:4" x14ac:dyDescent="0.2">
      <c r="B2806" s="115"/>
      <c r="D2806" s="116"/>
    </row>
    <row r="2807" spans="2:4" x14ac:dyDescent="0.2">
      <c r="B2807" s="115"/>
      <c r="D2807" s="116"/>
    </row>
    <row r="2808" spans="2:4" x14ac:dyDescent="0.2">
      <c r="B2808" s="115"/>
      <c r="D2808" s="116"/>
    </row>
    <row r="2809" spans="2:4" x14ac:dyDescent="0.2">
      <c r="B2809" s="115"/>
      <c r="D2809" s="116"/>
    </row>
    <row r="2810" spans="2:4" x14ac:dyDescent="0.2">
      <c r="B2810" s="115"/>
      <c r="D2810" s="116"/>
    </row>
    <row r="2811" spans="2:4" x14ac:dyDescent="0.2">
      <c r="B2811" s="115"/>
      <c r="D2811" s="116"/>
    </row>
    <row r="2812" spans="2:4" x14ac:dyDescent="0.2">
      <c r="B2812" s="115"/>
      <c r="D2812" s="116"/>
    </row>
    <row r="2813" spans="2:4" x14ac:dyDescent="0.2">
      <c r="B2813" s="115"/>
      <c r="D2813" s="116"/>
    </row>
    <row r="2814" spans="2:4" x14ac:dyDescent="0.2">
      <c r="B2814" s="115"/>
      <c r="D2814" s="116"/>
    </row>
    <row r="2815" spans="2:4" x14ac:dyDescent="0.2">
      <c r="B2815" s="115"/>
      <c r="D2815" s="116"/>
    </row>
    <row r="2816" spans="2:4" x14ac:dyDescent="0.2">
      <c r="B2816" s="115"/>
      <c r="D2816" s="116"/>
    </row>
    <row r="2817" spans="2:4" x14ac:dyDescent="0.2">
      <c r="B2817" s="115"/>
      <c r="D2817" s="116"/>
    </row>
    <row r="2818" spans="2:4" x14ac:dyDescent="0.2">
      <c r="B2818" s="115"/>
      <c r="D2818" s="116"/>
    </row>
    <row r="2819" spans="2:4" x14ac:dyDescent="0.2">
      <c r="B2819" s="115"/>
      <c r="D2819" s="116"/>
    </row>
    <row r="2820" spans="2:4" x14ac:dyDescent="0.2">
      <c r="B2820" s="115"/>
      <c r="D2820" s="116"/>
    </row>
    <row r="2821" spans="2:4" x14ac:dyDescent="0.2">
      <c r="B2821" s="115"/>
      <c r="D2821" s="116"/>
    </row>
    <row r="2822" spans="2:4" x14ac:dyDescent="0.2">
      <c r="B2822" s="115"/>
      <c r="D2822" s="116"/>
    </row>
    <row r="2823" spans="2:4" x14ac:dyDescent="0.2">
      <c r="B2823" s="115"/>
      <c r="D2823" s="116"/>
    </row>
    <row r="2824" spans="2:4" x14ac:dyDescent="0.2">
      <c r="B2824" s="115"/>
      <c r="D2824" s="116"/>
    </row>
    <row r="2825" spans="2:4" x14ac:dyDescent="0.2">
      <c r="B2825" s="115"/>
      <c r="D2825" s="116"/>
    </row>
    <row r="2826" spans="2:4" x14ac:dyDescent="0.2">
      <c r="B2826" s="115"/>
      <c r="D2826" s="116"/>
    </row>
    <row r="2827" spans="2:4" x14ac:dyDescent="0.2">
      <c r="B2827" s="115"/>
      <c r="D2827" s="116"/>
    </row>
    <row r="2828" spans="2:4" x14ac:dyDescent="0.2">
      <c r="B2828" s="115"/>
      <c r="D2828" s="116"/>
    </row>
    <row r="2829" spans="2:4" x14ac:dyDescent="0.2">
      <c r="B2829" s="115"/>
      <c r="D2829" s="116"/>
    </row>
    <row r="2830" spans="2:4" x14ac:dyDescent="0.2">
      <c r="B2830" s="115"/>
      <c r="D2830" s="116"/>
    </row>
    <row r="2831" spans="2:4" x14ac:dyDescent="0.2">
      <c r="B2831" s="115"/>
      <c r="D2831" s="116"/>
    </row>
    <row r="2832" spans="2:4" x14ac:dyDescent="0.2">
      <c r="B2832" s="115"/>
      <c r="D2832" s="116"/>
    </row>
    <row r="2833" spans="2:4" x14ac:dyDescent="0.2">
      <c r="B2833" s="115"/>
      <c r="D2833" s="116"/>
    </row>
    <row r="2834" spans="2:4" x14ac:dyDescent="0.2">
      <c r="B2834" s="115"/>
      <c r="D2834" s="116"/>
    </row>
    <row r="2835" spans="2:4" x14ac:dyDescent="0.2">
      <c r="B2835" s="115"/>
      <c r="D2835" s="116"/>
    </row>
    <row r="2836" spans="2:4" x14ac:dyDescent="0.2">
      <c r="B2836" s="115"/>
      <c r="D2836" s="116"/>
    </row>
    <row r="2837" spans="2:4" x14ac:dyDescent="0.2">
      <c r="B2837" s="115"/>
      <c r="D2837" s="116"/>
    </row>
    <row r="2838" spans="2:4" x14ac:dyDescent="0.2">
      <c r="B2838" s="115"/>
      <c r="D2838" s="116"/>
    </row>
    <row r="2839" spans="2:4" x14ac:dyDescent="0.2">
      <c r="B2839" s="115"/>
      <c r="D2839" s="116"/>
    </row>
    <row r="2840" spans="2:4" x14ac:dyDescent="0.2">
      <c r="B2840" s="115"/>
      <c r="D2840" s="116"/>
    </row>
    <row r="2841" spans="2:4" x14ac:dyDescent="0.2">
      <c r="B2841" s="115"/>
      <c r="D2841" s="116"/>
    </row>
    <row r="2842" spans="2:4" x14ac:dyDescent="0.2">
      <c r="B2842" s="115"/>
      <c r="D2842" s="116"/>
    </row>
    <row r="2843" spans="2:4" x14ac:dyDescent="0.2">
      <c r="B2843" s="115"/>
      <c r="D2843" s="116"/>
    </row>
    <row r="2844" spans="2:4" x14ac:dyDescent="0.2">
      <c r="B2844" s="115"/>
      <c r="D2844" s="116"/>
    </row>
    <row r="2845" spans="2:4" x14ac:dyDescent="0.2">
      <c r="B2845" s="115"/>
      <c r="D2845" s="116"/>
    </row>
    <row r="2846" spans="2:4" x14ac:dyDescent="0.2">
      <c r="B2846" s="115"/>
      <c r="D2846" s="116"/>
    </row>
    <row r="2847" spans="2:4" x14ac:dyDescent="0.2">
      <c r="B2847" s="115"/>
      <c r="D2847" s="116"/>
    </row>
    <row r="2848" spans="2:4" x14ac:dyDescent="0.2">
      <c r="B2848" s="115"/>
      <c r="D2848" s="116"/>
    </row>
    <row r="2849" spans="2:4" x14ac:dyDescent="0.2">
      <c r="B2849" s="115"/>
      <c r="D2849" s="116"/>
    </row>
    <row r="2850" spans="2:4" x14ac:dyDescent="0.2">
      <c r="B2850" s="115"/>
      <c r="D2850" s="116"/>
    </row>
    <row r="2851" spans="2:4" x14ac:dyDescent="0.2">
      <c r="B2851" s="115"/>
      <c r="D2851" s="116"/>
    </row>
    <row r="2852" spans="2:4" x14ac:dyDescent="0.2">
      <c r="B2852" s="115"/>
      <c r="D2852" s="116"/>
    </row>
    <row r="2853" spans="2:4" x14ac:dyDescent="0.2">
      <c r="B2853" s="115"/>
      <c r="D2853" s="116"/>
    </row>
    <row r="2854" spans="2:4" x14ac:dyDescent="0.2">
      <c r="B2854" s="115"/>
      <c r="D2854" s="116"/>
    </row>
    <row r="2855" spans="2:4" x14ac:dyDescent="0.2">
      <c r="B2855" s="115"/>
      <c r="D2855" s="116"/>
    </row>
    <row r="2856" spans="2:4" x14ac:dyDescent="0.2">
      <c r="B2856" s="115"/>
      <c r="D2856" s="116"/>
    </row>
    <row r="2857" spans="2:4" x14ac:dyDescent="0.2">
      <c r="B2857" s="115"/>
      <c r="D2857" s="116"/>
    </row>
    <row r="2858" spans="2:4" x14ac:dyDescent="0.2">
      <c r="B2858" s="115"/>
      <c r="D2858" s="116"/>
    </row>
    <row r="2859" spans="2:4" x14ac:dyDescent="0.2">
      <c r="B2859" s="115"/>
      <c r="D2859" s="116"/>
    </row>
    <row r="2860" spans="2:4" x14ac:dyDescent="0.2">
      <c r="B2860" s="115"/>
      <c r="D2860" s="116"/>
    </row>
    <row r="2861" spans="2:4" x14ac:dyDescent="0.2">
      <c r="B2861" s="115"/>
      <c r="D2861" s="116"/>
    </row>
    <row r="2862" spans="2:4" x14ac:dyDescent="0.2">
      <c r="B2862" s="115"/>
      <c r="D2862" s="116"/>
    </row>
    <row r="2863" spans="2:4" x14ac:dyDescent="0.2">
      <c r="B2863" s="115"/>
      <c r="D2863" s="116"/>
    </row>
    <row r="2864" spans="2:4" x14ac:dyDescent="0.2">
      <c r="B2864" s="115"/>
      <c r="D2864" s="116"/>
    </row>
    <row r="2865" spans="2:4" x14ac:dyDescent="0.2">
      <c r="B2865" s="115"/>
      <c r="D2865" s="116"/>
    </row>
    <row r="2866" spans="2:4" x14ac:dyDescent="0.2">
      <c r="B2866" s="115"/>
      <c r="D2866" s="116"/>
    </row>
    <row r="2867" spans="2:4" x14ac:dyDescent="0.2">
      <c r="B2867" s="115"/>
      <c r="D2867" s="116"/>
    </row>
    <row r="2868" spans="2:4" x14ac:dyDescent="0.2">
      <c r="B2868" s="115"/>
      <c r="D2868" s="116"/>
    </row>
    <row r="2869" spans="2:4" x14ac:dyDescent="0.2">
      <c r="B2869" s="115"/>
      <c r="D2869" s="116"/>
    </row>
    <row r="2870" spans="2:4" x14ac:dyDescent="0.2">
      <c r="B2870" s="115"/>
      <c r="D2870" s="116"/>
    </row>
    <row r="2871" spans="2:4" x14ac:dyDescent="0.2">
      <c r="B2871" s="115"/>
      <c r="D2871" s="116"/>
    </row>
    <row r="2872" spans="2:4" x14ac:dyDescent="0.2">
      <c r="B2872" s="115"/>
      <c r="D2872" s="116"/>
    </row>
    <row r="2873" spans="2:4" x14ac:dyDescent="0.2">
      <c r="B2873" s="115"/>
      <c r="D2873" s="116"/>
    </row>
    <row r="2874" spans="2:4" x14ac:dyDescent="0.2">
      <c r="B2874" s="115"/>
      <c r="D2874" s="116"/>
    </row>
    <row r="2875" spans="2:4" x14ac:dyDescent="0.2">
      <c r="B2875" s="115"/>
      <c r="D2875" s="116"/>
    </row>
    <row r="2876" spans="2:4" x14ac:dyDescent="0.2">
      <c r="B2876" s="115"/>
      <c r="D2876" s="116"/>
    </row>
    <row r="2877" spans="2:4" x14ac:dyDescent="0.2">
      <c r="B2877" s="115"/>
      <c r="D2877" s="116"/>
    </row>
    <row r="2878" spans="2:4" x14ac:dyDescent="0.2">
      <c r="B2878" s="115"/>
      <c r="D2878" s="116"/>
    </row>
    <row r="2879" spans="2:4" x14ac:dyDescent="0.2">
      <c r="B2879" s="115"/>
      <c r="D2879" s="116"/>
    </row>
    <row r="2880" spans="2:4" x14ac:dyDescent="0.2">
      <c r="B2880" s="115"/>
      <c r="D2880" s="116"/>
    </row>
    <row r="2881" spans="2:4" x14ac:dyDescent="0.2">
      <c r="B2881" s="115"/>
      <c r="D2881" s="116"/>
    </row>
    <row r="2882" spans="2:4" x14ac:dyDescent="0.2">
      <c r="B2882" s="115"/>
      <c r="D2882" s="116"/>
    </row>
    <row r="2883" spans="2:4" x14ac:dyDescent="0.2">
      <c r="B2883" s="115"/>
      <c r="D2883" s="116"/>
    </row>
    <row r="2884" spans="2:4" x14ac:dyDescent="0.2">
      <c r="B2884" s="115"/>
      <c r="D2884" s="116"/>
    </row>
    <row r="2885" spans="2:4" x14ac:dyDescent="0.2">
      <c r="B2885" s="115"/>
      <c r="D2885" s="116"/>
    </row>
    <row r="2886" spans="2:4" x14ac:dyDescent="0.2">
      <c r="B2886" s="115"/>
      <c r="D2886" s="116"/>
    </row>
    <row r="2887" spans="2:4" x14ac:dyDescent="0.2">
      <c r="B2887" s="115"/>
      <c r="D2887" s="116"/>
    </row>
    <row r="2888" spans="2:4" x14ac:dyDescent="0.2">
      <c r="B2888" s="115"/>
      <c r="D2888" s="116"/>
    </row>
    <row r="2889" spans="2:4" x14ac:dyDescent="0.2">
      <c r="B2889" s="115"/>
      <c r="D2889" s="116"/>
    </row>
    <row r="2890" spans="2:4" x14ac:dyDescent="0.2">
      <c r="B2890" s="115"/>
      <c r="D2890" s="116"/>
    </row>
    <row r="2891" spans="2:4" x14ac:dyDescent="0.2">
      <c r="B2891" s="115"/>
      <c r="D2891" s="116"/>
    </row>
    <row r="2892" spans="2:4" x14ac:dyDescent="0.2">
      <c r="B2892" s="115"/>
      <c r="D2892" s="116"/>
    </row>
    <row r="2893" spans="2:4" x14ac:dyDescent="0.2">
      <c r="B2893" s="115"/>
      <c r="D2893" s="116"/>
    </row>
    <row r="2894" spans="2:4" x14ac:dyDescent="0.2">
      <c r="B2894" s="115"/>
      <c r="D2894" s="116"/>
    </row>
    <row r="2895" spans="2:4" x14ac:dyDescent="0.2">
      <c r="B2895" s="115"/>
      <c r="D2895" s="116"/>
    </row>
    <row r="2896" spans="2:4" x14ac:dyDescent="0.2">
      <c r="B2896" s="115"/>
      <c r="D2896" s="116"/>
    </row>
    <row r="2897" spans="2:4" x14ac:dyDescent="0.2">
      <c r="B2897" s="115"/>
      <c r="D2897" s="116"/>
    </row>
    <row r="2898" spans="2:4" x14ac:dyDescent="0.2">
      <c r="B2898" s="115"/>
      <c r="D2898" s="116"/>
    </row>
    <row r="2899" spans="2:4" x14ac:dyDescent="0.2">
      <c r="B2899" s="115"/>
      <c r="D2899" s="116"/>
    </row>
    <row r="2900" spans="2:4" x14ac:dyDescent="0.2">
      <c r="B2900" s="115"/>
      <c r="D2900" s="116"/>
    </row>
    <row r="2901" spans="2:4" x14ac:dyDescent="0.2">
      <c r="B2901" s="115"/>
      <c r="D2901" s="116"/>
    </row>
    <row r="2902" spans="2:4" x14ac:dyDescent="0.2">
      <c r="B2902" s="115"/>
      <c r="D2902" s="116"/>
    </row>
    <row r="2903" spans="2:4" x14ac:dyDescent="0.2">
      <c r="B2903" s="115"/>
      <c r="D2903" s="116"/>
    </row>
    <row r="2904" spans="2:4" x14ac:dyDescent="0.2">
      <c r="B2904" s="115"/>
      <c r="D2904" s="116"/>
    </row>
    <row r="2905" spans="2:4" x14ac:dyDescent="0.2">
      <c r="B2905" s="115"/>
      <c r="D2905" s="116"/>
    </row>
    <row r="2906" spans="2:4" x14ac:dyDescent="0.2">
      <c r="B2906" s="115"/>
      <c r="D2906" s="116"/>
    </row>
    <row r="2907" spans="2:4" x14ac:dyDescent="0.2">
      <c r="B2907" s="115"/>
      <c r="D2907" s="116"/>
    </row>
    <row r="2908" spans="2:4" x14ac:dyDescent="0.2">
      <c r="B2908" s="115"/>
      <c r="D2908" s="116"/>
    </row>
    <row r="2909" spans="2:4" x14ac:dyDescent="0.2">
      <c r="B2909" s="115"/>
      <c r="D2909" s="116"/>
    </row>
    <row r="2910" spans="2:4" x14ac:dyDescent="0.2">
      <c r="B2910" s="115"/>
      <c r="D2910" s="116"/>
    </row>
    <row r="2911" spans="2:4" x14ac:dyDescent="0.2">
      <c r="B2911" s="115"/>
      <c r="D2911" s="116"/>
    </row>
    <row r="2912" spans="2:4" x14ac:dyDescent="0.2">
      <c r="B2912" s="115"/>
      <c r="D2912" s="116"/>
    </row>
    <row r="2913" spans="2:4" x14ac:dyDescent="0.2">
      <c r="B2913" s="115"/>
      <c r="D2913" s="116"/>
    </row>
    <row r="2914" spans="2:4" x14ac:dyDescent="0.2">
      <c r="B2914" s="115"/>
      <c r="D2914" s="116"/>
    </row>
    <row r="2915" spans="2:4" x14ac:dyDescent="0.2">
      <c r="B2915" s="115"/>
      <c r="D2915" s="116"/>
    </row>
    <row r="2916" spans="2:4" x14ac:dyDescent="0.2">
      <c r="B2916" s="115"/>
      <c r="D2916" s="116"/>
    </row>
    <row r="2917" spans="2:4" x14ac:dyDescent="0.2">
      <c r="B2917" s="115"/>
      <c r="D2917" s="116"/>
    </row>
    <row r="2918" spans="2:4" x14ac:dyDescent="0.2">
      <c r="B2918" s="115"/>
      <c r="D2918" s="116"/>
    </row>
    <row r="2919" spans="2:4" x14ac:dyDescent="0.2">
      <c r="B2919" s="115"/>
      <c r="D2919" s="116"/>
    </row>
    <row r="2920" spans="2:4" x14ac:dyDescent="0.2">
      <c r="B2920" s="115"/>
      <c r="D2920" s="116"/>
    </row>
    <row r="2921" spans="2:4" x14ac:dyDescent="0.2">
      <c r="B2921" s="115"/>
      <c r="D2921" s="116"/>
    </row>
    <row r="2922" spans="2:4" x14ac:dyDescent="0.2">
      <c r="B2922" s="115"/>
      <c r="D2922" s="116"/>
    </row>
    <row r="2923" spans="2:4" x14ac:dyDescent="0.2">
      <c r="B2923" s="115"/>
      <c r="D2923" s="116"/>
    </row>
    <row r="2924" spans="2:4" x14ac:dyDescent="0.2">
      <c r="B2924" s="115"/>
      <c r="D2924" s="116"/>
    </row>
    <row r="2925" spans="2:4" x14ac:dyDescent="0.2">
      <c r="B2925" s="115"/>
      <c r="D2925" s="116"/>
    </row>
    <row r="2926" spans="2:4" x14ac:dyDescent="0.2">
      <c r="B2926" s="115"/>
      <c r="D2926" s="116"/>
    </row>
    <row r="2927" spans="2:4" x14ac:dyDescent="0.2">
      <c r="B2927" s="115"/>
      <c r="D2927" s="116"/>
    </row>
    <row r="2928" spans="2:4" x14ac:dyDescent="0.2">
      <c r="B2928" s="115"/>
      <c r="D2928" s="116"/>
    </row>
    <row r="2929" spans="2:4" x14ac:dyDescent="0.2">
      <c r="B2929" s="115"/>
      <c r="D2929" s="116"/>
    </row>
    <row r="2930" spans="2:4" x14ac:dyDescent="0.2">
      <c r="B2930" s="115"/>
      <c r="D2930" s="116"/>
    </row>
    <row r="2931" spans="2:4" x14ac:dyDescent="0.2">
      <c r="B2931" s="115"/>
      <c r="D2931" s="116"/>
    </row>
    <row r="2932" spans="2:4" x14ac:dyDescent="0.2">
      <c r="B2932" s="115"/>
      <c r="D2932" s="116"/>
    </row>
    <row r="2933" spans="2:4" x14ac:dyDescent="0.2">
      <c r="B2933" s="115"/>
      <c r="D2933" s="116"/>
    </row>
    <row r="2934" spans="2:4" x14ac:dyDescent="0.2">
      <c r="B2934" s="115"/>
      <c r="D2934" s="116"/>
    </row>
    <row r="2935" spans="2:4" x14ac:dyDescent="0.2">
      <c r="B2935" s="115"/>
      <c r="D2935" s="116"/>
    </row>
    <row r="2936" spans="2:4" x14ac:dyDescent="0.2">
      <c r="B2936" s="115"/>
      <c r="D2936" s="116"/>
    </row>
    <row r="2937" spans="2:4" x14ac:dyDescent="0.2">
      <c r="B2937" s="115"/>
      <c r="D2937" s="116"/>
    </row>
    <row r="2938" spans="2:4" x14ac:dyDescent="0.2">
      <c r="B2938" s="115"/>
      <c r="D2938" s="116"/>
    </row>
    <row r="2939" spans="2:4" x14ac:dyDescent="0.2">
      <c r="B2939" s="115"/>
      <c r="D2939" s="116"/>
    </row>
    <row r="2940" spans="2:4" x14ac:dyDescent="0.2">
      <c r="B2940" s="115"/>
      <c r="D2940" s="116"/>
    </row>
    <row r="2941" spans="2:4" x14ac:dyDescent="0.2">
      <c r="B2941" s="115"/>
      <c r="D2941" s="116"/>
    </row>
    <row r="2942" spans="2:4" x14ac:dyDescent="0.2">
      <c r="B2942" s="115"/>
      <c r="D2942" s="116"/>
    </row>
    <row r="2943" spans="2:4" x14ac:dyDescent="0.2">
      <c r="B2943" s="115"/>
      <c r="D2943" s="116"/>
    </row>
    <row r="2944" spans="2:4" x14ac:dyDescent="0.2">
      <c r="B2944" s="115"/>
      <c r="D2944" s="116"/>
    </row>
    <row r="2945" spans="2:4" x14ac:dyDescent="0.2">
      <c r="B2945" s="115"/>
      <c r="D2945" s="116"/>
    </row>
    <row r="2946" spans="2:4" x14ac:dyDescent="0.2">
      <c r="B2946" s="115"/>
      <c r="D2946" s="116"/>
    </row>
    <row r="2947" spans="2:4" x14ac:dyDescent="0.2">
      <c r="B2947" s="115"/>
      <c r="D2947" s="116"/>
    </row>
    <row r="2948" spans="2:4" x14ac:dyDescent="0.2">
      <c r="B2948" s="115"/>
      <c r="D2948" s="116"/>
    </row>
    <row r="2949" spans="2:4" x14ac:dyDescent="0.2">
      <c r="B2949" s="115"/>
      <c r="D2949" s="116"/>
    </row>
    <row r="2950" spans="2:4" x14ac:dyDescent="0.2">
      <c r="B2950" s="115"/>
      <c r="D2950" s="116"/>
    </row>
    <row r="2951" spans="2:4" x14ac:dyDescent="0.2">
      <c r="B2951" s="115"/>
      <c r="D2951" s="116"/>
    </row>
    <row r="2952" spans="2:4" x14ac:dyDescent="0.2">
      <c r="B2952" s="115"/>
      <c r="D2952" s="116"/>
    </row>
    <row r="2953" spans="2:4" x14ac:dyDescent="0.2">
      <c r="B2953" s="115"/>
      <c r="D2953" s="116"/>
    </row>
    <row r="2954" spans="2:4" x14ac:dyDescent="0.2">
      <c r="B2954" s="115"/>
      <c r="D2954" s="116"/>
    </row>
    <row r="2955" spans="2:4" x14ac:dyDescent="0.2">
      <c r="B2955" s="115"/>
      <c r="D2955" s="116"/>
    </row>
    <row r="2956" spans="2:4" x14ac:dyDescent="0.2">
      <c r="B2956" s="115"/>
      <c r="D2956" s="116"/>
    </row>
    <row r="2957" spans="2:4" x14ac:dyDescent="0.2">
      <c r="B2957" s="115"/>
      <c r="D2957" s="116"/>
    </row>
    <row r="2958" spans="2:4" x14ac:dyDescent="0.2">
      <c r="B2958" s="115"/>
      <c r="D2958" s="116"/>
    </row>
    <row r="2959" spans="2:4" x14ac:dyDescent="0.2">
      <c r="B2959" s="115"/>
      <c r="D2959" s="116"/>
    </row>
    <row r="2960" spans="2:4" x14ac:dyDescent="0.2">
      <c r="B2960" s="115"/>
      <c r="D2960" s="116"/>
    </row>
    <row r="2961" spans="2:4" x14ac:dyDescent="0.2">
      <c r="B2961" s="115"/>
      <c r="D2961" s="116"/>
    </row>
    <row r="2962" spans="2:4" x14ac:dyDescent="0.2">
      <c r="B2962" s="115"/>
      <c r="D2962" s="116"/>
    </row>
    <row r="2963" spans="2:4" x14ac:dyDescent="0.2">
      <c r="B2963" s="115"/>
      <c r="D2963" s="116"/>
    </row>
    <row r="2964" spans="2:4" x14ac:dyDescent="0.2">
      <c r="B2964" s="115"/>
      <c r="D2964" s="116"/>
    </row>
    <row r="2965" spans="2:4" x14ac:dyDescent="0.2">
      <c r="B2965" s="115"/>
      <c r="D2965" s="116"/>
    </row>
    <row r="2966" spans="2:4" x14ac:dyDescent="0.2">
      <c r="B2966" s="115"/>
      <c r="D2966" s="116"/>
    </row>
    <row r="2967" spans="2:4" x14ac:dyDescent="0.2">
      <c r="B2967" s="115"/>
      <c r="D2967" s="116"/>
    </row>
    <row r="2968" spans="2:4" x14ac:dyDescent="0.2">
      <c r="B2968" s="115"/>
      <c r="D2968" s="116"/>
    </row>
    <row r="2969" spans="2:4" x14ac:dyDescent="0.2">
      <c r="B2969" s="115"/>
      <c r="D2969" s="116"/>
    </row>
    <row r="2970" spans="2:4" x14ac:dyDescent="0.2">
      <c r="B2970" s="115"/>
      <c r="D2970" s="116"/>
    </row>
    <row r="2971" spans="2:4" x14ac:dyDescent="0.2">
      <c r="B2971" s="115"/>
      <c r="D2971" s="116"/>
    </row>
    <row r="2972" spans="2:4" x14ac:dyDescent="0.2">
      <c r="B2972" s="115"/>
      <c r="D2972" s="116"/>
    </row>
    <row r="2973" spans="2:4" x14ac:dyDescent="0.2">
      <c r="B2973" s="115"/>
      <c r="D2973" s="116"/>
    </row>
    <row r="2974" spans="2:4" x14ac:dyDescent="0.2">
      <c r="B2974" s="115"/>
      <c r="D2974" s="116"/>
    </row>
    <row r="2975" spans="2:4" x14ac:dyDescent="0.2">
      <c r="B2975" s="115"/>
      <c r="D2975" s="116"/>
    </row>
    <row r="2976" spans="2:4" x14ac:dyDescent="0.2">
      <c r="B2976" s="115"/>
      <c r="D2976" s="116"/>
    </row>
    <row r="2977" spans="2:4" x14ac:dyDescent="0.2">
      <c r="B2977" s="115"/>
      <c r="D2977" s="116"/>
    </row>
    <row r="2978" spans="2:4" x14ac:dyDescent="0.2">
      <c r="B2978" s="115"/>
      <c r="D2978" s="116"/>
    </row>
    <row r="2979" spans="2:4" x14ac:dyDescent="0.2">
      <c r="B2979" s="115"/>
      <c r="D2979" s="116"/>
    </row>
    <row r="2980" spans="2:4" x14ac:dyDescent="0.2">
      <c r="B2980" s="115"/>
      <c r="D2980" s="116"/>
    </row>
    <row r="2981" spans="2:4" x14ac:dyDescent="0.2">
      <c r="B2981" s="115"/>
      <c r="D2981" s="116"/>
    </row>
    <row r="2982" spans="2:4" x14ac:dyDescent="0.2">
      <c r="B2982" s="115"/>
      <c r="D2982" s="116"/>
    </row>
    <row r="2983" spans="2:4" x14ac:dyDescent="0.2">
      <c r="B2983" s="115"/>
      <c r="D2983" s="116"/>
    </row>
    <row r="2984" spans="2:4" x14ac:dyDescent="0.2">
      <c r="B2984" s="115"/>
      <c r="D2984" s="116"/>
    </row>
    <row r="2985" spans="2:4" x14ac:dyDescent="0.2">
      <c r="B2985" s="115"/>
      <c r="D2985" s="116"/>
    </row>
    <row r="2986" spans="2:4" x14ac:dyDescent="0.2">
      <c r="B2986" s="115"/>
      <c r="D2986" s="116"/>
    </row>
    <row r="2987" spans="2:4" x14ac:dyDescent="0.2">
      <c r="B2987" s="115"/>
      <c r="D2987" s="116"/>
    </row>
    <row r="2988" spans="2:4" x14ac:dyDescent="0.2">
      <c r="B2988" s="115"/>
      <c r="D2988" s="116"/>
    </row>
    <row r="2989" spans="2:4" x14ac:dyDescent="0.2">
      <c r="B2989" s="115"/>
      <c r="D2989" s="116"/>
    </row>
    <row r="2990" spans="2:4" x14ac:dyDescent="0.2">
      <c r="B2990" s="115"/>
      <c r="D2990" s="116"/>
    </row>
    <row r="2991" spans="2:4" x14ac:dyDescent="0.2">
      <c r="B2991" s="115"/>
      <c r="D2991" s="116"/>
    </row>
    <row r="2992" spans="2:4" x14ac:dyDescent="0.2">
      <c r="B2992" s="115"/>
      <c r="D2992" s="116"/>
    </row>
    <row r="2993" spans="2:4" x14ac:dyDescent="0.2">
      <c r="B2993" s="115"/>
      <c r="D2993" s="116"/>
    </row>
    <row r="2994" spans="2:4" x14ac:dyDescent="0.2">
      <c r="B2994" s="115"/>
      <c r="D2994" s="116"/>
    </row>
    <row r="2995" spans="2:4" x14ac:dyDescent="0.2">
      <c r="B2995" s="115"/>
      <c r="D2995" s="116"/>
    </row>
    <row r="2996" spans="2:4" x14ac:dyDescent="0.2">
      <c r="B2996" s="115"/>
      <c r="D2996" s="116"/>
    </row>
    <row r="2997" spans="2:4" x14ac:dyDescent="0.2">
      <c r="B2997" s="115"/>
      <c r="D2997" s="116"/>
    </row>
    <row r="2998" spans="2:4" x14ac:dyDescent="0.2">
      <c r="B2998" s="115"/>
      <c r="D2998" s="116"/>
    </row>
    <row r="2999" spans="2:4" x14ac:dyDescent="0.2">
      <c r="B2999" s="115"/>
      <c r="D2999" s="116"/>
    </row>
    <row r="3000" spans="2:4" x14ac:dyDescent="0.2">
      <c r="B3000" s="115"/>
      <c r="D3000" s="116"/>
    </row>
    <row r="3001" spans="2:4" x14ac:dyDescent="0.2">
      <c r="B3001" s="115"/>
      <c r="D3001" s="116"/>
    </row>
    <row r="3002" spans="2:4" x14ac:dyDescent="0.2">
      <c r="B3002" s="115"/>
      <c r="D3002" s="116"/>
    </row>
    <row r="3003" spans="2:4" x14ac:dyDescent="0.2">
      <c r="B3003" s="115"/>
      <c r="D3003" s="116"/>
    </row>
    <row r="3004" spans="2:4" x14ac:dyDescent="0.2">
      <c r="B3004" s="115"/>
      <c r="D3004" s="116"/>
    </row>
    <row r="3005" spans="2:4" x14ac:dyDescent="0.2">
      <c r="B3005" s="115"/>
      <c r="D3005" s="116"/>
    </row>
    <row r="3006" spans="2:4" x14ac:dyDescent="0.2">
      <c r="B3006" s="115"/>
      <c r="D3006" s="116"/>
    </row>
    <row r="3007" spans="2:4" x14ac:dyDescent="0.2">
      <c r="B3007" s="115"/>
      <c r="D3007" s="116"/>
    </row>
    <row r="3008" spans="2:4" x14ac:dyDescent="0.2">
      <c r="B3008" s="115"/>
      <c r="D3008" s="116"/>
    </row>
    <row r="3009" spans="2:4" x14ac:dyDescent="0.2">
      <c r="B3009" s="115"/>
      <c r="D3009" s="116"/>
    </row>
    <row r="3010" spans="2:4" x14ac:dyDescent="0.2">
      <c r="B3010" s="115"/>
      <c r="D3010" s="116"/>
    </row>
    <row r="3011" spans="2:4" x14ac:dyDescent="0.2">
      <c r="B3011" s="115"/>
      <c r="D3011" s="116"/>
    </row>
    <row r="3012" spans="2:4" x14ac:dyDescent="0.2">
      <c r="B3012" s="115"/>
      <c r="D3012" s="116"/>
    </row>
    <row r="3013" spans="2:4" x14ac:dyDescent="0.2">
      <c r="B3013" s="115"/>
      <c r="D3013" s="116"/>
    </row>
    <row r="3014" spans="2:4" x14ac:dyDescent="0.2">
      <c r="B3014" s="115"/>
      <c r="D3014" s="116"/>
    </row>
    <row r="3015" spans="2:4" x14ac:dyDescent="0.2">
      <c r="B3015" s="115"/>
      <c r="D3015" s="116"/>
    </row>
    <row r="3016" spans="2:4" x14ac:dyDescent="0.2">
      <c r="B3016" s="115"/>
      <c r="D3016" s="116"/>
    </row>
    <row r="3017" spans="2:4" x14ac:dyDescent="0.2">
      <c r="B3017" s="115"/>
      <c r="D3017" s="116"/>
    </row>
    <row r="3018" spans="2:4" x14ac:dyDescent="0.2">
      <c r="B3018" s="115"/>
      <c r="D3018" s="116"/>
    </row>
    <row r="3019" spans="2:4" x14ac:dyDescent="0.2">
      <c r="B3019" s="115"/>
      <c r="D3019" s="116"/>
    </row>
    <row r="3020" spans="2:4" x14ac:dyDescent="0.2">
      <c r="B3020" s="115"/>
      <c r="D3020" s="116"/>
    </row>
    <row r="3021" spans="2:4" x14ac:dyDescent="0.2">
      <c r="B3021" s="115"/>
      <c r="D3021" s="116"/>
    </row>
    <row r="3022" spans="2:4" x14ac:dyDescent="0.2">
      <c r="B3022" s="115"/>
      <c r="D3022" s="116"/>
    </row>
    <row r="3023" spans="2:4" x14ac:dyDescent="0.2">
      <c r="B3023" s="115"/>
      <c r="D3023" s="116"/>
    </row>
    <row r="3024" spans="2:4" x14ac:dyDescent="0.2">
      <c r="B3024" s="115"/>
      <c r="D3024" s="116"/>
    </row>
    <row r="3025" spans="2:4" x14ac:dyDescent="0.2">
      <c r="B3025" s="115"/>
      <c r="D3025" s="116"/>
    </row>
    <row r="3026" spans="2:4" x14ac:dyDescent="0.2">
      <c r="B3026" s="115"/>
      <c r="D3026" s="116"/>
    </row>
    <row r="3027" spans="2:4" x14ac:dyDescent="0.2">
      <c r="B3027" s="115"/>
      <c r="D3027" s="116"/>
    </row>
    <row r="3028" spans="2:4" x14ac:dyDescent="0.2">
      <c r="B3028" s="115"/>
      <c r="D3028" s="116"/>
    </row>
    <row r="3029" spans="2:4" x14ac:dyDescent="0.2">
      <c r="B3029" s="115"/>
      <c r="D3029" s="116"/>
    </row>
    <row r="3030" spans="2:4" x14ac:dyDescent="0.2">
      <c r="B3030" s="115"/>
      <c r="D3030" s="116"/>
    </row>
    <row r="3031" spans="2:4" x14ac:dyDescent="0.2">
      <c r="B3031" s="115"/>
      <c r="D3031" s="116"/>
    </row>
    <row r="3032" spans="2:4" x14ac:dyDescent="0.2">
      <c r="B3032" s="115"/>
      <c r="D3032" s="116"/>
    </row>
    <row r="3033" spans="2:4" x14ac:dyDescent="0.2">
      <c r="B3033" s="115"/>
      <c r="D3033" s="116"/>
    </row>
    <row r="3034" spans="2:4" x14ac:dyDescent="0.2">
      <c r="B3034" s="115"/>
      <c r="D3034" s="116"/>
    </row>
    <row r="3035" spans="2:4" x14ac:dyDescent="0.2">
      <c r="B3035" s="115"/>
      <c r="D3035" s="116"/>
    </row>
    <row r="3036" spans="2:4" x14ac:dyDescent="0.2">
      <c r="B3036" s="115"/>
      <c r="D3036" s="116"/>
    </row>
    <row r="3037" spans="2:4" x14ac:dyDescent="0.2">
      <c r="B3037" s="115"/>
      <c r="D3037" s="116"/>
    </row>
    <row r="3038" spans="2:4" x14ac:dyDescent="0.2">
      <c r="B3038" s="115"/>
      <c r="D3038" s="116"/>
    </row>
    <row r="3039" spans="2:4" x14ac:dyDescent="0.2">
      <c r="B3039" s="115"/>
      <c r="D3039" s="116"/>
    </row>
    <row r="3040" spans="2:4" x14ac:dyDescent="0.2">
      <c r="B3040" s="115"/>
      <c r="D3040" s="116"/>
    </row>
    <row r="3041" spans="2:4" x14ac:dyDescent="0.2">
      <c r="B3041" s="115"/>
      <c r="D3041" s="116"/>
    </row>
    <row r="3042" spans="2:4" x14ac:dyDescent="0.2">
      <c r="B3042" s="115"/>
      <c r="D3042" s="116"/>
    </row>
    <row r="3043" spans="2:4" x14ac:dyDescent="0.2">
      <c r="B3043" s="115"/>
      <c r="D3043" s="116"/>
    </row>
    <row r="3044" spans="2:4" x14ac:dyDescent="0.2">
      <c r="B3044" s="115"/>
      <c r="D3044" s="116"/>
    </row>
    <row r="3045" spans="2:4" x14ac:dyDescent="0.2">
      <c r="B3045" s="115"/>
      <c r="D3045" s="116"/>
    </row>
    <row r="3046" spans="2:4" x14ac:dyDescent="0.2">
      <c r="B3046" s="115"/>
      <c r="D3046" s="116"/>
    </row>
    <row r="3047" spans="2:4" x14ac:dyDescent="0.2">
      <c r="B3047" s="115"/>
      <c r="D3047" s="116"/>
    </row>
    <row r="3048" spans="2:4" x14ac:dyDescent="0.2">
      <c r="B3048" s="115"/>
      <c r="D3048" s="116"/>
    </row>
    <row r="3049" spans="2:4" x14ac:dyDescent="0.2">
      <c r="B3049" s="115"/>
      <c r="D3049" s="116"/>
    </row>
    <row r="3050" spans="2:4" x14ac:dyDescent="0.2">
      <c r="B3050" s="115"/>
      <c r="D3050" s="116"/>
    </row>
    <row r="3051" spans="2:4" x14ac:dyDescent="0.2">
      <c r="B3051" s="115"/>
      <c r="D3051" s="116"/>
    </row>
    <row r="3052" spans="2:4" x14ac:dyDescent="0.2">
      <c r="B3052" s="115"/>
      <c r="D3052" s="116"/>
    </row>
    <row r="3053" spans="2:4" x14ac:dyDescent="0.2">
      <c r="B3053" s="115"/>
      <c r="D3053" s="116"/>
    </row>
    <row r="3054" spans="2:4" x14ac:dyDescent="0.2">
      <c r="B3054" s="115"/>
      <c r="D3054" s="116"/>
    </row>
    <row r="3055" spans="2:4" x14ac:dyDescent="0.2">
      <c r="B3055" s="115"/>
      <c r="D3055" s="116"/>
    </row>
    <row r="3056" spans="2:4" x14ac:dyDescent="0.2">
      <c r="B3056" s="115"/>
      <c r="D3056" s="116"/>
    </row>
    <row r="3057" spans="2:4" x14ac:dyDescent="0.2">
      <c r="B3057" s="115"/>
      <c r="D3057" s="116"/>
    </row>
    <row r="3058" spans="2:4" x14ac:dyDescent="0.2">
      <c r="B3058" s="115"/>
      <c r="D3058" s="116"/>
    </row>
    <row r="3059" spans="2:4" x14ac:dyDescent="0.2">
      <c r="B3059" s="115"/>
      <c r="D3059" s="116"/>
    </row>
    <row r="3060" spans="2:4" x14ac:dyDescent="0.2">
      <c r="B3060" s="115"/>
      <c r="D3060" s="116"/>
    </row>
    <row r="3061" spans="2:4" x14ac:dyDescent="0.2">
      <c r="B3061" s="115"/>
      <c r="D3061" s="116"/>
    </row>
    <row r="3062" spans="2:4" x14ac:dyDescent="0.2">
      <c r="B3062" s="115"/>
      <c r="D3062" s="116"/>
    </row>
    <row r="3063" spans="2:4" x14ac:dyDescent="0.2">
      <c r="B3063" s="115"/>
      <c r="D3063" s="116"/>
    </row>
    <row r="3064" spans="2:4" x14ac:dyDescent="0.2">
      <c r="B3064" s="115"/>
      <c r="D3064" s="116"/>
    </row>
    <row r="3065" spans="2:4" x14ac:dyDescent="0.2">
      <c r="B3065" s="115"/>
      <c r="D3065" s="116"/>
    </row>
    <row r="3066" spans="2:4" x14ac:dyDescent="0.2">
      <c r="B3066" s="115"/>
      <c r="D3066" s="116"/>
    </row>
    <row r="3067" spans="2:4" x14ac:dyDescent="0.2">
      <c r="B3067" s="115"/>
      <c r="D3067" s="116"/>
    </row>
    <row r="3068" spans="2:4" x14ac:dyDescent="0.2">
      <c r="B3068" s="115"/>
      <c r="D3068" s="116"/>
    </row>
    <row r="3069" spans="2:4" x14ac:dyDescent="0.2">
      <c r="B3069" s="115"/>
      <c r="D3069" s="116"/>
    </row>
    <row r="3070" spans="2:4" x14ac:dyDescent="0.2">
      <c r="B3070" s="115"/>
      <c r="D3070" s="116"/>
    </row>
    <row r="3071" spans="2:4" x14ac:dyDescent="0.2">
      <c r="B3071" s="115"/>
      <c r="D3071" s="116"/>
    </row>
    <row r="3072" spans="2:4" x14ac:dyDescent="0.2">
      <c r="B3072" s="115"/>
      <c r="D3072" s="116"/>
    </row>
    <row r="3073" spans="2:4" x14ac:dyDescent="0.2">
      <c r="B3073" s="115"/>
      <c r="D3073" s="116"/>
    </row>
    <row r="3074" spans="2:4" x14ac:dyDescent="0.2">
      <c r="B3074" s="115"/>
      <c r="D3074" s="116"/>
    </row>
    <row r="3075" spans="2:4" x14ac:dyDescent="0.2">
      <c r="B3075" s="115"/>
      <c r="D3075" s="116"/>
    </row>
    <row r="3076" spans="2:4" x14ac:dyDescent="0.2">
      <c r="B3076" s="115"/>
      <c r="D3076" s="116"/>
    </row>
    <row r="3077" spans="2:4" x14ac:dyDescent="0.2">
      <c r="B3077" s="115"/>
      <c r="D3077" s="116"/>
    </row>
    <row r="3078" spans="2:4" x14ac:dyDescent="0.2">
      <c r="B3078" s="115"/>
      <c r="D3078" s="116"/>
    </row>
    <row r="3079" spans="2:4" x14ac:dyDescent="0.2">
      <c r="B3079" s="115"/>
      <c r="D3079" s="116"/>
    </row>
    <row r="3080" spans="2:4" x14ac:dyDescent="0.2">
      <c r="B3080" s="115"/>
      <c r="D3080" s="116"/>
    </row>
    <row r="3081" spans="2:4" x14ac:dyDescent="0.2">
      <c r="B3081" s="115"/>
      <c r="D3081" s="116"/>
    </row>
    <row r="3082" spans="2:4" x14ac:dyDescent="0.2">
      <c r="B3082" s="115"/>
      <c r="D3082" s="116"/>
    </row>
    <row r="3083" spans="2:4" x14ac:dyDescent="0.2">
      <c r="B3083" s="115"/>
      <c r="D3083" s="116"/>
    </row>
    <row r="3084" spans="2:4" x14ac:dyDescent="0.2">
      <c r="B3084" s="115"/>
      <c r="D3084" s="116"/>
    </row>
    <row r="3085" spans="2:4" x14ac:dyDescent="0.2">
      <c r="B3085" s="115"/>
      <c r="D3085" s="116"/>
    </row>
    <row r="3086" spans="2:4" x14ac:dyDescent="0.2">
      <c r="B3086" s="115"/>
      <c r="D3086" s="116"/>
    </row>
    <row r="3087" spans="2:4" x14ac:dyDescent="0.2">
      <c r="B3087" s="115"/>
      <c r="D3087" s="116"/>
    </row>
    <row r="3088" spans="2:4" x14ac:dyDescent="0.2">
      <c r="B3088" s="115"/>
      <c r="D3088" s="116"/>
    </row>
    <row r="3089" spans="2:4" x14ac:dyDescent="0.2">
      <c r="B3089" s="115"/>
      <c r="D3089" s="116"/>
    </row>
    <row r="3090" spans="2:4" x14ac:dyDescent="0.2">
      <c r="B3090" s="115"/>
      <c r="D3090" s="116"/>
    </row>
    <row r="3091" spans="2:4" x14ac:dyDescent="0.2">
      <c r="B3091" s="115"/>
      <c r="D3091" s="116"/>
    </row>
    <row r="3092" spans="2:4" x14ac:dyDescent="0.2">
      <c r="B3092" s="115"/>
      <c r="D3092" s="116"/>
    </row>
    <row r="3093" spans="2:4" x14ac:dyDescent="0.2">
      <c r="B3093" s="115"/>
      <c r="D3093" s="116"/>
    </row>
    <row r="3094" spans="2:4" x14ac:dyDescent="0.2">
      <c r="B3094" s="115"/>
      <c r="D3094" s="116"/>
    </row>
    <row r="3095" spans="2:4" x14ac:dyDescent="0.2">
      <c r="B3095" s="115"/>
      <c r="D3095" s="116"/>
    </row>
    <row r="3096" spans="2:4" x14ac:dyDescent="0.2">
      <c r="B3096" s="115"/>
      <c r="D3096" s="116"/>
    </row>
    <row r="3097" spans="2:4" x14ac:dyDescent="0.2">
      <c r="B3097" s="115"/>
      <c r="D3097" s="116"/>
    </row>
    <row r="3098" spans="2:4" x14ac:dyDescent="0.2">
      <c r="B3098" s="115"/>
      <c r="D3098" s="116"/>
    </row>
    <row r="3099" spans="2:4" x14ac:dyDescent="0.2">
      <c r="B3099" s="115"/>
      <c r="D3099" s="116"/>
    </row>
    <row r="3100" spans="2:4" x14ac:dyDescent="0.2">
      <c r="B3100" s="115"/>
      <c r="D3100" s="116"/>
    </row>
    <row r="3101" spans="2:4" x14ac:dyDescent="0.2">
      <c r="B3101" s="115"/>
      <c r="D3101" s="116"/>
    </row>
    <row r="3102" spans="2:4" x14ac:dyDescent="0.2">
      <c r="B3102" s="115"/>
      <c r="D3102" s="116"/>
    </row>
    <row r="3103" spans="2:4" x14ac:dyDescent="0.2">
      <c r="B3103" s="115"/>
      <c r="D3103" s="116"/>
    </row>
    <row r="3104" spans="2:4" x14ac:dyDescent="0.2">
      <c r="B3104" s="115"/>
      <c r="D3104" s="116"/>
    </row>
    <row r="3105" spans="2:4" x14ac:dyDescent="0.2">
      <c r="B3105" s="115"/>
      <c r="D3105" s="116"/>
    </row>
    <row r="3106" spans="2:4" x14ac:dyDescent="0.2">
      <c r="B3106" s="115"/>
      <c r="D3106" s="116"/>
    </row>
    <row r="3107" spans="2:4" x14ac:dyDescent="0.2">
      <c r="B3107" s="115"/>
      <c r="D3107" s="116"/>
    </row>
    <row r="3108" spans="2:4" x14ac:dyDescent="0.2">
      <c r="B3108" s="115"/>
      <c r="D3108" s="116"/>
    </row>
    <row r="3109" spans="2:4" x14ac:dyDescent="0.2">
      <c r="B3109" s="115"/>
      <c r="D3109" s="116"/>
    </row>
    <row r="3110" spans="2:4" x14ac:dyDescent="0.2">
      <c r="B3110" s="115"/>
      <c r="D3110" s="116"/>
    </row>
    <row r="3111" spans="2:4" x14ac:dyDescent="0.2">
      <c r="B3111" s="115"/>
      <c r="D3111" s="116"/>
    </row>
    <row r="3112" spans="2:4" x14ac:dyDescent="0.2">
      <c r="B3112" s="115"/>
      <c r="D3112" s="116"/>
    </row>
    <row r="3113" spans="2:4" x14ac:dyDescent="0.2">
      <c r="B3113" s="115"/>
      <c r="D3113" s="116"/>
    </row>
    <row r="3114" spans="2:4" x14ac:dyDescent="0.2">
      <c r="B3114" s="115"/>
      <c r="D3114" s="116"/>
    </row>
    <row r="3115" spans="2:4" x14ac:dyDescent="0.2">
      <c r="B3115" s="115"/>
      <c r="D3115" s="116"/>
    </row>
    <row r="3116" spans="2:4" x14ac:dyDescent="0.2">
      <c r="B3116" s="115"/>
      <c r="D3116" s="116"/>
    </row>
    <row r="3117" spans="2:4" x14ac:dyDescent="0.2">
      <c r="B3117" s="115"/>
      <c r="D3117" s="116"/>
    </row>
    <row r="3118" spans="2:4" x14ac:dyDescent="0.2">
      <c r="B3118" s="115"/>
      <c r="D3118" s="116"/>
    </row>
    <row r="3119" spans="2:4" x14ac:dyDescent="0.2">
      <c r="B3119" s="115"/>
      <c r="D3119" s="116"/>
    </row>
    <row r="3120" spans="2:4" x14ac:dyDescent="0.2">
      <c r="B3120" s="115"/>
      <c r="D3120" s="116"/>
    </row>
    <row r="3121" spans="2:4" x14ac:dyDescent="0.2">
      <c r="B3121" s="115"/>
      <c r="D3121" s="116"/>
    </row>
    <row r="3122" spans="2:4" x14ac:dyDescent="0.2">
      <c r="B3122" s="115"/>
      <c r="D3122" s="116"/>
    </row>
    <row r="3123" spans="2:4" x14ac:dyDescent="0.2">
      <c r="B3123" s="115"/>
      <c r="D3123" s="116"/>
    </row>
    <row r="3124" spans="2:4" x14ac:dyDescent="0.2">
      <c r="B3124" s="115"/>
      <c r="D3124" s="116"/>
    </row>
    <row r="3125" spans="2:4" x14ac:dyDescent="0.2">
      <c r="B3125" s="115"/>
      <c r="D3125" s="116"/>
    </row>
    <row r="3126" spans="2:4" x14ac:dyDescent="0.2">
      <c r="B3126" s="115"/>
      <c r="D3126" s="116"/>
    </row>
    <row r="3127" spans="2:4" x14ac:dyDescent="0.2">
      <c r="B3127" s="115"/>
      <c r="D3127" s="116"/>
    </row>
    <row r="3128" spans="2:4" x14ac:dyDescent="0.2">
      <c r="B3128" s="115"/>
      <c r="D3128" s="116"/>
    </row>
    <row r="3129" spans="2:4" x14ac:dyDescent="0.2">
      <c r="B3129" s="115"/>
      <c r="D3129" s="116"/>
    </row>
    <row r="3130" spans="2:4" x14ac:dyDescent="0.2">
      <c r="B3130" s="115"/>
      <c r="D3130" s="116"/>
    </row>
    <row r="3131" spans="2:4" x14ac:dyDescent="0.2">
      <c r="B3131" s="115"/>
      <c r="D3131" s="116"/>
    </row>
    <row r="3132" spans="2:4" x14ac:dyDescent="0.2">
      <c r="B3132" s="115"/>
      <c r="D3132" s="116"/>
    </row>
    <row r="3133" spans="2:4" x14ac:dyDescent="0.2">
      <c r="B3133" s="115"/>
      <c r="D3133" s="116"/>
    </row>
    <row r="3134" spans="2:4" x14ac:dyDescent="0.2">
      <c r="B3134" s="115"/>
      <c r="D3134" s="116"/>
    </row>
    <row r="3135" spans="2:4" x14ac:dyDescent="0.2">
      <c r="B3135" s="115"/>
      <c r="D3135" s="116"/>
    </row>
    <row r="3136" spans="2:4" x14ac:dyDescent="0.2">
      <c r="B3136" s="115"/>
      <c r="D3136" s="116"/>
    </row>
    <row r="3137" spans="2:4" x14ac:dyDescent="0.2">
      <c r="B3137" s="115"/>
      <c r="D3137" s="116"/>
    </row>
    <row r="3138" spans="2:4" x14ac:dyDescent="0.2">
      <c r="B3138" s="115"/>
      <c r="D3138" s="116"/>
    </row>
    <row r="3139" spans="2:4" x14ac:dyDescent="0.2">
      <c r="B3139" s="115"/>
      <c r="D3139" s="116"/>
    </row>
    <row r="3140" spans="2:4" x14ac:dyDescent="0.2">
      <c r="B3140" s="115"/>
      <c r="D3140" s="116"/>
    </row>
    <row r="3141" spans="2:4" x14ac:dyDescent="0.2">
      <c r="B3141" s="115"/>
      <c r="D3141" s="116"/>
    </row>
    <row r="3142" spans="2:4" x14ac:dyDescent="0.2">
      <c r="B3142" s="115"/>
      <c r="D3142" s="116"/>
    </row>
    <row r="3143" spans="2:4" x14ac:dyDescent="0.2">
      <c r="B3143" s="115"/>
      <c r="D3143" s="116"/>
    </row>
    <row r="3144" spans="2:4" x14ac:dyDescent="0.2">
      <c r="B3144" s="115"/>
      <c r="D3144" s="116"/>
    </row>
    <row r="3145" spans="2:4" x14ac:dyDescent="0.2">
      <c r="B3145" s="115"/>
      <c r="D3145" s="116"/>
    </row>
    <row r="3146" spans="2:4" x14ac:dyDescent="0.2">
      <c r="B3146" s="115"/>
      <c r="D3146" s="116"/>
    </row>
    <row r="3147" spans="2:4" x14ac:dyDescent="0.2">
      <c r="B3147" s="115"/>
      <c r="D3147" s="116"/>
    </row>
    <row r="3148" spans="2:4" x14ac:dyDescent="0.2">
      <c r="B3148" s="115"/>
      <c r="D3148" s="116"/>
    </row>
    <row r="3149" spans="2:4" x14ac:dyDescent="0.2">
      <c r="B3149" s="115"/>
      <c r="D3149" s="116"/>
    </row>
    <row r="3150" spans="2:4" x14ac:dyDescent="0.2">
      <c r="B3150" s="115"/>
      <c r="D3150" s="116"/>
    </row>
    <row r="3151" spans="2:4" x14ac:dyDescent="0.2">
      <c r="B3151" s="115"/>
      <c r="D3151" s="116"/>
    </row>
    <row r="3152" spans="2:4" x14ac:dyDescent="0.2">
      <c r="B3152" s="115"/>
      <c r="D3152" s="116"/>
    </row>
    <row r="3153" spans="2:4" x14ac:dyDescent="0.2">
      <c r="B3153" s="115"/>
      <c r="D3153" s="116"/>
    </row>
    <row r="3154" spans="2:4" x14ac:dyDescent="0.2">
      <c r="B3154" s="115"/>
      <c r="D3154" s="116"/>
    </row>
    <row r="3155" spans="2:4" x14ac:dyDescent="0.2">
      <c r="B3155" s="115"/>
      <c r="D3155" s="116"/>
    </row>
    <row r="3156" spans="2:4" x14ac:dyDescent="0.2">
      <c r="B3156" s="115"/>
      <c r="D3156" s="116"/>
    </row>
    <row r="3157" spans="2:4" x14ac:dyDescent="0.2">
      <c r="B3157" s="115"/>
      <c r="D3157" s="116"/>
    </row>
    <row r="3158" spans="2:4" x14ac:dyDescent="0.2">
      <c r="B3158" s="115"/>
      <c r="D3158" s="116"/>
    </row>
    <row r="3159" spans="2:4" x14ac:dyDescent="0.2">
      <c r="B3159" s="115"/>
      <c r="D3159" s="116"/>
    </row>
    <row r="3160" spans="2:4" x14ac:dyDescent="0.2">
      <c r="B3160" s="115"/>
      <c r="D3160" s="116"/>
    </row>
    <row r="3161" spans="2:4" x14ac:dyDescent="0.2">
      <c r="B3161" s="115"/>
      <c r="D3161" s="116"/>
    </row>
    <row r="3162" spans="2:4" x14ac:dyDescent="0.2">
      <c r="B3162" s="115"/>
      <c r="D3162" s="116"/>
    </row>
    <row r="3163" spans="2:4" x14ac:dyDescent="0.2">
      <c r="B3163" s="115"/>
      <c r="D3163" s="116"/>
    </row>
    <row r="3164" spans="2:4" x14ac:dyDescent="0.2">
      <c r="B3164" s="115"/>
      <c r="D3164" s="116"/>
    </row>
    <row r="3165" spans="2:4" x14ac:dyDescent="0.2">
      <c r="B3165" s="115"/>
      <c r="D3165" s="116"/>
    </row>
    <row r="3166" spans="2:4" x14ac:dyDescent="0.2">
      <c r="B3166" s="115"/>
      <c r="D3166" s="116"/>
    </row>
    <row r="3167" spans="2:4" x14ac:dyDescent="0.2">
      <c r="B3167" s="115"/>
      <c r="D3167" s="116"/>
    </row>
    <row r="3168" spans="2:4" x14ac:dyDescent="0.2">
      <c r="B3168" s="115"/>
      <c r="D3168" s="116"/>
    </row>
    <row r="3169" spans="2:4" x14ac:dyDescent="0.2">
      <c r="B3169" s="115"/>
      <c r="D3169" s="116"/>
    </row>
    <row r="3170" spans="2:4" x14ac:dyDescent="0.2">
      <c r="B3170" s="115"/>
      <c r="D3170" s="116"/>
    </row>
    <row r="3171" spans="2:4" x14ac:dyDescent="0.2">
      <c r="B3171" s="115"/>
      <c r="D3171" s="116"/>
    </row>
    <row r="3172" spans="2:4" x14ac:dyDescent="0.2">
      <c r="B3172" s="115"/>
      <c r="D3172" s="116"/>
    </row>
    <row r="3173" spans="2:4" x14ac:dyDescent="0.2">
      <c r="B3173" s="115"/>
      <c r="D3173" s="116"/>
    </row>
    <row r="3174" spans="2:4" x14ac:dyDescent="0.2">
      <c r="B3174" s="115"/>
      <c r="D3174" s="116"/>
    </row>
    <row r="3175" spans="2:4" x14ac:dyDescent="0.2">
      <c r="B3175" s="115"/>
      <c r="D3175" s="116"/>
    </row>
    <row r="3176" spans="2:4" x14ac:dyDescent="0.2">
      <c r="B3176" s="115"/>
      <c r="D3176" s="116"/>
    </row>
    <row r="3177" spans="2:4" x14ac:dyDescent="0.2">
      <c r="B3177" s="115"/>
      <c r="D3177" s="116"/>
    </row>
    <row r="3178" spans="2:4" x14ac:dyDescent="0.2">
      <c r="B3178" s="115"/>
      <c r="D3178" s="116"/>
    </row>
    <row r="3179" spans="2:4" x14ac:dyDescent="0.2">
      <c r="B3179" s="115"/>
      <c r="D3179" s="116"/>
    </row>
    <row r="3180" spans="2:4" x14ac:dyDescent="0.2">
      <c r="B3180" s="115"/>
      <c r="D3180" s="116"/>
    </row>
    <row r="3181" spans="2:4" x14ac:dyDescent="0.2">
      <c r="B3181" s="115"/>
      <c r="D3181" s="116"/>
    </row>
    <row r="3182" spans="2:4" x14ac:dyDescent="0.2">
      <c r="B3182" s="115"/>
      <c r="D3182" s="116"/>
    </row>
    <row r="3183" spans="2:4" x14ac:dyDescent="0.2">
      <c r="B3183" s="115"/>
      <c r="D3183" s="116"/>
    </row>
    <row r="3184" spans="2:4" x14ac:dyDescent="0.2">
      <c r="B3184" s="115"/>
      <c r="D3184" s="116"/>
    </row>
    <row r="3185" spans="2:4" x14ac:dyDescent="0.2">
      <c r="B3185" s="115"/>
      <c r="D3185" s="116"/>
    </row>
    <row r="3186" spans="2:4" x14ac:dyDescent="0.2">
      <c r="B3186" s="115"/>
      <c r="D3186" s="116"/>
    </row>
    <row r="3187" spans="2:4" x14ac:dyDescent="0.2">
      <c r="B3187" s="115"/>
      <c r="D3187" s="116"/>
    </row>
    <row r="3188" spans="2:4" x14ac:dyDescent="0.2">
      <c r="B3188" s="115"/>
      <c r="D3188" s="116"/>
    </row>
    <row r="3189" spans="2:4" x14ac:dyDescent="0.2">
      <c r="B3189" s="115"/>
      <c r="D3189" s="116"/>
    </row>
    <row r="3190" spans="2:4" x14ac:dyDescent="0.2">
      <c r="B3190" s="115"/>
      <c r="D3190" s="116"/>
    </row>
    <row r="3191" spans="2:4" x14ac:dyDescent="0.2">
      <c r="B3191" s="115"/>
      <c r="D3191" s="116"/>
    </row>
    <row r="3192" spans="2:4" x14ac:dyDescent="0.2">
      <c r="B3192" s="115"/>
      <c r="D3192" s="116"/>
    </row>
    <row r="3193" spans="2:4" x14ac:dyDescent="0.2">
      <c r="B3193" s="115"/>
      <c r="D3193" s="116"/>
    </row>
    <row r="3194" spans="2:4" x14ac:dyDescent="0.2">
      <c r="B3194" s="115"/>
      <c r="D3194" s="116"/>
    </row>
    <row r="3195" spans="2:4" x14ac:dyDescent="0.2">
      <c r="B3195" s="115"/>
      <c r="D3195" s="116"/>
    </row>
    <row r="3196" spans="2:4" x14ac:dyDescent="0.2">
      <c r="B3196" s="115"/>
      <c r="D3196" s="116"/>
    </row>
    <row r="3197" spans="2:4" x14ac:dyDescent="0.2">
      <c r="B3197" s="115"/>
      <c r="D3197" s="116"/>
    </row>
    <row r="3198" spans="2:4" x14ac:dyDescent="0.2">
      <c r="B3198" s="115"/>
      <c r="D3198" s="116"/>
    </row>
    <row r="3199" spans="2:4" x14ac:dyDescent="0.2">
      <c r="B3199" s="115"/>
      <c r="D3199" s="116"/>
    </row>
    <row r="3200" spans="2:4" x14ac:dyDescent="0.2">
      <c r="B3200" s="115"/>
      <c r="D3200" s="116"/>
    </row>
    <row r="3201" spans="2:4" x14ac:dyDescent="0.2">
      <c r="B3201" s="115"/>
      <c r="D3201" s="116"/>
    </row>
    <row r="3202" spans="2:4" x14ac:dyDescent="0.2">
      <c r="B3202" s="115"/>
      <c r="D3202" s="116"/>
    </row>
    <row r="3203" spans="2:4" x14ac:dyDescent="0.2">
      <c r="B3203" s="115"/>
      <c r="D3203" s="116"/>
    </row>
    <row r="3204" spans="2:4" x14ac:dyDescent="0.2">
      <c r="B3204" s="115"/>
      <c r="D3204" s="116"/>
    </row>
    <row r="3205" spans="2:4" x14ac:dyDescent="0.2">
      <c r="B3205" s="115"/>
      <c r="D3205" s="116"/>
    </row>
    <row r="3206" spans="2:4" x14ac:dyDescent="0.2">
      <c r="B3206" s="115"/>
      <c r="D3206" s="116"/>
    </row>
    <row r="3207" spans="2:4" x14ac:dyDescent="0.2">
      <c r="B3207" s="115"/>
      <c r="D3207" s="116"/>
    </row>
    <row r="3208" spans="2:4" x14ac:dyDescent="0.2">
      <c r="B3208" s="115"/>
      <c r="D3208" s="116"/>
    </row>
    <row r="3209" spans="2:4" x14ac:dyDescent="0.2">
      <c r="B3209" s="115"/>
      <c r="D3209" s="116"/>
    </row>
    <row r="3210" spans="2:4" x14ac:dyDescent="0.2">
      <c r="B3210" s="115"/>
      <c r="D3210" s="116"/>
    </row>
    <row r="3211" spans="2:4" x14ac:dyDescent="0.2">
      <c r="B3211" s="115"/>
      <c r="D3211" s="116"/>
    </row>
    <row r="3212" spans="2:4" x14ac:dyDescent="0.2">
      <c r="B3212" s="115"/>
      <c r="D3212" s="116"/>
    </row>
    <row r="3213" spans="2:4" x14ac:dyDescent="0.2">
      <c r="B3213" s="115"/>
      <c r="D3213" s="116"/>
    </row>
    <row r="3214" spans="2:4" x14ac:dyDescent="0.2">
      <c r="B3214" s="115"/>
      <c r="D3214" s="116"/>
    </row>
    <row r="3215" spans="2:4" x14ac:dyDescent="0.2">
      <c r="B3215" s="115"/>
      <c r="D3215" s="116"/>
    </row>
    <row r="3216" spans="2:4" x14ac:dyDescent="0.2">
      <c r="B3216" s="115"/>
      <c r="D3216" s="116"/>
    </row>
    <row r="3217" spans="2:4" x14ac:dyDescent="0.2">
      <c r="B3217" s="115"/>
      <c r="D3217" s="116"/>
    </row>
    <row r="3218" spans="2:4" x14ac:dyDescent="0.2">
      <c r="B3218" s="115"/>
      <c r="D3218" s="116"/>
    </row>
    <row r="3219" spans="2:4" x14ac:dyDescent="0.2">
      <c r="B3219" s="115"/>
      <c r="D3219" s="116"/>
    </row>
    <row r="3220" spans="2:4" x14ac:dyDescent="0.2">
      <c r="B3220" s="115"/>
      <c r="D3220" s="116"/>
    </row>
    <row r="3221" spans="2:4" x14ac:dyDescent="0.2">
      <c r="B3221" s="115"/>
      <c r="D3221" s="116"/>
    </row>
    <row r="3222" spans="2:4" x14ac:dyDescent="0.2">
      <c r="B3222" s="115"/>
      <c r="D3222" s="116"/>
    </row>
    <row r="3223" spans="2:4" x14ac:dyDescent="0.2">
      <c r="B3223" s="115"/>
      <c r="D3223" s="116"/>
    </row>
    <row r="3224" spans="2:4" x14ac:dyDescent="0.2">
      <c r="B3224" s="115"/>
      <c r="D3224" s="116"/>
    </row>
    <row r="3225" spans="2:4" x14ac:dyDescent="0.2">
      <c r="B3225" s="115"/>
      <c r="D3225" s="116"/>
    </row>
    <row r="3226" spans="2:4" x14ac:dyDescent="0.2">
      <c r="B3226" s="115"/>
      <c r="D3226" s="116"/>
    </row>
    <row r="3227" spans="2:4" x14ac:dyDescent="0.2">
      <c r="B3227" s="115"/>
      <c r="D3227" s="116"/>
    </row>
    <row r="3228" spans="2:4" x14ac:dyDescent="0.2">
      <c r="B3228" s="115"/>
      <c r="D3228" s="116"/>
    </row>
    <row r="3229" spans="2:4" x14ac:dyDescent="0.2">
      <c r="B3229" s="115"/>
      <c r="D3229" s="116"/>
    </row>
    <row r="3230" spans="2:4" x14ac:dyDescent="0.2">
      <c r="B3230" s="115"/>
      <c r="D3230" s="116"/>
    </row>
    <row r="3231" spans="2:4" x14ac:dyDescent="0.2">
      <c r="B3231" s="115"/>
      <c r="D3231" s="116"/>
    </row>
    <row r="3232" spans="2:4" x14ac:dyDescent="0.2">
      <c r="B3232" s="115"/>
      <c r="D3232" s="116"/>
    </row>
    <row r="3233" spans="2:4" x14ac:dyDescent="0.2">
      <c r="B3233" s="115"/>
      <c r="D3233" s="116"/>
    </row>
    <row r="3234" spans="2:4" x14ac:dyDescent="0.2">
      <c r="B3234" s="115"/>
      <c r="D3234" s="116"/>
    </row>
    <row r="3235" spans="2:4" x14ac:dyDescent="0.2">
      <c r="B3235" s="115"/>
      <c r="D3235" s="116"/>
    </row>
    <row r="3236" spans="2:4" x14ac:dyDescent="0.2">
      <c r="B3236" s="115"/>
      <c r="D3236" s="116"/>
    </row>
    <row r="3237" spans="2:4" x14ac:dyDescent="0.2">
      <c r="B3237" s="115"/>
      <c r="D3237" s="116"/>
    </row>
    <row r="3238" spans="2:4" x14ac:dyDescent="0.2">
      <c r="B3238" s="115"/>
      <c r="D3238" s="116"/>
    </row>
    <row r="3239" spans="2:4" x14ac:dyDescent="0.2">
      <c r="B3239" s="115"/>
      <c r="D3239" s="116"/>
    </row>
    <row r="3240" spans="2:4" x14ac:dyDescent="0.2">
      <c r="B3240" s="115"/>
      <c r="D3240" s="116"/>
    </row>
    <row r="3241" spans="2:4" x14ac:dyDescent="0.2">
      <c r="B3241" s="115"/>
      <c r="D3241" s="116"/>
    </row>
    <row r="3242" spans="2:4" x14ac:dyDescent="0.2">
      <c r="B3242" s="115"/>
      <c r="D3242" s="116"/>
    </row>
    <row r="3243" spans="2:4" x14ac:dyDescent="0.2">
      <c r="B3243" s="115"/>
      <c r="D3243" s="116"/>
    </row>
    <row r="3244" spans="2:4" x14ac:dyDescent="0.2">
      <c r="B3244" s="115"/>
      <c r="D3244" s="116"/>
    </row>
    <row r="3245" spans="2:4" x14ac:dyDescent="0.2">
      <c r="B3245" s="115"/>
      <c r="D3245" s="116"/>
    </row>
    <row r="3246" spans="2:4" x14ac:dyDescent="0.2">
      <c r="B3246" s="115"/>
      <c r="D3246" s="116"/>
    </row>
    <row r="3247" spans="2:4" x14ac:dyDescent="0.2">
      <c r="B3247" s="115"/>
      <c r="D3247" s="116"/>
    </row>
    <row r="3248" spans="2:4" x14ac:dyDescent="0.2">
      <c r="B3248" s="115"/>
      <c r="D3248" s="116"/>
    </row>
    <row r="3249" spans="2:4" x14ac:dyDescent="0.2">
      <c r="B3249" s="115"/>
      <c r="D3249" s="116"/>
    </row>
    <row r="3250" spans="2:4" x14ac:dyDescent="0.2">
      <c r="B3250" s="115"/>
      <c r="D3250" s="116"/>
    </row>
    <row r="3251" spans="2:4" x14ac:dyDescent="0.2">
      <c r="B3251" s="115"/>
      <c r="D3251" s="116"/>
    </row>
    <row r="3252" spans="2:4" x14ac:dyDescent="0.2">
      <c r="B3252" s="115"/>
      <c r="D3252" s="116"/>
    </row>
    <row r="3253" spans="2:4" x14ac:dyDescent="0.2">
      <c r="B3253" s="115"/>
      <c r="D3253" s="116"/>
    </row>
    <row r="3254" spans="2:4" x14ac:dyDescent="0.2">
      <c r="B3254" s="115"/>
      <c r="D3254" s="116"/>
    </row>
    <row r="3255" spans="2:4" x14ac:dyDescent="0.2">
      <c r="B3255" s="115"/>
      <c r="D3255" s="116"/>
    </row>
    <row r="3256" spans="2:4" x14ac:dyDescent="0.2">
      <c r="B3256" s="115"/>
      <c r="D3256" s="116"/>
    </row>
    <row r="3257" spans="2:4" x14ac:dyDescent="0.2">
      <c r="B3257" s="115"/>
      <c r="D3257" s="116"/>
    </row>
    <row r="3258" spans="2:4" x14ac:dyDescent="0.2">
      <c r="B3258" s="115"/>
      <c r="D3258" s="116"/>
    </row>
    <row r="3259" spans="2:4" x14ac:dyDescent="0.2">
      <c r="B3259" s="115"/>
      <c r="D3259" s="116"/>
    </row>
    <row r="3260" spans="2:4" x14ac:dyDescent="0.2">
      <c r="B3260" s="115"/>
      <c r="D3260" s="116"/>
    </row>
    <row r="3261" spans="2:4" x14ac:dyDescent="0.2">
      <c r="B3261" s="115"/>
      <c r="D3261" s="116"/>
    </row>
    <row r="3262" spans="2:4" x14ac:dyDescent="0.2">
      <c r="B3262" s="115"/>
      <c r="D3262" s="116"/>
    </row>
    <row r="3263" spans="2:4" x14ac:dyDescent="0.2">
      <c r="B3263" s="115"/>
      <c r="D3263" s="116"/>
    </row>
    <row r="3264" spans="2:4" x14ac:dyDescent="0.2">
      <c r="B3264" s="115"/>
      <c r="D3264" s="116"/>
    </row>
    <row r="3265" spans="2:4" x14ac:dyDescent="0.2">
      <c r="B3265" s="115"/>
      <c r="D3265" s="116"/>
    </row>
    <row r="3266" spans="2:4" x14ac:dyDescent="0.2">
      <c r="B3266" s="115"/>
      <c r="D3266" s="116"/>
    </row>
    <row r="3267" spans="2:4" x14ac:dyDescent="0.2">
      <c r="B3267" s="115"/>
      <c r="D3267" s="116"/>
    </row>
    <row r="3268" spans="2:4" x14ac:dyDescent="0.2">
      <c r="B3268" s="115"/>
      <c r="D3268" s="116"/>
    </row>
    <row r="3269" spans="2:4" x14ac:dyDescent="0.2">
      <c r="B3269" s="115"/>
      <c r="D3269" s="116"/>
    </row>
    <row r="3270" spans="2:4" x14ac:dyDescent="0.2">
      <c r="B3270" s="115"/>
      <c r="D3270" s="116"/>
    </row>
    <row r="3271" spans="2:4" x14ac:dyDescent="0.2">
      <c r="B3271" s="115"/>
      <c r="D3271" s="116"/>
    </row>
    <row r="3272" spans="2:4" x14ac:dyDescent="0.2">
      <c r="B3272" s="115"/>
      <c r="D3272" s="116"/>
    </row>
    <row r="3273" spans="2:4" x14ac:dyDescent="0.2">
      <c r="B3273" s="115"/>
      <c r="D3273" s="116"/>
    </row>
    <row r="3274" spans="2:4" x14ac:dyDescent="0.2">
      <c r="B3274" s="115"/>
      <c r="D3274" s="116"/>
    </row>
    <row r="3275" spans="2:4" x14ac:dyDescent="0.2">
      <c r="B3275" s="115"/>
      <c r="D3275" s="116"/>
    </row>
    <row r="3276" spans="2:4" x14ac:dyDescent="0.2">
      <c r="B3276" s="115"/>
      <c r="D3276" s="116"/>
    </row>
    <row r="3277" spans="2:4" x14ac:dyDescent="0.2">
      <c r="B3277" s="115"/>
      <c r="D3277" s="116"/>
    </row>
    <row r="3278" spans="2:4" x14ac:dyDescent="0.2">
      <c r="B3278" s="115"/>
      <c r="D3278" s="116"/>
    </row>
    <row r="3279" spans="2:4" x14ac:dyDescent="0.2">
      <c r="B3279" s="115"/>
      <c r="D3279" s="116"/>
    </row>
    <row r="3280" spans="2:4" x14ac:dyDescent="0.2">
      <c r="B3280" s="115"/>
      <c r="D3280" s="116"/>
    </row>
    <row r="3281" spans="2:4" x14ac:dyDescent="0.2">
      <c r="B3281" s="115"/>
      <c r="D3281" s="116"/>
    </row>
    <row r="3282" spans="2:4" x14ac:dyDescent="0.2">
      <c r="B3282" s="115"/>
      <c r="D3282" s="116"/>
    </row>
    <row r="3283" spans="2:4" x14ac:dyDescent="0.2">
      <c r="B3283" s="115"/>
      <c r="D3283" s="116"/>
    </row>
    <row r="3284" spans="2:4" x14ac:dyDescent="0.2">
      <c r="B3284" s="115"/>
      <c r="D3284" s="116"/>
    </row>
    <row r="3285" spans="2:4" x14ac:dyDescent="0.2">
      <c r="B3285" s="115"/>
      <c r="D3285" s="116"/>
    </row>
    <row r="3286" spans="2:4" x14ac:dyDescent="0.2">
      <c r="B3286" s="115"/>
      <c r="D3286" s="116"/>
    </row>
    <row r="3287" spans="2:4" x14ac:dyDescent="0.2">
      <c r="B3287" s="115"/>
      <c r="D3287" s="116"/>
    </row>
    <row r="3288" spans="2:4" x14ac:dyDescent="0.2">
      <c r="B3288" s="115"/>
      <c r="D3288" s="116"/>
    </row>
    <row r="3289" spans="2:4" x14ac:dyDescent="0.2">
      <c r="B3289" s="115"/>
      <c r="D3289" s="116"/>
    </row>
    <row r="3290" spans="2:4" x14ac:dyDescent="0.2">
      <c r="B3290" s="115"/>
      <c r="D3290" s="116"/>
    </row>
    <row r="3291" spans="2:4" x14ac:dyDescent="0.2">
      <c r="B3291" s="115"/>
      <c r="D3291" s="116"/>
    </row>
    <row r="3292" spans="2:4" x14ac:dyDescent="0.2">
      <c r="B3292" s="115"/>
      <c r="D3292" s="116"/>
    </row>
    <row r="3293" spans="2:4" x14ac:dyDescent="0.2">
      <c r="B3293" s="115"/>
      <c r="D3293" s="116"/>
    </row>
    <row r="3294" spans="2:4" x14ac:dyDescent="0.2">
      <c r="B3294" s="115"/>
      <c r="D3294" s="116"/>
    </row>
    <row r="3295" spans="2:4" x14ac:dyDescent="0.2">
      <c r="B3295" s="115"/>
      <c r="D3295" s="116"/>
    </row>
    <row r="3296" spans="2:4" x14ac:dyDescent="0.2">
      <c r="B3296" s="115"/>
      <c r="D3296" s="116"/>
    </row>
    <row r="3297" spans="2:4" x14ac:dyDescent="0.2">
      <c r="B3297" s="115"/>
      <c r="D3297" s="116"/>
    </row>
    <row r="3298" spans="2:4" x14ac:dyDescent="0.2">
      <c r="B3298" s="115"/>
      <c r="D3298" s="116"/>
    </row>
    <row r="3299" spans="2:4" x14ac:dyDescent="0.2">
      <c r="B3299" s="115"/>
      <c r="D3299" s="116"/>
    </row>
    <row r="3300" spans="2:4" x14ac:dyDescent="0.2">
      <c r="B3300" s="115"/>
      <c r="D3300" s="116"/>
    </row>
    <row r="3301" spans="2:4" x14ac:dyDescent="0.2">
      <c r="B3301" s="115"/>
      <c r="D3301" s="116"/>
    </row>
    <row r="3302" spans="2:4" x14ac:dyDescent="0.2">
      <c r="B3302" s="115"/>
      <c r="D3302" s="116"/>
    </row>
    <row r="3303" spans="2:4" x14ac:dyDescent="0.2">
      <c r="B3303" s="115"/>
      <c r="D3303" s="116"/>
    </row>
    <row r="3304" spans="2:4" x14ac:dyDescent="0.2">
      <c r="B3304" s="115"/>
      <c r="D3304" s="116"/>
    </row>
    <row r="3305" spans="2:4" x14ac:dyDescent="0.2">
      <c r="B3305" s="115"/>
      <c r="D3305" s="116"/>
    </row>
    <row r="3306" spans="2:4" x14ac:dyDescent="0.2">
      <c r="B3306" s="115"/>
      <c r="D3306" s="116"/>
    </row>
    <row r="3307" spans="2:4" x14ac:dyDescent="0.2">
      <c r="B3307" s="115"/>
      <c r="D3307" s="116"/>
    </row>
    <row r="3308" spans="2:4" x14ac:dyDescent="0.2">
      <c r="B3308" s="115"/>
      <c r="D3308" s="116"/>
    </row>
    <row r="3309" spans="2:4" x14ac:dyDescent="0.2">
      <c r="B3309" s="115"/>
      <c r="D3309" s="116"/>
    </row>
    <row r="3310" spans="2:4" x14ac:dyDescent="0.2">
      <c r="B3310" s="115"/>
      <c r="D3310" s="116"/>
    </row>
    <row r="3311" spans="2:4" x14ac:dyDescent="0.2">
      <c r="B3311" s="115"/>
      <c r="D3311" s="116"/>
    </row>
    <row r="3312" spans="2:4" x14ac:dyDescent="0.2">
      <c r="B3312" s="115"/>
      <c r="D3312" s="116"/>
    </row>
    <row r="3313" spans="2:4" x14ac:dyDescent="0.2">
      <c r="B3313" s="115"/>
      <c r="D3313" s="116"/>
    </row>
    <row r="3314" spans="2:4" x14ac:dyDescent="0.2">
      <c r="B3314" s="115"/>
      <c r="D3314" s="116"/>
    </row>
    <row r="3315" spans="2:4" x14ac:dyDescent="0.2">
      <c r="B3315" s="115"/>
      <c r="D3315" s="116"/>
    </row>
    <row r="3316" spans="2:4" x14ac:dyDescent="0.2">
      <c r="B3316" s="115"/>
      <c r="D3316" s="116"/>
    </row>
    <row r="3317" spans="2:4" x14ac:dyDescent="0.2">
      <c r="B3317" s="115"/>
      <c r="D3317" s="116"/>
    </row>
    <row r="3318" spans="2:4" x14ac:dyDescent="0.2">
      <c r="B3318" s="115"/>
      <c r="D3318" s="116"/>
    </row>
    <row r="3319" spans="2:4" x14ac:dyDescent="0.2">
      <c r="B3319" s="115"/>
      <c r="D3319" s="116"/>
    </row>
    <row r="3320" spans="2:4" x14ac:dyDescent="0.2">
      <c r="B3320" s="115"/>
      <c r="D3320" s="116"/>
    </row>
    <row r="3321" spans="2:4" x14ac:dyDescent="0.2">
      <c r="B3321" s="115"/>
      <c r="D3321" s="116"/>
    </row>
    <row r="3322" spans="2:4" x14ac:dyDescent="0.2">
      <c r="B3322" s="115"/>
      <c r="D3322" s="116"/>
    </row>
    <row r="3323" spans="2:4" x14ac:dyDescent="0.2">
      <c r="B3323" s="115"/>
      <c r="D3323" s="116"/>
    </row>
    <row r="3324" spans="2:4" x14ac:dyDescent="0.2">
      <c r="B3324" s="115"/>
      <c r="D3324" s="116"/>
    </row>
    <row r="3325" spans="2:4" x14ac:dyDescent="0.2">
      <c r="B3325" s="115"/>
      <c r="D3325" s="116"/>
    </row>
    <row r="3326" spans="2:4" x14ac:dyDescent="0.2">
      <c r="B3326" s="115"/>
      <c r="D3326" s="116"/>
    </row>
    <row r="3327" spans="2:4" x14ac:dyDescent="0.2">
      <c r="B3327" s="115"/>
      <c r="D3327" s="116"/>
    </row>
    <row r="3328" spans="2:4" x14ac:dyDescent="0.2">
      <c r="B3328" s="115"/>
      <c r="D3328" s="116"/>
    </row>
    <row r="3329" spans="2:4" x14ac:dyDescent="0.2">
      <c r="B3329" s="115"/>
      <c r="D3329" s="116"/>
    </row>
    <row r="3330" spans="2:4" x14ac:dyDescent="0.2">
      <c r="B3330" s="115"/>
      <c r="D3330" s="116"/>
    </row>
    <row r="3331" spans="2:4" x14ac:dyDescent="0.2">
      <c r="B3331" s="115"/>
      <c r="D3331" s="116"/>
    </row>
    <row r="3332" spans="2:4" x14ac:dyDescent="0.2">
      <c r="B3332" s="115"/>
      <c r="D3332" s="116"/>
    </row>
    <row r="3333" spans="2:4" x14ac:dyDescent="0.2">
      <c r="B3333" s="115"/>
      <c r="D3333" s="116"/>
    </row>
    <row r="3334" spans="2:4" x14ac:dyDescent="0.2">
      <c r="B3334" s="115"/>
      <c r="D3334" s="116"/>
    </row>
    <row r="3335" spans="2:4" x14ac:dyDescent="0.2">
      <c r="B3335" s="115"/>
      <c r="D3335" s="116"/>
    </row>
    <row r="3336" spans="2:4" x14ac:dyDescent="0.2">
      <c r="B3336" s="115"/>
      <c r="D3336" s="116"/>
    </row>
    <row r="3337" spans="2:4" x14ac:dyDescent="0.2">
      <c r="B3337" s="115"/>
      <c r="D3337" s="116"/>
    </row>
    <row r="3338" spans="2:4" x14ac:dyDescent="0.2">
      <c r="B3338" s="115"/>
      <c r="D3338" s="116"/>
    </row>
    <row r="3339" spans="2:4" x14ac:dyDescent="0.2">
      <c r="B3339" s="115"/>
      <c r="D3339" s="116"/>
    </row>
    <row r="3340" spans="2:4" x14ac:dyDescent="0.2">
      <c r="B3340" s="115"/>
      <c r="D3340" s="116"/>
    </row>
    <row r="3341" spans="2:4" x14ac:dyDescent="0.2">
      <c r="B3341" s="115"/>
      <c r="D3341" s="116"/>
    </row>
    <row r="3342" spans="2:4" x14ac:dyDescent="0.2">
      <c r="B3342" s="115"/>
      <c r="D3342" s="116"/>
    </row>
    <row r="3343" spans="2:4" x14ac:dyDescent="0.2">
      <c r="B3343" s="115"/>
      <c r="D3343" s="116"/>
    </row>
    <row r="3344" spans="2:4" x14ac:dyDescent="0.2">
      <c r="B3344" s="115"/>
      <c r="D3344" s="116"/>
    </row>
    <row r="3345" spans="2:4" x14ac:dyDescent="0.2">
      <c r="B3345" s="115"/>
      <c r="D3345" s="116"/>
    </row>
    <row r="3346" spans="2:4" x14ac:dyDescent="0.2">
      <c r="B3346" s="115"/>
      <c r="D3346" s="116"/>
    </row>
    <row r="3347" spans="2:4" x14ac:dyDescent="0.2">
      <c r="B3347" s="115"/>
      <c r="D3347" s="116"/>
    </row>
    <row r="3348" spans="2:4" x14ac:dyDescent="0.2">
      <c r="B3348" s="115"/>
      <c r="D3348" s="116"/>
    </row>
    <row r="3349" spans="2:4" x14ac:dyDescent="0.2">
      <c r="B3349" s="115"/>
      <c r="D3349" s="116"/>
    </row>
    <row r="3350" spans="2:4" x14ac:dyDescent="0.2">
      <c r="B3350" s="115"/>
      <c r="D3350" s="116"/>
    </row>
    <row r="3351" spans="2:4" x14ac:dyDescent="0.2">
      <c r="B3351" s="115"/>
      <c r="D3351" s="116"/>
    </row>
    <row r="3352" spans="2:4" x14ac:dyDescent="0.2">
      <c r="B3352" s="115"/>
      <c r="D3352" s="116"/>
    </row>
    <row r="3353" spans="2:4" x14ac:dyDescent="0.2">
      <c r="B3353" s="115"/>
      <c r="D3353" s="116"/>
    </row>
    <row r="3354" spans="2:4" x14ac:dyDescent="0.2">
      <c r="B3354" s="115"/>
      <c r="D3354" s="116"/>
    </row>
    <row r="3355" spans="2:4" x14ac:dyDescent="0.2">
      <c r="B3355" s="115"/>
      <c r="D3355" s="116"/>
    </row>
    <row r="3356" spans="2:4" x14ac:dyDescent="0.2">
      <c r="B3356" s="115"/>
      <c r="D3356" s="116"/>
    </row>
    <row r="3357" spans="2:4" x14ac:dyDescent="0.2">
      <c r="B3357" s="115"/>
      <c r="D3357" s="116"/>
    </row>
    <row r="3358" spans="2:4" x14ac:dyDescent="0.2">
      <c r="B3358" s="115"/>
      <c r="D3358" s="116"/>
    </row>
    <row r="3359" spans="2:4" x14ac:dyDescent="0.2">
      <c r="B3359" s="115"/>
      <c r="D3359" s="116"/>
    </row>
    <row r="3360" spans="2:4" x14ac:dyDescent="0.2">
      <c r="B3360" s="115"/>
      <c r="D3360" s="116"/>
    </row>
    <row r="3361" spans="2:4" x14ac:dyDescent="0.2">
      <c r="B3361" s="115"/>
      <c r="D3361" s="116"/>
    </row>
    <row r="3362" spans="2:4" x14ac:dyDescent="0.2">
      <c r="B3362" s="115"/>
      <c r="D3362" s="116"/>
    </row>
    <row r="3363" spans="2:4" x14ac:dyDescent="0.2">
      <c r="B3363" s="115"/>
      <c r="D3363" s="116"/>
    </row>
    <row r="3364" spans="2:4" x14ac:dyDescent="0.2">
      <c r="B3364" s="115"/>
      <c r="D3364" s="116"/>
    </row>
    <row r="3365" spans="2:4" x14ac:dyDescent="0.2">
      <c r="B3365" s="115"/>
      <c r="D3365" s="116"/>
    </row>
    <row r="3366" spans="2:4" x14ac:dyDescent="0.2">
      <c r="B3366" s="115"/>
      <c r="D3366" s="116"/>
    </row>
    <row r="3367" spans="2:4" x14ac:dyDescent="0.2">
      <c r="B3367" s="115"/>
      <c r="D3367" s="116"/>
    </row>
    <row r="3368" spans="2:4" x14ac:dyDescent="0.2">
      <c r="B3368" s="115"/>
      <c r="D3368" s="116"/>
    </row>
    <row r="3369" spans="2:4" x14ac:dyDescent="0.2">
      <c r="B3369" s="115"/>
      <c r="D3369" s="116"/>
    </row>
    <row r="3370" spans="2:4" x14ac:dyDescent="0.2">
      <c r="B3370" s="115"/>
      <c r="D3370" s="116"/>
    </row>
    <row r="3371" spans="2:4" x14ac:dyDescent="0.2">
      <c r="B3371" s="115"/>
      <c r="D3371" s="116"/>
    </row>
    <row r="3372" spans="2:4" x14ac:dyDescent="0.2">
      <c r="B3372" s="115"/>
      <c r="D3372" s="116"/>
    </row>
    <row r="3373" spans="2:4" x14ac:dyDescent="0.2">
      <c r="B3373" s="115"/>
      <c r="D3373" s="116"/>
    </row>
    <row r="3374" spans="2:4" x14ac:dyDescent="0.2">
      <c r="B3374" s="115"/>
      <c r="D3374" s="116"/>
    </row>
    <row r="3375" spans="2:4" x14ac:dyDescent="0.2">
      <c r="B3375" s="115"/>
      <c r="D3375" s="116"/>
    </row>
    <row r="3376" spans="2:4" x14ac:dyDescent="0.2">
      <c r="B3376" s="115"/>
      <c r="D3376" s="116"/>
    </row>
    <row r="3377" spans="2:4" x14ac:dyDescent="0.2">
      <c r="B3377" s="115"/>
      <c r="D3377" s="116"/>
    </row>
    <row r="3378" spans="2:4" x14ac:dyDescent="0.2">
      <c r="B3378" s="115"/>
      <c r="D3378" s="116"/>
    </row>
    <row r="3379" spans="2:4" x14ac:dyDescent="0.2">
      <c r="B3379" s="115"/>
      <c r="D3379" s="116"/>
    </row>
    <row r="3380" spans="2:4" x14ac:dyDescent="0.2">
      <c r="B3380" s="115"/>
      <c r="D3380" s="116"/>
    </row>
    <row r="3381" spans="2:4" x14ac:dyDescent="0.2">
      <c r="B3381" s="115"/>
      <c r="D3381" s="116"/>
    </row>
    <row r="3382" spans="2:4" x14ac:dyDescent="0.2">
      <c r="B3382" s="115"/>
      <c r="D3382" s="116"/>
    </row>
    <row r="3383" spans="2:4" x14ac:dyDescent="0.2">
      <c r="B3383" s="115"/>
      <c r="D3383" s="116"/>
    </row>
    <row r="3384" spans="2:4" x14ac:dyDescent="0.2">
      <c r="B3384" s="115"/>
      <c r="D3384" s="116"/>
    </row>
    <row r="3385" spans="2:4" x14ac:dyDescent="0.2">
      <c r="B3385" s="115"/>
      <c r="D3385" s="116"/>
    </row>
    <row r="3386" spans="2:4" x14ac:dyDescent="0.2">
      <c r="B3386" s="115"/>
      <c r="D3386" s="116"/>
    </row>
    <row r="3387" spans="2:4" x14ac:dyDescent="0.2">
      <c r="B3387" s="115"/>
      <c r="D3387" s="116"/>
    </row>
    <row r="3388" spans="2:4" x14ac:dyDescent="0.2">
      <c r="B3388" s="115"/>
      <c r="D3388" s="116"/>
    </row>
    <row r="3389" spans="2:4" x14ac:dyDescent="0.2">
      <c r="B3389" s="115"/>
      <c r="D3389" s="116"/>
    </row>
    <row r="3390" spans="2:4" x14ac:dyDescent="0.2">
      <c r="B3390" s="115"/>
      <c r="D3390" s="116"/>
    </row>
    <row r="3391" spans="2:4" x14ac:dyDescent="0.2">
      <c r="B3391" s="115"/>
      <c r="D3391" s="116"/>
    </row>
    <row r="3392" spans="2:4" x14ac:dyDescent="0.2">
      <c r="B3392" s="115"/>
      <c r="D3392" s="116"/>
    </row>
    <row r="3393" spans="2:4" x14ac:dyDescent="0.2">
      <c r="B3393" s="115"/>
      <c r="D3393" s="116"/>
    </row>
    <row r="3394" spans="2:4" x14ac:dyDescent="0.2">
      <c r="B3394" s="115"/>
      <c r="D3394" s="116"/>
    </row>
    <row r="3395" spans="2:4" x14ac:dyDescent="0.2">
      <c r="B3395" s="115"/>
      <c r="D3395" s="116"/>
    </row>
    <row r="3396" spans="2:4" x14ac:dyDescent="0.2">
      <c r="B3396" s="115"/>
      <c r="D3396" s="116"/>
    </row>
    <row r="3397" spans="2:4" x14ac:dyDescent="0.2">
      <c r="B3397" s="115"/>
      <c r="D3397" s="116"/>
    </row>
    <row r="3398" spans="2:4" x14ac:dyDescent="0.2">
      <c r="B3398" s="115"/>
      <c r="D3398" s="116"/>
    </row>
    <row r="3399" spans="2:4" x14ac:dyDescent="0.2">
      <c r="B3399" s="115"/>
      <c r="D3399" s="116"/>
    </row>
    <row r="3400" spans="2:4" x14ac:dyDescent="0.2">
      <c r="B3400" s="115"/>
      <c r="D3400" s="116"/>
    </row>
    <row r="3401" spans="2:4" x14ac:dyDescent="0.2">
      <c r="B3401" s="115"/>
      <c r="D3401" s="116"/>
    </row>
    <row r="3402" spans="2:4" x14ac:dyDescent="0.2">
      <c r="B3402" s="115"/>
      <c r="D3402" s="116"/>
    </row>
    <row r="3403" spans="2:4" x14ac:dyDescent="0.2">
      <c r="B3403" s="115"/>
      <c r="D3403" s="116"/>
    </row>
    <row r="3404" spans="2:4" x14ac:dyDescent="0.2">
      <c r="B3404" s="115"/>
      <c r="D3404" s="116"/>
    </row>
    <row r="3405" spans="2:4" x14ac:dyDescent="0.2">
      <c r="B3405" s="115"/>
      <c r="D3405" s="116"/>
    </row>
    <row r="3406" spans="2:4" x14ac:dyDescent="0.2">
      <c r="B3406" s="115"/>
      <c r="D3406" s="116"/>
    </row>
    <row r="3407" spans="2:4" x14ac:dyDescent="0.2">
      <c r="B3407" s="115"/>
      <c r="D3407" s="116"/>
    </row>
    <row r="3408" spans="2:4" x14ac:dyDescent="0.2">
      <c r="B3408" s="115"/>
      <c r="D3408" s="116"/>
    </row>
    <row r="3409" spans="2:4" x14ac:dyDescent="0.2">
      <c r="B3409" s="115"/>
      <c r="D3409" s="116"/>
    </row>
    <row r="3410" spans="2:4" x14ac:dyDescent="0.2">
      <c r="B3410" s="115"/>
      <c r="D3410" s="116"/>
    </row>
    <row r="3411" spans="2:4" x14ac:dyDescent="0.2">
      <c r="B3411" s="115"/>
      <c r="D3411" s="116"/>
    </row>
    <row r="3412" spans="2:4" x14ac:dyDescent="0.2">
      <c r="B3412" s="115"/>
      <c r="D3412" s="116"/>
    </row>
    <row r="3413" spans="2:4" x14ac:dyDescent="0.2">
      <c r="B3413" s="115"/>
      <c r="D3413" s="116"/>
    </row>
    <row r="3414" spans="2:4" x14ac:dyDescent="0.2">
      <c r="B3414" s="115"/>
      <c r="D3414" s="116"/>
    </row>
    <row r="3415" spans="2:4" x14ac:dyDescent="0.2">
      <c r="B3415" s="115"/>
      <c r="D3415" s="116"/>
    </row>
    <row r="3416" spans="2:4" x14ac:dyDescent="0.2">
      <c r="B3416" s="115"/>
      <c r="D3416" s="116"/>
    </row>
    <row r="3417" spans="2:4" x14ac:dyDescent="0.2">
      <c r="B3417" s="115"/>
      <c r="D3417" s="116"/>
    </row>
    <row r="3418" spans="2:4" x14ac:dyDescent="0.2">
      <c r="B3418" s="115"/>
      <c r="D3418" s="116"/>
    </row>
    <row r="3419" spans="2:4" x14ac:dyDescent="0.2">
      <c r="B3419" s="115"/>
      <c r="D3419" s="116"/>
    </row>
    <row r="3420" spans="2:4" x14ac:dyDescent="0.2">
      <c r="B3420" s="115"/>
      <c r="D3420" s="116"/>
    </row>
    <row r="3421" spans="2:4" x14ac:dyDescent="0.2">
      <c r="B3421" s="115"/>
      <c r="D3421" s="116"/>
    </row>
    <row r="3422" spans="2:4" x14ac:dyDescent="0.2">
      <c r="B3422" s="115"/>
      <c r="D3422" s="116"/>
    </row>
    <row r="3423" spans="2:4" x14ac:dyDescent="0.2">
      <c r="B3423" s="115"/>
      <c r="D3423" s="116"/>
    </row>
    <row r="3424" spans="2:4" x14ac:dyDescent="0.2">
      <c r="B3424" s="115"/>
      <c r="D3424" s="116"/>
    </row>
    <row r="3425" spans="2:4" x14ac:dyDescent="0.2">
      <c r="B3425" s="115"/>
      <c r="D3425" s="116"/>
    </row>
    <row r="3426" spans="2:4" x14ac:dyDescent="0.2">
      <c r="B3426" s="115"/>
      <c r="D3426" s="116"/>
    </row>
    <row r="3427" spans="2:4" x14ac:dyDescent="0.2">
      <c r="B3427" s="115"/>
      <c r="D3427" s="116"/>
    </row>
    <row r="3428" spans="2:4" x14ac:dyDescent="0.2">
      <c r="B3428" s="115"/>
      <c r="D3428" s="116"/>
    </row>
    <row r="3429" spans="2:4" x14ac:dyDescent="0.2">
      <c r="B3429" s="115"/>
      <c r="D3429" s="116"/>
    </row>
    <row r="3430" spans="2:4" x14ac:dyDescent="0.2">
      <c r="B3430" s="115"/>
      <c r="D3430" s="116"/>
    </row>
    <row r="3431" spans="2:4" x14ac:dyDescent="0.2">
      <c r="B3431" s="115"/>
      <c r="D3431" s="116"/>
    </row>
    <row r="3432" spans="2:4" x14ac:dyDescent="0.2">
      <c r="B3432" s="115"/>
      <c r="D3432" s="116"/>
    </row>
    <row r="3433" spans="2:4" x14ac:dyDescent="0.2">
      <c r="B3433" s="115"/>
      <c r="D3433" s="116"/>
    </row>
    <row r="3434" spans="2:4" x14ac:dyDescent="0.2">
      <c r="B3434" s="115"/>
      <c r="D3434" s="116"/>
    </row>
    <row r="3435" spans="2:4" x14ac:dyDescent="0.2">
      <c r="B3435" s="115"/>
      <c r="D3435" s="116"/>
    </row>
    <row r="3436" spans="2:4" x14ac:dyDescent="0.2">
      <c r="B3436" s="115"/>
      <c r="D3436" s="116"/>
    </row>
    <row r="3437" spans="2:4" x14ac:dyDescent="0.2">
      <c r="B3437" s="115"/>
      <c r="D3437" s="116"/>
    </row>
    <row r="3438" spans="2:4" x14ac:dyDescent="0.2">
      <c r="B3438" s="115"/>
      <c r="D3438" s="116"/>
    </row>
    <row r="3439" spans="2:4" x14ac:dyDescent="0.2">
      <c r="B3439" s="115"/>
      <c r="D3439" s="116"/>
    </row>
    <row r="3440" spans="2:4" x14ac:dyDescent="0.2">
      <c r="B3440" s="115"/>
      <c r="D3440" s="116"/>
    </row>
    <row r="3441" spans="2:4" x14ac:dyDescent="0.2">
      <c r="B3441" s="115"/>
      <c r="D3441" s="116"/>
    </row>
    <row r="3442" spans="2:4" x14ac:dyDescent="0.2">
      <c r="B3442" s="115"/>
      <c r="D3442" s="116"/>
    </row>
    <row r="3443" spans="2:4" x14ac:dyDescent="0.2">
      <c r="B3443" s="115"/>
      <c r="D3443" s="116"/>
    </row>
    <row r="3444" spans="2:4" x14ac:dyDescent="0.2">
      <c r="B3444" s="115"/>
      <c r="D3444" s="116"/>
    </row>
    <row r="3445" spans="2:4" x14ac:dyDescent="0.2">
      <c r="B3445" s="115"/>
      <c r="D3445" s="116"/>
    </row>
    <row r="3446" spans="2:4" x14ac:dyDescent="0.2">
      <c r="B3446" s="115"/>
      <c r="D3446" s="116"/>
    </row>
    <row r="3447" spans="2:4" x14ac:dyDescent="0.2">
      <c r="B3447" s="115"/>
      <c r="D3447" s="116"/>
    </row>
    <row r="3448" spans="2:4" x14ac:dyDescent="0.2">
      <c r="B3448" s="115"/>
      <c r="D3448" s="116"/>
    </row>
    <row r="3449" spans="2:4" x14ac:dyDescent="0.2">
      <c r="B3449" s="115"/>
      <c r="D3449" s="116"/>
    </row>
    <row r="3450" spans="2:4" x14ac:dyDescent="0.2">
      <c r="B3450" s="115"/>
      <c r="D3450" s="116"/>
    </row>
    <row r="3451" spans="2:4" x14ac:dyDescent="0.2">
      <c r="B3451" s="115"/>
      <c r="D3451" s="116"/>
    </row>
    <row r="3452" spans="2:4" x14ac:dyDescent="0.2">
      <c r="B3452" s="115"/>
      <c r="D3452" s="116"/>
    </row>
    <row r="3453" spans="2:4" x14ac:dyDescent="0.2">
      <c r="B3453" s="115"/>
      <c r="D3453" s="116"/>
    </row>
    <row r="3454" spans="2:4" x14ac:dyDescent="0.2">
      <c r="B3454" s="115"/>
      <c r="D3454" s="116"/>
    </row>
    <row r="3455" spans="2:4" x14ac:dyDescent="0.2">
      <c r="B3455" s="115"/>
      <c r="D3455" s="116"/>
    </row>
    <row r="3456" spans="2:4" x14ac:dyDescent="0.2">
      <c r="B3456" s="115"/>
      <c r="D3456" s="116"/>
    </row>
    <row r="3457" spans="2:4" x14ac:dyDescent="0.2">
      <c r="B3457" s="115"/>
      <c r="D3457" s="116"/>
    </row>
    <row r="3458" spans="2:4" x14ac:dyDescent="0.2">
      <c r="B3458" s="115"/>
      <c r="D3458" s="116"/>
    </row>
    <row r="3459" spans="2:4" x14ac:dyDescent="0.2">
      <c r="B3459" s="115"/>
      <c r="D3459" s="116"/>
    </row>
    <row r="3460" spans="2:4" x14ac:dyDescent="0.2">
      <c r="B3460" s="115"/>
      <c r="D3460" s="116"/>
    </row>
    <row r="3461" spans="2:4" x14ac:dyDescent="0.2">
      <c r="B3461" s="115"/>
      <c r="D3461" s="116"/>
    </row>
    <row r="3462" spans="2:4" x14ac:dyDescent="0.2">
      <c r="B3462" s="115"/>
      <c r="D3462" s="116"/>
    </row>
    <row r="3463" spans="2:4" x14ac:dyDescent="0.2">
      <c r="B3463" s="115"/>
      <c r="D3463" s="116"/>
    </row>
    <row r="3464" spans="2:4" x14ac:dyDescent="0.2">
      <c r="B3464" s="115"/>
      <c r="D3464" s="116"/>
    </row>
    <row r="3465" spans="2:4" x14ac:dyDescent="0.2">
      <c r="B3465" s="115"/>
      <c r="D3465" s="116"/>
    </row>
    <row r="3466" spans="2:4" x14ac:dyDescent="0.2">
      <c r="B3466" s="115"/>
      <c r="D3466" s="116"/>
    </row>
    <row r="3467" spans="2:4" x14ac:dyDescent="0.2">
      <c r="B3467" s="115"/>
      <c r="D3467" s="116"/>
    </row>
    <row r="3468" spans="2:4" x14ac:dyDescent="0.2">
      <c r="B3468" s="115"/>
      <c r="D3468" s="116"/>
    </row>
    <row r="3469" spans="2:4" x14ac:dyDescent="0.2">
      <c r="B3469" s="115"/>
      <c r="D3469" s="116"/>
    </row>
    <row r="3470" spans="2:4" x14ac:dyDescent="0.2">
      <c r="B3470" s="115"/>
      <c r="D3470" s="116"/>
    </row>
    <row r="3471" spans="2:4" x14ac:dyDescent="0.2">
      <c r="B3471" s="115"/>
      <c r="D3471" s="116"/>
    </row>
    <row r="3472" spans="2:4" x14ac:dyDescent="0.2">
      <c r="B3472" s="115"/>
      <c r="D3472" s="116"/>
    </row>
    <row r="3473" spans="2:4" x14ac:dyDescent="0.2">
      <c r="B3473" s="115"/>
      <c r="D3473" s="116"/>
    </row>
    <row r="3474" spans="2:4" x14ac:dyDescent="0.2">
      <c r="B3474" s="115"/>
      <c r="D3474" s="116"/>
    </row>
    <row r="3475" spans="2:4" x14ac:dyDescent="0.2">
      <c r="B3475" s="115"/>
      <c r="D3475" s="116"/>
    </row>
    <row r="3476" spans="2:4" x14ac:dyDescent="0.2">
      <c r="B3476" s="115"/>
      <c r="D3476" s="116"/>
    </row>
    <row r="3477" spans="2:4" x14ac:dyDescent="0.2">
      <c r="B3477" s="115"/>
      <c r="D3477" s="116"/>
    </row>
    <row r="3478" spans="2:4" x14ac:dyDescent="0.2">
      <c r="B3478" s="115"/>
      <c r="D3478" s="116"/>
    </row>
    <row r="3479" spans="2:4" x14ac:dyDescent="0.2">
      <c r="B3479" s="115"/>
      <c r="D3479" s="116"/>
    </row>
    <row r="3480" spans="2:4" x14ac:dyDescent="0.2">
      <c r="B3480" s="115"/>
      <c r="D3480" s="116"/>
    </row>
    <row r="3481" spans="2:4" x14ac:dyDescent="0.2">
      <c r="B3481" s="115"/>
      <c r="D3481" s="116"/>
    </row>
    <row r="3482" spans="2:4" x14ac:dyDescent="0.2">
      <c r="B3482" s="115"/>
      <c r="D3482" s="116"/>
    </row>
    <row r="3483" spans="2:4" x14ac:dyDescent="0.2">
      <c r="B3483" s="115"/>
      <c r="D3483" s="116"/>
    </row>
    <row r="3484" spans="2:4" x14ac:dyDescent="0.2">
      <c r="B3484" s="115"/>
      <c r="D3484" s="116"/>
    </row>
    <row r="3485" spans="2:4" x14ac:dyDescent="0.2">
      <c r="B3485" s="115"/>
      <c r="D3485" s="116"/>
    </row>
    <row r="3486" spans="2:4" x14ac:dyDescent="0.2">
      <c r="B3486" s="115"/>
      <c r="D3486" s="116"/>
    </row>
    <row r="3487" spans="2:4" x14ac:dyDescent="0.2">
      <c r="B3487" s="115"/>
      <c r="D3487" s="116"/>
    </row>
    <row r="3488" spans="2:4" x14ac:dyDescent="0.2">
      <c r="B3488" s="115"/>
      <c r="D3488" s="116"/>
    </row>
    <row r="3489" spans="2:4" x14ac:dyDescent="0.2">
      <c r="B3489" s="115"/>
      <c r="D3489" s="116"/>
    </row>
    <row r="3490" spans="2:4" x14ac:dyDescent="0.2">
      <c r="B3490" s="115"/>
      <c r="D3490" s="116"/>
    </row>
    <row r="3491" spans="2:4" x14ac:dyDescent="0.2">
      <c r="B3491" s="115"/>
      <c r="D3491" s="116"/>
    </row>
    <row r="3492" spans="2:4" x14ac:dyDescent="0.2">
      <c r="B3492" s="115"/>
      <c r="D3492" s="116"/>
    </row>
    <row r="3493" spans="2:4" x14ac:dyDescent="0.2">
      <c r="B3493" s="115"/>
      <c r="D3493" s="116"/>
    </row>
    <row r="3494" spans="2:4" x14ac:dyDescent="0.2">
      <c r="B3494" s="115"/>
      <c r="D3494" s="116"/>
    </row>
    <row r="3495" spans="2:4" x14ac:dyDescent="0.2">
      <c r="B3495" s="115"/>
      <c r="D3495" s="116"/>
    </row>
    <row r="3496" spans="2:4" x14ac:dyDescent="0.2">
      <c r="B3496" s="115"/>
      <c r="D3496" s="116"/>
    </row>
    <row r="3497" spans="2:4" x14ac:dyDescent="0.2">
      <c r="B3497" s="115"/>
      <c r="D3497" s="116"/>
    </row>
    <row r="3498" spans="2:4" x14ac:dyDescent="0.2">
      <c r="B3498" s="115"/>
      <c r="D3498" s="116"/>
    </row>
    <row r="3499" spans="2:4" x14ac:dyDescent="0.2">
      <c r="B3499" s="115"/>
      <c r="D3499" s="116"/>
    </row>
    <row r="3500" spans="2:4" x14ac:dyDescent="0.2">
      <c r="B3500" s="115"/>
      <c r="D3500" s="116"/>
    </row>
    <row r="3501" spans="2:4" x14ac:dyDescent="0.2">
      <c r="B3501" s="115"/>
      <c r="D3501" s="116"/>
    </row>
    <row r="3502" spans="2:4" x14ac:dyDescent="0.2">
      <c r="B3502" s="115"/>
      <c r="D3502" s="116"/>
    </row>
    <row r="3503" spans="2:4" x14ac:dyDescent="0.2">
      <c r="B3503" s="115"/>
      <c r="D3503" s="116"/>
    </row>
    <row r="3504" spans="2:4" x14ac:dyDescent="0.2">
      <c r="B3504" s="115"/>
      <c r="D3504" s="116"/>
    </row>
    <row r="3505" spans="2:4" x14ac:dyDescent="0.2">
      <c r="B3505" s="115"/>
      <c r="D3505" s="116"/>
    </row>
    <row r="3506" spans="2:4" x14ac:dyDescent="0.2">
      <c r="B3506" s="115"/>
      <c r="D3506" s="116"/>
    </row>
    <row r="3507" spans="2:4" x14ac:dyDescent="0.2">
      <c r="B3507" s="115"/>
      <c r="D3507" s="116"/>
    </row>
    <row r="3508" spans="2:4" x14ac:dyDescent="0.2">
      <c r="B3508" s="115"/>
      <c r="D3508" s="116"/>
    </row>
    <row r="3509" spans="2:4" x14ac:dyDescent="0.2">
      <c r="B3509" s="115"/>
      <c r="D3509" s="116"/>
    </row>
    <row r="3510" spans="2:4" x14ac:dyDescent="0.2">
      <c r="B3510" s="115"/>
      <c r="D3510" s="116"/>
    </row>
    <row r="3511" spans="2:4" x14ac:dyDescent="0.2">
      <c r="B3511" s="115"/>
      <c r="D3511" s="116"/>
    </row>
    <row r="3512" spans="2:4" x14ac:dyDescent="0.2">
      <c r="B3512" s="115"/>
      <c r="D3512" s="116"/>
    </row>
    <row r="3513" spans="2:4" x14ac:dyDescent="0.2">
      <c r="B3513" s="115"/>
      <c r="D3513" s="116"/>
    </row>
    <row r="3514" spans="2:4" x14ac:dyDescent="0.2">
      <c r="B3514" s="115"/>
      <c r="D3514" s="116"/>
    </row>
    <row r="3515" spans="2:4" x14ac:dyDescent="0.2">
      <c r="B3515" s="115"/>
      <c r="D3515" s="116"/>
    </row>
    <row r="3516" spans="2:4" x14ac:dyDescent="0.2">
      <c r="B3516" s="115"/>
      <c r="D3516" s="116"/>
    </row>
    <row r="3517" spans="2:4" x14ac:dyDescent="0.2">
      <c r="B3517" s="115"/>
      <c r="D3517" s="116"/>
    </row>
    <row r="3518" spans="2:4" x14ac:dyDescent="0.2">
      <c r="B3518" s="115"/>
      <c r="D3518" s="116"/>
    </row>
    <row r="3519" spans="2:4" x14ac:dyDescent="0.2">
      <c r="B3519" s="115"/>
      <c r="D3519" s="116"/>
    </row>
    <row r="3520" spans="2:4" x14ac:dyDescent="0.2">
      <c r="B3520" s="115"/>
      <c r="D3520" s="116"/>
    </row>
    <row r="3521" spans="2:4" x14ac:dyDescent="0.2">
      <c r="B3521" s="115"/>
      <c r="D3521" s="116"/>
    </row>
    <row r="3522" spans="2:4" x14ac:dyDescent="0.2">
      <c r="B3522" s="115"/>
      <c r="D3522" s="116"/>
    </row>
    <row r="3523" spans="2:4" x14ac:dyDescent="0.2">
      <c r="B3523" s="115"/>
      <c r="D3523" s="116"/>
    </row>
    <row r="3524" spans="2:4" x14ac:dyDescent="0.2">
      <c r="B3524" s="115"/>
      <c r="D3524" s="116"/>
    </row>
    <row r="3525" spans="2:4" x14ac:dyDescent="0.2">
      <c r="B3525" s="115"/>
      <c r="D3525" s="116"/>
    </row>
    <row r="3526" spans="2:4" x14ac:dyDescent="0.2">
      <c r="B3526" s="115"/>
      <c r="D3526" s="116"/>
    </row>
    <row r="3527" spans="2:4" x14ac:dyDescent="0.2">
      <c r="B3527" s="115"/>
      <c r="D3527" s="116"/>
    </row>
    <row r="3528" spans="2:4" x14ac:dyDescent="0.2">
      <c r="B3528" s="115"/>
      <c r="D3528" s="116"/>
    </row>
    <row r="3529" spans="2:4" x14ac:dyDescent="0.2">
      <c r="B3529" s="115"/>
      <c r="D3529" s="116"/>
    </row>
    <row r="3530" spans="2:4" x14ac:dyDescent="0.2">
      <c r="B3530" s="115"/>
      <c r="D3530" s="116"/>
    </row>
    <row r="3531" spans="2:4" x14ac:dyDescent="0.2">
      <c r="B3531" s="115"/>
      <c r="D3531" s="116"/>
    </row>
    <row r="3532" spans="2:4" x14ac:dyDescent="0.2">
      <c r="B3532" s="115"/>
      <c r="D3532" s="116"/>
    </row>
    <row r="3533" spans="2:4" x14ac:dyDescent="0.2">
      <c r="B3533" s="115"/>
      <c r="D3533" s="116"/>
    </row>
    <row r="3534" spans="2:4" x14ac:dyDescent="0.2">
      <c r="B3534" s="115"/>
      <c r="D3534" s="116"/>
    </row>
    <row r="3535" spans="2:4" x14ac:dyDescent="0.2">
      <c r="B3535" s="115"/>
      <c r="D3535" s="116"/>
    </row>
    <row r="3536" spans="2:4" x14ac:dyDescent="0.2">
      <c r="B3536" s="115"/>
      <c r="D3536" s="116"/>
    </row>
    <row r="3537" spans="2:4" x14ac:dyDescent="0.2">
      <c r="B3537" s="115"/>
      <c r="D3537" s="116"/>
    </row>
    <row r="3538" spans="2:4" x14ac:dyDescent="0.2">
      <c r="B3538" s="115"/>
      <c r="D3538" s="116"/>
    </row>
    <row r="3539" spans="2:4" x14ac:dyDescent="0.2">
      <c r="B3539" s="115"/>
      <c r="D3539" s="116"/>
    </row>
    <row r="3540" spans="2:4" x14ac:dyDescent="0.2">
      <c r="B3540" s="115"/>
      <c r="D3540" s="116"/>
    </row>
    <row r="3541" spans="2:4" x14ac:dyDescent="0.2">
      <c r="B3541" s="115"/>
      <c r="D3541" s="116"/>
    </row>
    <row r="3542" spans="2:4" x14ac:dyDescent="0.2">
      <c r="B3542" s="115"/>
      <c r="D3542" s="116"/>
    </row>
    <row r="3543" spans="2:4" x14ac:dyDescent="0.2">
      <c r="B3543" s="115"/>
      <c r="D3543" s="116"/>
    </row>
    <row r="3544" spans="2:4" x14ac:dyDescent="0.2">
      <c r="B3544" s="115"/>
      <c r="D3544" s="116"/>
    </row>
    <row r="3545" spans="2:4" x14ac:dyDescent="0.2">
      <c r="B3545" s="115"/>
      <c r="D3545" s="116"/>
    </row>
    <row r="3546" spans="2:4" x14ac:dyDescent="0.2">
      <c r="B3546" s="115"/>
      <c r="D3546" s="116"/>
    </row>
    <row r="3547" spans="2:4" x14ac:dyDescent="0.2">
      <c r="B3547" s="115"/>
      <c r="D3547" s="116"/>
    </row>
    <row r="3548" spans="2:4" x14ac:dyDescent="0.2">
      <c r="B3548" s="115"/>
      <c r="D3548" s="116"/>
    </row>
    <row r="3549" spans="2:4" x14ac:dyDescent="0.2">
      <c r="B3549" s="115"/>
      <c r="D3549" s="116"/>
    </row>
    <row r="3550" spans="2:4" x14ac:dyDescent="0.2">
      <c r="B3550" s="115"/>
      <c r="D3550" s="116"/>
    </row>
    <row r="3551" spans="2:4" x14ac:dyDescent="0.2">
      <c r="B3551" s="115"/>
      <c r="D3551" s="116"/>
    </row>
    <row r="3552" spans="2:4" x14ac:dyDescent="0.2">
      <c r="B3552" s="115"/>
      <c r="D3552" s="116"/>
    </row>
    <row r="3553" spans="2:4" x14ac:dyDescent="0.2">
      <c r="B3553" s="115"/>
      <c r="D3553" s="116"/>
    </row>
    <row r="3554" spans="2:4" x14ac:dyDescent="0.2">
      <c r="B3554" s="115"/>
      <c r="D3554" s="116"/>
    </row>
    <row r="3555" spans="2:4" x14ac:dyDescent="0.2">
      <c r="B3555" s="115"/>
      <c r="D3555" s="116"/>
    </row>
    <row r="3556" spans="2:4" x14ac:dyDescent="0.2">
      <c r="B3556" s="115"/>
      <c r="D3556" s="116"/>
    </row>
    <row r="3557" spans="2:4" x14ac:dyDescent="0.2">
      <c r="B3557" s="115"/>
      <c r="D3557" s="116"/>
    </row>
    <row r="3558" spans="2:4" x14ac:dyDescent="0.2">
      <c r="B3558" s="115"/>
      <c r="D3558" s="116"/>
    </row>
    <row r="3559" spans="2:4" x14ac:dyDescent="0.2">
      <c r="B3559" s="115"/>
      <c r="D3559" s="116"/>
    </row>
    <row r="3560" spans="2:4" x14ac:dyDescent="0.2">
      <c r="B3560" s="115"/>
      <c r="D3560" s="116"/>
    </row>
    <row r="3561" spans="2:4" x14ac:dyDescent="0.2">
      <c r="B3561" s="115"/>
      <c r="D3561" s="116"/>
    </row>
    <row r="3562" spans="2:4" x14ac:dyDescent="0.2">
      <c r="B3562" s="115"/>
      <c r="D3562" s="116"/>
    </row>
    <row r="3563" spans="2:4" x14ac:dyDescent="0.2">
      <c r="B3563" s="115"/>
      <c r="D3563" s="116"/>
    </row>
    <row r="3564" spans="2:4" x14ac:dyDescent="0.2">
      <c r="B3564" s="115"/>
      <c r="D3564" s="116"/>
    </row>
    <row r="3565" spans="2:4" x14ac:dyDescent="0.2">
      <c r="B3565" s="115"/>
      <c r="D3565" s="116"/>
    </row>
    <row r="3566" spans="2:4" x14ac:dyDescent="0.2">
      <c r="B3566" s="115"/>
      <c r="D3566" s="116"/>
    </row>
    <row r="3567" spans="2:4" x14ac:dyDescent="0.2">
      <c r="B3567" s="115"/>
      <c r="D3567" s="116"/>
    </row>
    <row r="3568" spans="2:4" x14ac:dyDescent="0.2">
      <c r="B3568" s="115"/>
      <c r="D3568" s="116"/>
    </row>
    <row r="3569" spans="2:4" x14ac:dyDescent="0.2">
      <c r="B3569" s="115"/>
      <c r="D3569" s="116"/>
    </row>
    <row r="3570" spans="2:4" x14ac:dyDescent="0.2">
      <c r="B3570" s="115"/>
      <c r="D3570" s="116"/>
    </row>
    <row r="3571" spans="2:4" x14ac:dyDescent="0.2">
      <c r="B3571" s="115"/>
      <c r="D3571" s="116"/>
    </row>
    <row r="3572" spans="2:4" x14ac:dyDescent="0.2">
      <c r="B3572" s="115"/>
      <c r="D3572" s="116"/>
    </row>
    <row r="3573" spans="2:4" x14ac:dyDescent="0.2">
      <c r="B3573" s="115"/>
      <c r="D3573" s="116"/>
    </row>
    <row r="3574" spans="2:4" x14ac:dyDescent="0.2">
      <c r="B3574" s="115"/>
      <c r="D3574" s="116"/>
    </row>
    <row r="3575" spans="2:4" x14ac:dyDescent="0.2">
      <c r="B3575" s="115"/>
      <c r="D3575" s="116"/>
    </row>
    <row r="3576" spans="2:4" x14ac:dyDescent="0.2">
      <c r="B3576" s="115"/>
      <c r="D3576" s="116"/>
    </row>
    <row r="3577" spans="2:4" x14ac:dyDescent="0.2">
      <c r="B3577" s="115"/>
      <c r="D3577" s="116"/>
    </row>
    <row r="3578" spans="2:4" x14ac:dyDescent="0.2">
      <c r="B3578" s="115"/>
      <c r="D3578" s="116"/>
    </row>
    <row r="3579" spans="2:4" x14ac:dyDescent="0.2">
      <c r="B3579" s="115"/>
      <c r="D3579" s="116"/>
    </row>
    <row r="3580" spans="2:4" x14ac:dyDescent="0.2">
      <c r="B3580" s="115"/>
      <c r="D3580" s="116"/>
    </row>
    <row r="3581" spans="2:4" x14ac:dyDescent="0.2">
      <c r="B3581" s="115"/>
      <c r="D3581" s="116"/>
    </row>
    <row r="3582" spans="2:4" x14ac:dyDescent="0.2">
      <c r="B3582" s="115"/>
      <c r="D3582" s="116"/>
    </row>
    <row r="3583" spans="2:4" x14ac:dyDescent="0.2">
      <c r="B3583" s="115"/>
      <c r="D3583" s="116"/>
    </row>
    <row r="3584" spans="2:4" x14ac:dyDescent="0.2">
      <c r="B3584" s="115"/>
      <c r="D3584" s="116"/>
    </row>
    <row r="3585" spans="2:4" x14ac:dyDescent="0.2">
      <c r="B3585" s="115"/>
      <c r="D3585" s="116"/>
    </row>
    <row r="3586" spans="2:4" x14ac:dyDescent="0.2">
      <c r="B3586" s="115"/>
      <c r="D3586" s="116"/>
    </row>
    <row r="3587" spans="2:4" x14ac:dyDescent="0.2">
      <c r="B3587" s="115"/>
      <c r="D3587" s="116"/>
    </row>
    <row r="3588" spans="2:4" x14ac:dyDescent="0.2">
      <c r="B3588" s="115"/>
      <c r="D3588" s="116"/>
    </row>
    <row r="3589" spans="2:4" x14ac:dyDescent="0.2">
      <c r="B3589" s="115"/>
      <c r="D3589" s="116"/>
    </row>
    <row r="3590" spans="2:4" x14ac:dyDescent="0.2">
      <c r="B3590" s="115"/>
      <c r="D3590" s="116"/>
    </row>
    <row r="3591" spans="2:4" x14ac:dyDescent="0.2">
      <c r="B3591" s="115"/>
      <c r="D3591" s="116"/>
    </row>
    <row r="3592" spans="2:4" x14ac:dyDescent="0.2">
      <c r="B3592" s="115"/>
      <c r="D3592" s="116"/>
    </row>
    <row r="3593" spans="2:4" x14ac:dyDescent="0.2">
      <c r="B3593" s="115"/>
      <c r="D3593" s="116"/>
    </row>
    <row r="3594" spans="2:4" x14ac:dyDescent="0.2">
      <c r="B3594" s="115"/>
      <c r="D3594" s="116"/>
    </row>
    <row r="3595" spans="2:4" x14ac:dyDescent="0.2">
      <c r="B3595" s="115"/>
      <c r="D3595" s="116"/>
    </row>
    <row r="3596" spans="2:4" x14ac:dyDescent="0.2">
      <c r="B3596" s="115"/>
      <c r="D3596" s="116"/>
    </row>
    <row r="3597" spans="2:4" x14ac:dyDescent="0.2">
      <c r="B3597" s="115"/>
      <c r="D3597" s="116"/>
    </row>
    <row r="3598" spans="2:4" x14ac:dyDescent="0.2">
      <c r="B3598" s="115"/>
      <c r="D3598" s="116"/>
    </row>
    <row r="3599" spans="2:4" x14ac:dyDescent="0.2">
      <c r="B3599" s="115"/>
      <c r="D3599" s="116"/>
    </row>
    <row r="3600" spans="2:4" x14ac:dyDescent="0.2">
      <c r="B3600" s="115"/>
      <c r="D3600" s="116"/>
    </row>
    <row r="3601" spans="2:4" x14ac:dyDescent="0.2">
      <c r="B3601" s="115"/>
      <c r="D3601" s="116"/>
    </row>
    <row r="3602" spans="2:4" x14ac:dyDescent="0.2">
      <c r="B3602" s="115"/>
      <c r="D3602" s="116"/>
    </row>
    <row r="3603" spans="2:4" x14ac:dyDescent="0.2">
      <c r="B3603" s="115"/>
      <c r="D3603" s="116"/>
    </row>
    <row r="3604" spans="2:4" x14ac:dyDescent="0.2">
      <c r="B3604" s="115"/>
      <c r="D3604" s="116"/>
    </row>
    <row r="3605" spans="2:4" x14ac:dyDescent="0.2">
      <c r="B3605" s="115"/>
      <c r="D3605" s="116"/>
    </row>
    <row r="3606" spans="2:4" x14ac:dyDescent="0.2">
      <c r="B3606" s="115"/>
      <c r="D3606" s="116"/>
    </row>
    <row r="3607" spans="2:4" x14ac:dyDescent="0.2">
      <c r="B3607" s="115"/>
      <c r="D3607" s="116"/>
    </row>
    <row r="3608" spans="2:4" x14ac:dyDescent="0.2">
      <c r="B3608" s="115"/>
      <c r="D3608" s="116"/>
    </row>
    <row r="3609" spans="2:4" x14ac:dyDescent="0.2">
      <c r="B3609" s="115"/>
      <c r="D3609" s="116"/>
    </row>
    <row r="3610" spans="2:4" x14ac:dyDescent="0.2">
      <c r="B3610" s="115"/>
      <c r="D3610" s="116"/>
    </row>
    <row r="3611" spans="2:4" x14ac:dyDescent="0.2">
      <c r="B3611" s="115"/>
      <c r="D3611" s="116"/>
    </row>
    <row r="3612" spans="2:4" x14ac:dyDescent="0.2">
      <c r="B3612" s="115"/>
      <c r="D3612" s="116"/>
    </row>
    <row r="3613" spans="2:4" x14ac:dyDescent="0.2">
      <c r="B3613" s="115"/>
      <c r="D3613" s="116"/>
    </row>
    <row r="3614" spans="2:4" x14ac:dyDescent="0.2">
      <c r="B3614" s="115"/>
      <c r="D3614" s="116"/>
    </row>
    <row r="3615" spans="2:4" x14ac:dyDescent="0.2">
      <c r="B3615" s="115"/>
      <c r="D3615" s="116"/>
    </row>
    <row r="3616" spans="2:4" x14ac:dyDescent="0.2">
      <c r="B3616" s="115"/>
      <c r="D3616" s="116"/>
    </row>
    <row r="3617" spans="2:4" x14ac:dyDescent="0.2">
      <c r="B3617" s="115"/>
      <c r="D3617" s="116"/>
    </row>
    <row r="3618" spans="2:4" x14ac:dyDescent="0.2">
      <c r="B3618" s="115"/>
      <c r="D3618" s="116"/>
    </row>
    <row r="3619" spans="2:4" x14ac:dyDescent="0.2">
      <c r="B3619" s="115"/>
      <c r="D3619" s="116"/>
    </row>
    <row r="3620" spans="2:4" x14ac:dyDescent="0.2">
      <c r="B3620" s="115"/>
      <c r="D3620" s="116"/>
    </row>
    <row r="3621" spans="2:4" x14ac:dyDescent="0.2">
      <c r="B3621" s="115"/>
      <c r="D3621" s="116"/>
    </row>
    <row r="3622" spans="2:4" x14ac:dyDescent="0.2">
      <c r="B3622" s="115"/>
      <c r="D3622" s="116"/>
    </row>
    <row r="3623" spans="2:4" x14ac:dyDescent="0.2">
      <c r="B3623" s="115"/>
      <c r="D3623" s="116"/>
    </row>
    <row r="3624" spans="2:4" x14ac:dyDescent="0.2">
      <c r="B3624" s="115"/>
      <c r="D3624" s="116"/>
    </row>
    <row r="3625" spans="2:4" x14ac:dyDescent="0.2">
      <c r="B3625" s="115"/>
      <c r="D3625" s="116"/>
    </row>
    <row r="3626" spans="2:4" x14ac:dyDescent="0.2">
      <c r="B3626" s="115"/>
      <c r="D3626" s="116"/>
    </row>
    <row r="3627" spans="2:4" x14ac:dyDescent="0.2">
      <c r="B3627" s="115"/>
      <c r="D3627" s="116"/>
    </row>
    <row r="3628" spans="2:4" x14ac:dyDescent="0.2">
      <c r="B3628" s="115"/>
      <c r="D3628" s="116"/>
    </row>
    <row r="3629" spans="2:4" x14ac:dyDescent="0.2">
      <c r="B3629" s="115"/>
      <c r="D3629" s="116"/>
    </row>
    <row r="3630" spans="2:4" x14ac:dyDescent="0.2">
      <c r="B3630" s="115"/>
      <c r="D3630" s="116"/>
    </row>
    <row r="3631" spans="2:4" x14ac:dyDescent="0.2">
      <c r="B3631" s="115"/>
      <c r="D3631" s="116"/>
    </row>
    <row r="3632" spans="2:4" x14ac:dyDescent="0.2">
      <c r="B3632" s="115"/>
      <c r="D3632" s="116"/>
    </row>
    <row r="3633" spans="2:4" x14ac:dyDescent="0.2">
      <c r="B3633" s="115"/>
      <c r="D3633" s="116"/>
    </row>
    <row r="3634" spans="2:4" x14ac:dyDescent="0.2">
      <c r="B3634" s="115"/>
      <c r="D3634" s="116"/>
    </row>
    <row r="3635" spans="2:4" x14ac:dyDescent="0.2">
      <c r="B3635" s="115"/>
      <c r="D3635" s="116"/>
    </row>
    <row r="3636" spans="2:4" x14ac:dyDescent="0.2">
      <c r="B3636" s="115"/>
      <c r="D3636" s="116"/>
    </row>
    <row r="3637" spans="2:4" x14ac:dyDescent="0.2">
      <c r="B3637" s="115"/>
      <c r="D3637" s="116"/>
    </row>
    <row r="3638" spans="2:4" x14ac:dyDescent="0.2">
      <c r="B3638" s="115"/>
      <c r="D3638" s="116"/>
    </row>
    <row r="3639" spans="2:4" x14ac:dyDescent="0.2">
      <c r="B3639" s="115"/>
      <c r="D3639" s="116"/>
    </row>
    <row r="3640" spans="2:4" x14ac:dyDescent="0.2">
      <c r="B3640" s="115"/>
      <c r="D3640" s="116"/>
    </row>
    <row r="3641" spans="2:4" x14ac:dyDescent="0.2">
      <c r="B3641" s="115"/>
      <c r="D3641" s="116"/>
    </row>
    <row r="3642" spans="2:4" x14ac:dyDescent="0.2">
      <c r="B3642" s="115"/>
      <c r="D3642" s="116"/>
    </row>
    <row r="3643" spans="2:4" x14ac:dyDescent="0.2">
      <c r="B3643" s="115"/>
      <c r="D3643" s="116"/>
    </row>
    <row r="3644" spans="2:4" x14ac:dyDescent="0.2">
      <c r="B3644" s="115"/>
      <c r="D3644" s="116"/>
    </row>
    <row r="3645" spans="2:4" x14ac:dyDescent="0.2">
      <c r="B3645" s="115"/>
      <c r="D3645" s="116"/>
    </row>
    <row r="3646" spans="2:4" x14ac:dyDescent="0.2">
      <c r="B3646" s="115"/>
      <c r="D3646" s="116"/>
    </row>
    <row r="3647" spans="2:4" x14ac:dyDescent="0.2">
      <c r="B3647" s="115"/>
      <c r="D3647" s="116"/>
    </row>
    <row r="3648" spans="2:4" x14ac:dyDescent="0.2">
      <c r="B3648" s="115"/>
      <c r="D3648" s="116"/>
    </row>
    <row r="3649" spans="2:4" x14ac:dyDescent="0.2">
      <c r="B3649" s="115"/>
      <c r="D3649" s="116"/>
    </row>
    <row r="3650" spans="2:4" x14ac:dyDescent="0.2">
      <c r="B3650" s="115"/>
      <c r="D3650" s="116"/>
    </row>
    <row r="3651" spans="2:4" x14ac:dyDescent="0.2">
      <c r="B3651" s="115"/>
      <c r="D3651" s="116"/>
    </row>
    <row r="3652" spans="2:4" x14ac:dyDescent="0.2">
      <c r="B3652" s="115"/>
      <c r="D3652" s="116"/>
    </row>
    <row r="3653" spans="2:4" x14ac:dyDescent="0.2">
      <c r="B3653" s="115"/>
      <c r="D3653" s="116"/>
    </row>
    <row r="3654" spans="2:4" x14ac:dyDescent="0.2">
      <c r="B3654" s="115"/>
      <c r="D3654" s="116"/>
    </row>
    <row r="3655" spans="2:4" x14ac:dyDescent="0.2">
      <c r="B3655" s="115"/>
      <c r="D3655" s="116"/>
    </row>
    <row r="3656" spans="2:4" x14ac:dyDescent="0.2">
      <c r="B3656" s="115"/>
      <c r="D3656" s="116"/>
    </row>
    <row r="3657" spans="2:4" x14ac:dyDescent="0.2">
      <c r="B3657" s="115"/>
      <c r="D3657" s="116"/>
    </row>
    <row r="3658" spans="2:4" x14ac:dyDescent="0.2">
      <c r="B3658" s="115"/>
      <c r="D3658" s="116"/>
    </row>
    <row r="3659" spans="2:4" x14ac:dyDescent="0.2">
      <c r="B3659" s="115"/>
      <c r="D3659" s="116"/>
    </row>
    <row r="3660" spans="2:4" x14ac:dyDescent="0.2">
      <c r="B3660" s="115"/>
      <c r="D3660" s="116"/>
    </row>
    <row r="3661" spans="2:4" x14ac:dyDescent="0.2">
      <c r="B3661" s="115"/>
      <c r="D3661" s="116"/>
    </row>
    <row r="3662" spans="2:4" x14ac:dyDescent="0.2">
      <c r="B3662" s="115"/>
      <c r="D3662" s="116"/>
    </row>
    <row r="3663" spans="2:4" x14ac:dyDescent="0.2">
      <c r="B3663" s="115"/>
      <c r="D3663" s="116"/>
    </row>
    <row r="3664" spans="2:4" x14ac:dyDescent="0.2">
      <c r="B3664" s="115"/>
      <c r="D3664" s="116"/>
    </row>
    <row r="3665" spans="2:4" x14ac:dyDescent="0.2">
      <c r="B3665" s="115"/>
      <c r="D3665" s="116"/>
    </row>
    <row r="3666" spans="2:4" x14ac:dyDescent="0.2">
      <c r="B3666" s="115"/>
      <c r="D3666" s="116"/>
    </row>
    <row r="3667" spans="2:4" x14ac:dyDescent="0.2">
      <c r="B3667" s="115"/>
      <c r="D3667" s="116"/>
    </row>
    <row r="3668" spans="2:4" x14ac:dyDescent="0.2">
      <c r="B3668" s="115"/>
      <c r="D3668" s="116"/>
    </row>
    <row r="3669" spans="2:4" x14ac:dyDescent="0.2">
      <c r="B3669" s="115"/>
      <c r="D3669" s="116"/>
    </row>
    <row r="3670" spans="2:4" x14ac:dyDescent="0.2">
      <c r="B3670" s="115"/>
      <c r="D3670" s="116"/>
    </row>
    <row r="3671" spans="2:4" x14ac:dyDescent="0.2">
      <c r="B3671" s="115"/>
      <c r="D3671" s="116"/>
    </row>
    <row r="3672" spans="2:4" x14ac:dyDescent="0.2">
      <c r="B3672" s="115"/>
      <c r="D3672" s="116"/>
    </row>
    <row r="3673" spans="2:4" x14ac:dyDescent="0.2">
      <c r="B3673" s="115"/>
      <c r="D3673" s="116"/>
    </row>
    <row r="3674" spans="2:4" x14ac:dyDescent="0.2">
      <c r="B3674" s="115"/>
      <c r="D3674" s="116"/>
    </row>
    <row r="3675" spans="2:4" x14ac:dyDescent="0.2">
      <c r="B3675" s="115"/>
      <c r="D3675" s="116"/>
    </row>
    <row r="3676" spans="2:4" x14ac:dyDescent="0.2">
      <c r="B3676" s="115"/>
      <c r="D3676" s="116"/>
    </row>
    <row r="3677" spans="2:4" x14ac:dyDescent="0.2">
      <c r="B3677" s="115"/>
      <c r="D3677" s="116"/>
    </row>
    <row r="3678" spans="2:4" x14ac:dyDescent="0.2">
      <c r="B3678" s="115"/>
      <c r="D3678" s="116"/>
    </row>
    <row r="3679" spans="2:4" x14ac:dyDescent="0.2">
      <c r="B3679" s="115"/>
      <c r="D3679" s="116"/>
    </row>
    <row r="3680" spans="2:4" x14ac:dyDescent="0.2">
      <c r="B3680" s="115"/>
      <c r="D3680" s="116"/>
    </row>
    <row r="3681" spans="2:4" x14ac:dyDescent="0.2">
      <c r="B3681" s="115"/>
      <c r="D3681" s="116"/>
    </row>
    <row r="3682" spans="2:4" x14ac:dyDescent="0.2">
      <c r="B3682" s="115"/>
      <c r="D3682" s="116"/>
    </row>
    <row r="3683" spans="2:4" x14ac:dyDescent="0.2">
      <c r="B3683" s="115"/>
      <c r="D3683" s="116"/>
    </row>
    <row r="3684" spans="2:4" x14ac:dyDescent="0.2">
      <c r="B3684" s="115"/>
      <c r="D3684" s="116"/>
    </row>
    <row r="3685" spans="2:4" x14ac:dyDescent="0.2">
      <c r="B3685" s="115"/>
      <c r="D3685" s="116"/>
    </row>
    <row r="3686" spans="2:4" x14ac:dyDescent="0.2">
      <c r="B3686" s="115"/>
      <c r="D3686" s="116"/>
    </row>
    <row r="3687" spans="2:4" x14ac:dyDescent="0.2">
      <c r="B3687" s="115"/>
      <c r="D3687" s="116"/>
    </row>
    <row r="3688" spans="2:4" x14ac:dyDescent="0.2">
      <c r="B3688" s="115"/>
      <c r="D3688" s="116"/>
    </row>
    <row r="3689" spans="2:4" x14ac:dyDescent="0.2">
      <c r="B3689" s="115"/>
      <c r="D3689" s="116"/>
    </row>
    <row r="3690" spans="2:4" x14ac:dyDescent="0.2">
      <c r="B3690" s="115"/>
      <c r="D3690" s="116"/>
    </row>
    <row r="3691" spans="2:4" x14ac:dyDescent="0.2">
      <c r="B3691" s="115"/>
      <c r="D3691" s="116"/>
    </row>
    <row r="3692" spans="2:4" x14ac:dyDescent="0.2">
      <c r="B3692" s="115"/>
      <c r="D3692" s="116"/>
    </row>
    <row r="3693" spans="2:4" x14ac:dyDescent="0.2">
      <c r="B3693" s="115"/>
      <c r="D3693" s="116"/>
    </row>
    <row r="3694" spans="2:4" x14ac:dyDescent="0.2">
      <c r="B3694" s="115"/>
      <c r="D3694" s="116"/>
    </row>
    <row r="3695" spans="2:4" x14ac:dyDescent="0.2">
      <c r="B3695" s="115"/>
      <c r="D3695" s="116"/>
    </row>
    <row r="3696" spans="2:4" x14ac:dyDescent="0.2">
      <c r="B3696" s="115"/>
      <c r="D3696" s="116"/>
    </row>
    <row r="3697" spans="2:4" x14ac:dyDescent="0.2">
      <c r="B3697" s="115"/>
      <c r="D3697" s="116"/>
    </row>
    <row r="3698" spans="2:4" x14ac:dyDescent="0.2">
      <c r="B3698" s="115"/>
      <c r="D3698" s="116"/>
    </row>
    <row r="3699" spans="2:4" x14ac:dyDescent="0.2">
      <c r="B3699" s="115"/>
      <c r="D3699" s="116"/>
    </row>
    <row r="3700" spans="2:4" x14ac:dyDescent="0.2">
      <c r="B3700" s="115"/>
      <c r="D3700" s="116"/>
    </row>
    <row r="3701" spans="2:4" x14ac:dyDescent="0.2">
      <c r="B3701" s="115"/>
      <c r="D3701" s="116"/>
    </row>
    <row r="3702" spans="2:4" x14ac:dyDescent="0.2">
      <c r="B3702" s="115"/>
      <c r="D3702" s="116"/>
    </row>
    <row r="3703" spans="2:4" x14ac:dyDescent="0.2">
      <c r="B3703" s="115"/>
      <c r="D3703" s="116"/>
    </row>
    <row r="3704" spans="2:4" x14ac:dyDescent="0.2">
      <c r="B3704" s="115"/>
      <c r="D3704" s="116"/>
    </row>
    <row r="3705" spans="2:4" x14ac:dyDescent="0.2">
      <c r="B3705" s="115"/>
      <c r="D3705" s="116"/>
    </row>
    <row r="3706" spans="2:4" x14ac:dyDescent="0.2">
      <c r="B3706" s="115"/>
      <c r="D3706" s="116"/>
    </row>
    <row r="3707" spans="2:4" x14ac:dyDescent="0.2">
      <c r="B3707" s="115"/>
      <c r="D3707" s="116"/>
    </row>
    <row r="3708" spans="2:4" x14ac:dyDescent="0.2">
      <c r="B3708" s="115"/>
      <c r="D3708" s="116"/>
    </row>
    <row r="3709" spans="2:4" x14ac:dyDescent="0.2">
      <c r="B3709" s="115"/>
      <c r="D3709" s="116"/>
    </row>
    <row r="3710" spans="2:4" x14ac:dyDescent="0.2">
      <c r="B3710" s="115"/>
      <c r="D3710" s="116"/>
    </row>
    <row r="3711" spans="2:4" x14ac:dyDescent="0.2">
      <c r="B3711" s="115"/>
      <c r="D3711" s="116"/>
    </row>
    <row r="3712" spans="2:4" x14ac:dyDescent="0.2">
      <c r="B3712" s="115"/>
      <c r="D3712" s="116"/>
    </row>
    <row r="3713" spans="2:4" x14ac:dyDescent="0.2">
      <c r="B3713" s="115"/>
      <c r="D3713" s="116"/>
    </row>
    <row r="3714" spans="2:4" x14ac:dyDescent="0.2">
      <c r="B3714" s="115"/>
      <c r="D3714" s="116"/>
    </row>
    <row r="3715" spans="2:4" x14ac:dyDescent="0.2">
      <c r="B3715" s="115"/>
      <c r="D3715" s="116"/>
    </row>
    <row r="3716" spans="2:4" x14ac:dyDescent="0.2">
      <c r="B3716" s="115"/>
      <c r="D3716" s="116"/>
    </row>
    <row r="3717" spans="2:4" x14ac:dyDescent="0.2">
      <c r="B3717" s="115"/>
      <c r="D3717" s="116"/>
    </row>
    <row r="3718" spans="2:4" x14ac:dyDescent="0.2">
      <c r="B3718" s="115"/>
      <c r="D3718" s="116"/>
    </row>
    <row r="3719" spans="2:4" x14ac:dyDescent="0.2">
      <c r="B3719" s="115"/>
      <c r="D3719" s="116"/>
    </row>
    <row r="3720" spans="2:4" x14ac:dyDescent="0.2">
      <c r="B3720" s="115"/>
      <c r="D3720" s="116"/>
    </row>
    <row r="3721" spans="2:4" x14ac:dyDescent="0.2">
      <c r="B3721" s="115"/>
      <c r="D3721" s="116"/>
    </row>
    <row r="3722" spans="2:4" x14ac:dyDescent="0.2">
      <c r="B3722" s="115"/>
      <c r="D3722" s="116"/>
    </row>
    <row r="3723" spans="2:4" x14ac:dyDescent="0.2">
      <c r="B3723" s="115"/>
      <c r="D3723" s="116"/>
    </row>
    <row r="3724" spans="2:4" x14ac:dyDescent="0.2">
      <c r="B3724" s="115"/>
      <c r="D3724" s="116"/>
    </row>
    <row r="3725" spans="2:4" x14ac:dyDescent="0.2">
      <c r="B3725" s="115"/>
      <c r="D3725" s="116"/>
    </row>
    <row r="3726" spans="2:4" x14ac:dyDescent="0.2">
      <c r="B3726" s="115"/>
      <c r="D3726" s="116"/>
    </row>
    <row r="3727" spans="2:4" x14ac:dyDescent="0.2">
      <c r="B3727" s="115"/>
      <c r="D3727" s="116"/>
    </row>
    <row r="3728" spans="2:4" x14ac:dyDescent="0.2">
      <c r="B3728" s="115"/>
      <c r="D3728" s="116"/>
    </row>
    <row r="3729" spans="2:4" x14ac:dyDescent="0.2">
      <c r="B3729" s="115"/>
      <c r="D3729" s="116"/>
    </row>
    <row r="3730" spans="2:4" x14ac:dyDescent="0.2">
      <c r="B3730" s="115"/>
      <c r="D3730" s="116"/>
    </row>
    <row r="3731" spans="2:4" x14ac:dyDescent="0.2">
      <c r="B3731" s="115"/>
      <c r="D3731" s="116"/>
    </row>
    <row r="3732" spans="2:4" x14ac:dyDescent="0.2">
      <c r="B3732" s="115"/>
      <c r="D3732" s="116"/>
    </row>
    <row r="3733" spans="2:4" x14ac:dyDescent="0.2">
      <c r="B3733" s="115"/>
      <c r="D3733" s="116"/>
    </row>
    <row r="3734" spans="2:4" x14ac:dyDescent="0.2">
      <c r="B3734" s="115"/>
      <c r="D3734" s="116"/>
    </row>
    <row r="3735" spans="2:4" x14ac:dyDescent="0.2">
      <c r="B3735" s="115"/>
      <c r="D3735" s="116"/>
    </row>
    <row r="3736" spans="2:4" x14ac:dyDescent="0.2">
      <c r="B3736" s="115"/>
      <c r="D3736" s="116"/>
    </row>
    <row r="3737" spans="2:4" x14ac:dyDescent="0.2">
      <c r="B3737" s="115"/>
      <c r="D3737" s="116"/>
    </row>
    <row r="3738" spans="2:4" x14ac:dyDescent="0.2">
      <c r="B3738" s="115"/>
      <c r="D3738" s="116"/>
    </row>
    <row r="3739" spans="2:4" x14ac:dyDescent="0.2">
      <c r="B3739" s="115"/>
      <c r="D3739" s="116"/>
    </row>
    <row r="3740" spans="2:4" x14ac:dyDescent="0.2">
      <c r="B3740" s="115"/>
      <c r="D3740" s="116"/>
    </row>
    <row r="3741" spans="2:4" x14ac:dyDescent="0.2">
      <c r="B3741" s="115"/>
      <c r="D3741" s="116"/>
    </row>
    <row r="3742" spans="2:4" x14ac:dyDescent="0.2">
      <c r="B3742" s="115"/>
      <c r="D3742" s="116"/>
    </row>
    <row r="3743" spans="2:4" x14ac:dyDescent="0.2">
      <c r="B3743" s="115"/>
      <c r="D3743" s="116"/>
    </row>
    <row r="3744" spans="2:4" x14ac:dyDescent="0.2">
      <c r="B3744" s="115"/>
      <c r="D3744" s="116"/>
    </row>
    <row r="3745" spans="2:4" x14ac:dyDescent="0.2">
      <c r="B3745" s="115"/>
      <c r="D3745" s="116"/>
    </row>
    <row r="3746" spans="2:4" x14ac:dyDescent="0.2">
      <c r="B3746" s="115"/>
      <c r="D3746" s="116"/>
    </row>
    <row r="3747" spans="2:4" x14ac:dyDescent="0.2">
      <c r="B3747" s="115"/>
      <c r="D3747" s="116"/>
    </row>
    <row r="3748" spans="2:4" x14ac:dyDescent="0.2">
      <c r="B3748" s="115"/>
      <c r="D3748" s="116"/>
    </row>
    <row r="3749" spans="2:4" x14ac:dyDescent="0.2">
      <c r="B3749" s="115"/>
      <c r="D3749" s="116"/>
    </row>
    <row r="3750" spans="2:4" x14ac:dyDescent="0.2">
      <c r="B3750" s="115"/>
      <c r="D3750" s="116"/>
    </row>
    <row r="3751" spans="2:4" x14ac:dyDescent="0.2">
      <c r="B3751" s="115"/>
      <c r="D3751" s="116"/>
    </row>
    <row r="3752" spans="2:4" x14ac:dyDescent="0.2">
      <c r="B3752" s="115"/>
      <c r="D3752" s="116"/>
    </row>
    <row r="3753" spans="2:4" x14ac:dyDescent="0.2">
      <c r="B3753" s="115"/>
      <c r="D3753" s="116"/>
    </row>
    <row r="3754" spans="2:4" x14ac:dyDescent="0.2">
      <c r="B3754" s="115"/>
      <c r="D3754" s="116"/>
    </row>
    <row r="3755" spans="2:4" x14ac:dyDescent="0.2">
      <c r="B3755" s="115"/>
      <c r="D3755" s="116"/>
    </row>
    <row r="3756" spans="2:4" x14ac:dyDescent="0.2">
      <c r="B3756" s="115"/>
      <c r="D3756" s="116"/>
    </row>
    <row r="3757" spans="2:4" x14ac:dyDescent="0.2">
      <c r="B3757" s="115"/>
      <c r="D3757" s="116"/>
    </row>
    <row r="3758" spans="2:4" x14ac:dyDescent="0.2">
      <c r="B3758" s="115"/>
      <c r="D3758" s="116"/>
    </row>
    <row r="3759" spans="2:4" x14ac:dyDescent="0.2">
      <c r="B3759" s="115"/>
      <c r="D3759" s="116"/>
    </row>
    <row r="3760" spans="2:4" x14ac:dyDescent="0.2">
      <c r="B3760" s="115"/>
      <c r="D3760" s="116"/>
    </row>
    <row r="3761" spans="2:4" x14ac:dyDescent="0.2">
      <c r="B3761" s="115"/>
      <c r="D3761" s="116"/>
    </row>
    <row r="3762" spans="2:4" x14ac:dyDescent="0.2">
      <c r="B3762" s="115"/>
      <c r="D3762" s="116"/>
    </row>
    <row r="3763" spans="2:4" x14ac:dyDescent="0.2">
      <c r="B3763" s="115"/>
      <c r="D3763" s="116"/>
    </row>
    <row r="3764" spans="2:4" x14ac:dyDescent="0.2">
      <c r="B3764" s="115"/>
      <c r="D3764" s="116"/>
    </row>
    <row r="3765" spans="2:4" x14ac:dyDescent="0.2">
      <c r="B3765" s="115"/>
      <c r="D3765" s="116"/>
    </row>
    <row r="3766" spans="2:4" x14ac:dyDescent="0.2">
      <c r="B3766" s="115"/>
      <c r="D3766" s="116"/>
    </row>
    <row r="3767" spans="2:4" x14ac:dyDescent="0.2">
      <c r="B3767" s="115"/>
      <c r="D3767" s="116"/>
    </row>
    <row r="3768" spans="2:4" x14ac:dyDescent="0.2">
      <c r="B3768" s="115"/>
      <c r="D3768" s="116"/>
    </row>
    <row r="3769" spans="2:4" x14ac:dyDescent="0.2">
      <c r="B3769" s="115"/>
      <c r="D3769" s="116"/>
    </row>
    <row r="3770" spans="2:4" x14ac:dyDescent="0.2">
      <c r="B3770" s="115"/>
      <c r="D3770" s="116"/>
    </row>
    <row r="3771" spans="2:4" x14ac:dyDescent="0.2">
      <c r="B3771" s="115"/>
      <c r="D3771" s="116"/>
    </row>
    <row r="3772" spans="2:4" x14ac:dyDescent="0.2">
      <c r="B3772" s="115"/>
      <c r="D3772" s="116"/>
    </row>
    <row r="3773" spans="2:4" x14ac:dyDescent="0.2">
      <c r="B3773" s="115"/>
      <c r="D3773" s="116"/>
    </row>
    <row r="3774" spans="2:4" x14ac:dyDescent="0.2">
      <c r="B3774" s="115"/>
      <c r="D3774" s="116"/>
    </row>
    <row r="3775" spans="2:4" x14ac:dyDescent="0.2">
      <c r="B3775" s="115"/>
      <c r="D3775" s="116"/>
    </row>
    <row r="3776" spans="2:4" x14ac:dyDescent="0.2">
      <c r="B3776" s="115"/>
      <c r="D3776" s="116"/>
    </row>
    <row r="3777" spans="2:4" x14ac:dyDescent="0.2">
      <c r="B3777" s="115"/>
      <c r="D3777" s="116"/>
    </row>
    <row r="3778" spans="2:4" x14ac:dyDescent="0.2">
      <c r="B3778" s="115"/>
      <c r="D3778" s="116"/>
    </row>
    <row r="3779" spans="2:4" x14ac:dyDescent="0.2">
      <c r="B3779" s="115"/>
      <c r="D3779" s="116"/>
    </row>
    <row r="3780" spans="2:4" x14ac:dyDescent="0.2">
      <c r="B3780" s="115"/>
      <c r="D3780" s="116"/>
    </row>
    <row r="3781" spans="2:4" x14ac:dyDescent="0.2">
      <c r="B3781" s="115"/>
      <c r="D3781" s="116"/>
    </row>
    <row r="3782" spans="2:4" x14ac:dyDescent="0.2">
      <c r="B3782" s="115"/>
      <c r="D3782" s="116"/>
    </row>
    <row r="3783" spans="2:4" x14ac:dyDescent="0.2">
      <c r="B3783" s="115"/>
      <c r="D3783" s="116"/>
    </row>
    <row r="3784" spans="2:4" x14ac:dyDescent="0.2">
      <c r="B3784" s="115"/>
      <c r="D3784" s="116"/>
    </row>
    <row r="3785" spans="2:4" x14ac:dyDescent="0.2">
      <c r="B3785" s="115"/>
      <c r="D3785" s="116"/>
    </row>
    <row r="3786" spans="2:4" x14ac:dyDescent="0.2">
      <c r="B3786" s="115"/>
      <c r="D3786" s="116"/>
    </row>
    <row r="3787" spans="2:4" x14ac:dyDescent="0.2">
      <c r="B3787" s="115"/>
      <c r="D3787" s="116"/>
    </row>
    <row r="3788" spans="2:4" x14ac:dyDescent="0.2">
      <c r="B3788" s="115"/>
      <c r="D3788" s="116"/>
    </row>
    <row r="3789" spans="2:4" x14ac:dyDescent="0.2">
      <c r="B3789" s="115"/>
      <c r="D3789" s="116"/>
    </row>
    <row r="3790" spans="2:4" x14ac:dyDescent="0.2">
      <c r="B3790" s="115"/>
      <c r="D3790" s="116"/>
    </row>
    <row r="3791" spans="2:4" x14ac:dyDescent="0.2">
      <c r="B3791" s="115"/>
      <c r="D3791" s="116"/>
    </row>
    <row r="3792" spans="2:4" x14ac:dyDescent="0.2">
      <c r="B3792" s="115"/>
      <c r="D3792" s="116"/>
    </row>
    <row r="3793" spans="2:4" x14ac:dyDescent="0.2">
      <c r="B3793" s="115"/>
      <c r="D3793" s="116"/>
    </row>
    <row r="3794" spans="2:4" x14ac:dyDescent="0.2">
      <c r="B3794" s="115"/>
      <c r="D3794" s="116"/>
    </row>
    <row r="3795" spans="2:4" x14ac:dyDescent="0.2">
      <c r="B3795" s="115"/>
      <c r="D3795" s="116"/>
    </row>
    <row r="3796" spans="2:4" x14ac:dyDescent="0.2">
      <c r="B3796" s="115"/>
      <c r="D3796" s="116"/>
    </row>
    <row r="3797" spans="2:4" x14ac:dyDescent="0.2">
      <c r="B3797" s="115"/>
      <c r="D3797" s="116"/>
    </row>
    <row r="3798" spans="2:4" x14ac:dyDescent="0.2">
      <c r="B3798" s="115"/>
      <c r="D3798" s="116"/>
    </row>
    <row r="3799" spans="2:4" x14ac:dyDescent="0.2">
      <c r="B3799" s="115"/>
      <c r="D3799" s="116"/>
    </row>
    <row r="3800" spans="2:4" x14ac:dyDescent="0.2">
      <c r="B3800" s="115"/>
      <c r="D3800" s="116"/>
    </row>
    <row r="3801" spans="2:4" x14ac:dyDescent="0.2">
      <c r="B3801" s="115"/>
      <c r="D3801" s="116"/>
    </row>
    <row r="3802" spans="2:4" x14ac:dyDescent="0.2">
      <c r="B3802" s="115"/>
      <c r="D3802" s="116"/>
    </row>
    <row r="3803" spans="2:4" x14ac:dyDescent="0.2">
      <c r="B3803" s="115"/>
      <c r="D3803" s="116"/>
    </row>
    <row r="3804" spans="2:4" x14ac:dyDescent="0.2">
      <c r="B3804" s="115"/>
      <c r="D3804" s="116"/>
    </row>
    <row r="3805" spans="2:4" x14ac:dyDescent="0.2">
      <c r="B3805" s="115"/>
      <c r="D3805" s="116"/>
    </row>
    <row r="3806" spans="2:4" x14ac:dyDescent="0.2">
      <c r="B3806" s="115"/>
      <c r="D3806" s="116"/>
    </row>
    <row r="3807" spans="2:4" x14ac:dyDescent="0.2">
      <c r="B3807" s="115"/>
      <c r="D3807" s="116"/>
    </row>
    <row r="3808" spans="2:4" x14ac:dyDescent="0.2">
      <c r="B3808" s="115"/>
      <c r="D3808" s="116"/>
    </row>
    <row r="3809" spans="2:4" x14ac:dyDescent="0.2">
      <c r="B3809" s="115"/>
      <c r="D3809" s="116"/>
    </row>
    <row r="3810" spans="2:4" x14ac:dyDescent="0.2">
      <c r="B3810" s="115"/>
      <c r="D3810" s="116"/>
    </row>
    <row r="3811" spans="2:4" x14ac:dyDescent="0.2">
      <c r="B3811" s="115"/>
      <c r="D3811" s="116"/>
    </row>
    <row r="3812" spans="2:4" x14ac:dyDescent="0.2">
      <c r="B3812" s="115"/>
      <c r="D3812" s="116"/>
    </row>
    <row r="3813" spans="2:4" x14ac:dyDescent="0.2">
      <c r="B3813" s="115"/>
      <c r="D3813" s="116"/>
    </row>
    <row r="3814" spans="2:4" x14ac:dyDescent="0.2">
      <c r="B3814" s="115"/>
      <c r="D3814" s="116"/>
    </row>
    <row r="3815" spans="2:4" x14ac:dyDescent="0.2">
      <c r="B3815" s="115"/>
      <c r="D3815" s="116"/>
    </row>
    <row r="3816" spans="2:4" x14ac:dyDescent="0.2">
      <c r="B3816" s="115"/>
      <c r="D3816" s="116"/>
    </row>
    <row r="3817" spans="2:4" x14ac:dyDescent="0.2">
      <c r="B3817" s="115"/>
      <c r="D3817" s="116"/>
    </row>
    <row r="3818" spans="2:4" x14ac:dyDescent="0.2">
      <c r="B3818" s="115"/>
      <c r="D3818" s="116"/>
    </row>
    <row r="3819" spans="2:4" x14ac:dyDescent="0.2">
      <c r="B3819" s="115"/>
      <c r="D3819" s="116"/>
    </row>
    <row r="3820" spans="2:4" x14ac:dyDescent="0.2">
      <c r="B3820" s="115"/>
      <c r="D3820" s="116"/>
    </row>
    <row r="3821" spans="2:4" x14ac:dyDescent="0.2">
      <c r="B3821" s="115"/>
      <c r="D3821" s="116"/>
    </row>
    <row r="3822" spans="2:4" x14ac:dyDescent="0.2">
      <c r="B3822" s="115"/>
      <c r="D3822" s="116"/>
    </row>
    <row r="3823" spans="2:4" x14ac:dyDescent="0.2">
      <c r="B3823" s="115"/>
      <c r="D3823" s="116"/>
    </row>
    <row r="3824" spans="2:4" x14ac:dyDescent="0.2">
      <c r="B3824" s="115"/>
      <c r="D3824" s="116"/>
    </row>
    <row r="3825" spans="2:4" x14ac:dyDescent="0.2">
      <c r="B3825" s="115"/>
      <c r="D3825" s="116"/>
    </row>
    <row r="3826" spans="2:4" x14ac:dyDescent="0.2">
      <c r="B3826" s="115"/>
      <c r="D3826" s="116"/>
    </row>
    <row r="3827" spans="2:4" x14ac:dyDescent="0.2">
      <c r="B3827" s="115"/>
      <c r="D3827" s="116"/>
    </row>
    <row r="3828" spans="2:4" x14ac:dyDescent="0.2">
      <c r="B3828" s="115"/>
      <c r="D3828" s="116"/>
    </row>
    <row r="3829" spans="2:4" x14ac:dyDescent="0.2">
      <c r="B3829" s="115"/>
      <c r="D3829" s="116"/>
    </row>
    <row r="3830" spans="2:4" x14ac:dyDescent="0.2">
      <c r="B3830" s="115"/>
      <c r="D3830" s="116"/>
    </row>
    <row r="3831" spans="2:4" x14ac:dyDescent="0.2">
      <c r="B3831" s="115"/>
      <c r="D3831" s="116"/>
    </row>
    <row r="3832" spans="2:4" x14ac:dyDescent="0.2">
      <c r="B3832" s="115"/>
      <c r="D3832" s="116"/>
    </row>
    <row r="3833" spans="2:4" x14ac:dyDescent="0.2">
      <c r="B3833" s="115"/>
      <c r="D3833" s="116"/>
    </row>
    <row r="3834" spans="2:4" x14ac:dyDescent="0.2">
      <c r="B3834" s="115"/>
      <c r="D3834" s="116"/>
    </row>
    <row r="3835" spans="2:4" x14ac:dyDescent="0.2">
      <c r="B3835" s="115"/>
      <c r="D3835" s="116"/>
    </row>
    <row r="3836" spans="2:4" x14ac:dyDescent="0.2">
      <c r="B3836" s="115"/>
      <c r="D3836" s="116"/>
    </row>
    <row r="3837" spans="2:4" x14ac:dyDescent="0.2">
      <c r="B3837" s="115"/>
      <c r="D3837" s="116"/>
    </row>
    <row r="3838" spans="2:4" x14ac:dyDescent="0.2">
      <c r="B3838" s="115"/>
      <c r="D3838" s="116"/>
    </row>
    <row r="3839" spans="2:4" x14ac:dyDescent="0.2">
      <c r="B3839" s="115"/>
      <c r="D3839" s="116"/>
    </row>
    <row r="3840" spans="2:4" x14ac:dyDescent="0.2">
      <c r="B3840" s="115"/>
      <c r="D3840" s="116"/>
    </row>
    <row r="3841" spans="2:4" x14ac:dyDescent="0.2">
      <c r="B3841" s="115"/>
      <c r="D3841" s="116"/>
    </row>
    <row r="3842" spans="2:4" x14ac:dyDescent="0.2">
      <c r="B3842" s="115"/>
      <c r="D3842" s="116"/>
    </row>
    <row r="3843" spans="2:4" x14ac:dyDescent="0.2">
      <c r="B3843" s="115"/>
      <c r="D3843" s="116"/>
    </row>
    <row r="3844" spans="2:4" x14ac:dyDescent="0.2">
      <c r="B3844" s="115"/>
      <c r="D3844" s="116"/>
    </row>
    <row r="3845" spans="2:4" x14ac:dyDescent="0.2">
      <c r="B3845" s="115"/>
      <c r="D3845" s="116"/>
    </row>
    <row r="3846" spans="2:4" x14ac:dyDescent="0.2">
      <c r="B3846" s="115"/>
      <c r="D3846" s="116"/>
    </row>
    <row r="3847" spans="2:4" x14ac:dyDescent="0.2">
      <c r="B3847" s="115"/>
      <c r="D3847" s="116"/>
    </row>
    <row r="3848" spans="2:4" x14ac:dyDescent="0.2">
      <c r="B3848" s="115"/>
      <c r="D3848" s="116"/>
    </row>
    <row r="3849" spans="2:4" x14ac:dyDescent="0.2">
      <c r="B3849" s="115"/>
      <c r="D3849" s="116"/>
    </row>
    <row r="3850" spans="2:4" x14ac:dyDescent="0.2">
      <c r="B3850" s="115"/>
      <c r="D3850" s="116"/>
    </row>
    <row r="3851" spans="2:4" x14ac:dyDescent="0.2">
      <c r="B3851" s="115"/>
      <c r="D3851" s="116"/>
    </row>
    <row r="3852" spans="2:4" x14ac:dyDescent="0.2">
      <c r="B3852" s="115"/>
      <c r="D3852" s="116"/>
    </row>
    <row r="3853" spans="2:4" x14ac:dyDescent="0.2">
      <c r="B3853" s="115"/>
      <c r="D3853" s="116"/>
    </row>
    <row r="3854" spans="2:4" x14ac:dyDescent="0.2">
      <c r="B3854" s="115"/>
      <c r="D3854" s="116"/>
    </row>
    <row r="3855" spans="2:4" x14ac:dyDescent="0.2">
      <c r="B3855" s="115"/>
      <c r="D3855" s="116"/>
    </row>
    <row r="3856" spans="2:4" x14ac:dyDescent="0.2">
      <c r="B3856" s="115"/>
      <c r="D3856" s="116"/>
    </row>
    <row r="3857" spans="2:4" x14ac:dyDescent="0.2">
      <c r="B3857" s="115"/>
      <c r="D3857" s="116"/>
    </row>
    <row r="3858" spans="2:4" x14ac:dyDescent="0.2">
      <c r="B3858" s="115"/>
      <c r="D3858" s="116"/>
    </row>
    <row r="3859" spans="2:4" x14ac:dyDescent="0.2">
      <c r="B3859" s="115"/>
      <c r="D3859" s="116"/>
    </row>
    <row r="3860" spans="2:4" x14ac:dyDescent="0.2">
      <c r="B3860" s="115"/>
      <c r="D3860" s="116"/>
    </row>
    <row r="3861" spans="2:4" x14ac:dyDescent="0.2">
      <c r="B3861" s="115"/>
      <c r="D3861" s="116"/>
    </row>
    <row r="3862" spans="2:4" x14ac:dyDescent="0.2">
      <c r="B3862" s="115"/>
      <c r="D3862" s="116"/>
    </row>
    <row r="3863" spans="2:4" x14ac:dyDescent="0.2">
      <c r="B3863" s="115"/>
      <c r="D3863" s="116"/>
    </row>
    <row r="3864" spans="2:4" x14ac:dyDescent="0.2">
      <c r="B3864" s="115"/>
      <c r="D3864" s="116"/>
    </row>
    <row r="3865" spans="2:4" x14ac:dyDescent="0.2">
      <c r="B3865" s="115"/>
      <c r="D3865" s="116"/>
    </row>
    <row r="3866" spans="2:4" x14ac:dyDescent="0.2">
      <c r="B3866" s="115"/>
      <c r="D3866" s="116"/>
    </row>
    <row r="3867" spans="2:4" x14ac:dyDescent="0.2">
      <c r="B3867" s="115"/>
      <c r="D3867" s="116"/>
    </row>
    <row r="3868" spans="2:4" x14ac:dyDescent="0.2">
      <c r="B3868" s="115"/>
      <c r="D3868" s="116"/>
    </row>
    <row r="3869" spans="2:4" x14ac:dyDescent="0.2">
      <c r="B3869" s="115"/>
      <c r="D3869" s="116"/>
    </row>
    <row r="3870" spans="2:4" x14ac:dyDescent="0.2">
      <c r="B3870" s="115"/>
      <c r="D3870" s="116"/>
    </row>
    <row r="3871" spans="2:4" x14ac:dyDescent="0.2">
      <c r="B3871" s="115"/>
      <c r="D3871" s="116"/>
    </row>
    <row r="3872" spans="2:4" x14ac:dyDescent="0.2">
      <c r="B3872" s="115"/>
      <c r="D3872" s="116"/>
    </row>
    <row r="3873" spans="2:4" x14ac:dyDescent="0.2">
      <c r="B3873" s="115"/>
      <c r="D3873" s="116"/>
    </row>
    <row r="3874" spans="2:4" x14ac:dyDescent="0.2">
      <c r="B3874" s="115"/>
      <c r="D3874" s="116"/>
    </row>
    <row r="3875" spans="2:4" x14ac:dyDescent="0.2">
      <c r="B3875" s="115"/>
      <c r="D3875" s="116"/>
    </row>
    <row r="3876" spans="2:4" x14ac:dyDescent="0.2">
      <c r="B3876" s="115"/>
      <c r="D3876" s="116"/>
    </row>
    <row r="3877" spans="2:4" x14ac:dyDescent="0.2">
      <c r="B3877" s="115"/>
      <c r="D3877" s="116"/>
    </row>
    <row r="3878" spans="2:4" x14ac:dyDescent="0.2">
      <c r="B3878" s="115"/>
      <c r="D3878" s="116"/>
    </row>
    <row r="3879" spans="2:4" x14ac:dyDescent="0.2">
      <c r="B3879" s="115"/>
      <c r="D3879" s="116"/>
    </row>
    <row r="3880" spans="2:4" x14ac:dyDescent="0.2">
      <c r="B3880" s="115"/>
      <c r="D3880" s="116"/>
    </row>
    <row r="3881" spans="2:4" x14ac:dyDescent="0.2">
      <c r="B3881" s="115"/>
      <c r="D3881" s="116"/>
    </row>
    <row r="3882" spans="2:4" x14ac:dyDescent="0.2">
      <c r="B3882" s="115"/>
      <c r="D3882" s="116"/>
    </row>
    <row r="3883" spans="2:4" x14ac:dyDescent="0.2">
      <c r="B3883" s="115"/>
      <c r="D3883" s="116"/>
    </row>
    <row r="3884" spans="2:4" x14ac:dyDescent="0.2">
      <c r="B3884" s="115"/>
      <c r="D3884" s="116"/>
    </row>
    <row r="3885" spans="2:4" x14ac:dyDescent="0.2">
      <c r="B3885" s="115"/>
      <c r="D3885" s="116"/>
    </row>
    <row r="3886" spans="2:4" x14ac:dyDescent="0.2">
      <c r="B3886" s="115"/>
      <c r="D3886" s="116"/>
    </row>
    <row r="3887" spans="2:4" x14ac:dyDescent="0.2">
      <c r="B3887" s="115"/>
      <c r="D3887" s="116"/>
    </row>
    <row r="3888" spans="2:4" x14ac:dyDescent="0.2">
      <c r="B3888" s="115"/>
      <c r="D3888" s="116"/>
    </row>
    <row r="3889" spans="2:4" x14ac:dyDescent="0.2">
      <c r="B3889" s="115"/>
      <c r="D3889" s="116"/>
    </row>
    <row r="3890" spans="2:4" x14ac:dyDescent="0.2">
      <c r="B3890" s="115"/>
      <c r="D3890" s="116"/>
    </row>
    <row r="3891" spans="2:4" x14ac:dyDescent="0.2">
      <c r="B3891" s="115"/>
      <c r="D3891" s="116"/>
    </row>
    <row r="3892" spans="2:4" x14ac:dyDescent="0.2">
      <c r="B3892" s="115"/>
      <c r="D3892" s="116"/>
    </row>
    <row r="3893" spans="2:4" x14ac:dyDescent="0.2">
      <c r="B3893" s="115"/>
      <c r="D3893" s="116"/>
    </row>
    <row r="3894" spans="2:4" x14ac:dyDescent="0.2">
      <c r="B3894" s="115"/>
      <c r="D3894" s="116"/>
    </row>
    <row r="3895" spans="2:4" x14ac:dyDescent="0.2">
      <c r="B3895" s="115"/>
      <c r="D3895" s="116"/>
    </row>
    <row r="3896" spans="2:4" x14ac:dyDescent="0.2">
      <c r="B3896" s="115"/>
      <c r="D3896" s="116"/>
    </row>
    <row r="3897" spans="2:4" x14ac:dyDescent="0.2">
      <c r="B3897" s="115"/>
      <c r="D3897" s="116"/>
    </row>
    <row r="3898" spans="2:4" x14ac:dyDescent="0.2">
      <c r="B3898" s="115"/>
      <c r="D3898" s="116"/>
    </row>
    <row r="3899" spans="2:4" x14ac:dyDescent="0.2">
      <c r="B3899" s="115"/>
      <c r="D3899" s="116"/>
    </row>
    <row r="3900" spans="2:4" x14ac:dyDescent="0.2">
      <c r="B3900" s="115"/>
      <c r="D3900" s="116"/>
    </row>
    <row r="3901" spans="2:4" x14ac:dyDescent="0.2">
      <c r="B3901" s="115"/>
      <c r="D3901" s="116"/>
    </row>
    <row r="3902" spans="2:4" x14ac:dyDescent="0.2">
      <c r="B3902" s="115"/>
      <c r="D3902" s="116"/>
    </row>
    <row r="3903" spans="2:4" x14ac:dyDescent="0.2">
      <c r="B3903" s="115"/>
      <c r="D3903" s="116"/>
    </row>
    <row r="3904" spans="2:4" x14ac:dyDescent="0.2">
      <c r="B3904" s="115"/>
      <c r="D3904" s="116"/>
    </row>
    <row r="3905" spans="2:4" x14ac:dyDescent="0.2">
      <c r="B3905" s="115"/>
      <c r="D3905" s="116"/>
    </row>
    <row r="3906" spans="2:4" x14ac:dyDescent="0.2">
      <c r="B3906" s="115"/>
      <c r="D3906" s="116"/>
    </row>
    <row r="3907" spans="2:4" x14ac:dyDescent="0.2">
      <c r="B3907" s="115"/>
      <c r="D3907" s="116"/>
    </row>
    <row r="3908" spans="2:4" x14ac:dyDescent="0.2">
      <c r="B3908" s="115"/>
      <c r="D3908" s="116"/>
    </row>
    <row r="3909" spans="2:4" x14ac:dyDescent="0.2">
      <c r="B3909" s="115"/>
      <c r="D3909" s="116"/>
    </row>
    <row r="3910" spans="2:4" x14ac:dyDescent="0.2">
      <c r="B3910" s="115"/>
      <c r="D3910" s="116"/>
    </row>
    <row r="3911" spans="2:4" x14ac:dyDescent="0.2">
      <c r="B3911" s="115"/>
      <c r="D3911" s="116"/>
    </row>
    <row r="3912" spans="2:4" x14ac:dyDescent="0.2">
      <c r="B3912" s="115"/>
      <c r="D3912" s="116"/>
    </row>
    <row r="3913" spans="2:4" x14ac:dyDescent="0.2">
      <c r="B3913" s="115"/>
      <c r="D3913" s="116"/>
    </row>
    <row r="3914" spans="2:4" x14ac:dyDescent="0.2">
      <c r="B3914" s="115"/>
      <c r="D3914" s="116"/>
    </row>
    <row r="3915" spans="2:4" x14ac:dyDescent="0.2">
      <c r="B3915" s="115"/>
      <c r="D3915" s="116"/>
    </row>
    <row r="3916" spans="2:4" x14ac:dyDescent="0.2">
      <c r="B3916" s="115"/>
      <c r="D3916" s="116"/>
    </row>
    <row r="3917" spans="2:4" x14ac:dyDescent="0.2">
      <c r="B3917" s="115"/>
      <c r="D3917" s="116"/>
    </row>
    <row r="3918" spans="2:4" x14ac:dyDescent="0.2">
      <c r="B3918" s="115"/>
      <c r="D3918" s="116"/>
    </row>
    <row r="3919" spans="2:4" x14ac:dyDescent="0.2">
      <c r="B3919" s="115"/>
      <c r="D3919" s="116"/>
    </row>
    <row r="3920" spans="2:4" x14ac:dyDescent="0.2">
      <c r="B3920" s="115"/>
      <c r="D3920" s="116"/>
    </row>
    <row r="3921" spans="2:4" x14ac:dyDescent="0.2">
      <c r="B3921" s="115"/>
      <c r="D3921" s="116"/>
    </row>
    <row r="3922" spans="2:4" x14ac:dyDescent="0.2">
      <c r="B3922" s="115"/>
      <c r="D3922" s="116"/>
    </row>
    <row r="3923" spans="2:4" x14ac:dyDescent="0.2">
      <c r="B3923" s="115"/>
      <c r="D3923" s="116"/>
    </row>
    <row r="3924" spans="2:4" x14ac:dyDescent="0.2">
      <c r="B3924" s="115"/>
      <c r="D3924" s="116"/>
    </row>
    <row r="3925" spans="2:4" x14ac:dyDescent="0.2">
      <c r="B3925" s="115"/>
      <c r="D3925" s="116"/>
    </row>
    <row r="3926" spans="2:4" x14ac:dyDescent="0.2">
      <c r="B3926" s="115"/>
      <c r="D3926" s="116"/>
    </row>
    <row r="3927" spans="2:4" x14ac:dyDescent="0.2">
      <c r="B3927" s="115"/>
      <c r="D3927" s="116"/>
    </row>
    <row r="3928" spans="2:4" x14ac:dyDescent="0.2">
      <c r="B3928" s="115"/>
      <c r="D3928" s="116"/>
    </row>
    <row r="3929" spans="2:4" x14ac:dyDescent="0.2">
      <c r="B3929" s="115"/>
      <c r="D3929" s="116"/>
    </row>
    <row r="3930" spans="2:4" x14ac:dyDescent="0.2">
      <c r="B3930" s="115"/>
      <c r="D3930" s="116"/>
    </row>
    <row r="3931" spans="2:4" x14ac:dyDescent="0.2">
      <c r="B3931" s="115"/>
      <c r="D3931" s="116"/>
    </row>
    <row r="3932" spans="2:4" x14ac:dyDescent="0.2">
      <c r="B3932" s="115"/>
      <c r="D3932" s="116"/>
    </row>
    <row r="3933" spans="2:4" x14ac:dyDescent="0.2">
      <c r="B3933" s="115"/>
      <c r="D3933" s="116"/>
    </row>
    <row r="3934" spans="2:4" x14ac:dyDescent="0.2">
      <c r="B3934" s="115"/>
      <c r="D3934" s="116"/>
    </row>
    <row r="3935" spans="2:4" x14ac:dyDescent="0.2">
      <c r="B3935" s="115"/>
      <c r="D3935" s="116"/>
    </row>
    <row r="3936" spans="2:4" x14ac:dyDescent="0.2">
      <c r="B3936" s="115"/>
      <c r="D3936" s="116"/>
    </row>
    <row r="3937" spans="2:4" x14ac:dyDescent="0.2">
      <c r="B3937" s="115"/>
      <c r="D3937" s="116"/>
    </row>
    <row r="3938" spans="2:4" x14ac:dyDescent="0.2">
      <c r="B3938" s="115"/>
      <c r="D3938" s="116"/>
    </row>
    <row r="3939" spans="2:4" x14ac:dyDescent="0.2">
      <c r="B3939" s="115"/>
      <c r="D3939" s="116"/>
    </row>
    <row r="3940" spans="2:4" x14ac:dyDescent="0.2">
      <c r="B3940" s="115"/>
      <c r="D3940" s="116"/>
    </row>
    <row r="3941" spans="2:4" x14ac:dyDescent="0.2">
      <c r="B3941" s="115"/>
      <c r="D3941" s="116"/>
    </row>
    <row r="3942" spans="2:4" x14ac:dyDescent="0.2">
      <c r="B3942" s="115"/>
      <c r="D3942" s="116"/>
    </row>
    <row r="3943" spans="2:4" x14ac:dyDescent="0.2">
      <c r="B3943" s="115"/>
      <c r="D3943" s="116"/>
    </row>
    <row r="3944" spans="2:4" x14ac:dyDescent="0.2">
      <c r="B3944" s="115"/>
      <c r="D3944" s="116"/>
    </row>
    <row r="3945" spans="2:4" x14ac:dyDescent="0.2">
      <c r="B3945" s="115"/>
      <c r="D3945" s="116"/>
    </row>
    <row r="3946" spans="2:4" x14ac:dyDescent="0.2">
      <c r="B3946" s="115"/>
      <c r="D3946" s="116"/>
    </row>
    <row r="3947" spans="2:4" x14ac:dyDescent="0.2">
      <c r="B3947" s="115"/>
      <c r="D3947" s="116"/>
    </row>
    <row r="3948" spans="2:4" x14ac:dyDescent="0.2">
      <c r="B3948" s="115"/>
      <c r="D3948" s="116"/>
    </row>
    <row r="3949" spans="2:4" x14ac:dyDescent="0.2">
      <c r="B3949" s="115"/>
      <c r="D3949" s="116"/>
    </row>
    <row r="3950" spans="2:4" x14ac:dyDescent="0.2">
      <c r="B3950" s="115"/>
      <c r="D3950" s="116"/>
    </row>
    <row r="3951" spans="2:4" x14ac:dyDescent="0.2">
      <c r="B3951" s="115"/>
      <c r="D3951" s="116"/>
    </row>
    <row r="3952" spans="2:4" x14ac:dyDescent="0.2">
      <c r="B3952" s="115"/>
      <c r="D3952" s="116"/>
    </row>
    <row r="3953" spans="2:4" x14ac:dyDescent="0.2">
      <c r="B3953" s="115"/>
      <c r="D3953" s="116"/>
    </row>
    <row r="3954" spans="2:4" x14ac:dyDescent="0.2">
      <c r="B3954" s="115"/>
      <c r="D3954" s="116"/>
    </row>
    <row r="3955" spans="2:4" x14ac:dyDescent="0.2">
      <c r="B3955" s="115"/>
      <c r="D3955" s="116"/>
    </row>
    <row r="3956" spans="2:4" x14ac:dyDescent="0.2">
      <c r="B3956" s="115"/>
      <c r="D3956" s="116"/>
    </row>
    <row r="3957" spans="2:4" x14ac:dyDescent="0.2">
      <c r="B3957" s="115"/>
      <c r="D3957" s="116"/>
    </row>
    <row r="3958" spans="2:4" x14ac:dyDescent="0.2">
      <c r="B3958" s="115"/>
      <c r="D3958" s="116"/>
    </row>
    <row r="3959" spans="2:4" x14ac:dyDescent="0.2">
      <c r="B3959" s="115"/>
      <c r="D3959" s="116"/>
    </row>
    <row r="3960" spans="2:4" x14ac:dyDescent="0.2">
      <c r="B3960" s="115"/>
      <c r="D3960" s="116"/>
    </row>
    <row r="3961" spans="2:4" x14ac:dyDescent="0.2">
      <c r="B3961" s="115"/>
      <c r="D3961" s="116"/>
    </row>
    <row r="3962" spans="2:4" x14ac:dyDescent="0.2">
      <c r="B3962" s="115"/>
      <c r="D3962" s="116"/>
    </row>
    <row r="3963" spans="2:4" x14ac:dyDescent="0.2">
      <c r="B3963" s="115"/>
      <c r="D3963" s="116"/>
    </row>
    <row r="3964" spans="2:4" x14ac:dyDescent="0.2">
      <c r="B3964" s="115"/>
      <c r="D3964" s="116"/>
    </row>
    <row r="3965" spans="2:4" x14ac:dyDescent="0.2">
      <c r="B3965" s="115"/>
      <c r="D3965" s="116"/>
    </row>
    <row r="3966" spans="2:4" x14ac:dyDescent="0.2">
      <c r="B3966" s="115"/>
      <c r="D3966" s="116"/>
    </row>
    <row r="3967" spans="2:4" x14ac:dyDescent="0.2">
      <c r="B3967" s="115"/>
      <c r="D3967" s="116"/>
    </row>
    <row r="3968" spans="2:4" x14ac:dyDescent="0.2">
      <c r="B3968" s="115"/>
      <c r="D3968" s="116"/>
    </row>
    <row r="3969" spans="2:4" x14ac:dyDescent="0.2">
      <c r="B3969" s="115"/>
      <c r="D3969" s="116"/>
    </row>
    <row r="3970" spans="2:4" x14ac:dyDescent="0.2">
      <c r="B3970" s="115"/>
      <c r="D3970" s="116"/>
    </row>
    <row r="3971" spans="2:4" x14ac:dyDescent="0.2">
      <c r="B3971" s="115"/>
      <c r="D3971" s="116"/>
    </row>
    <row r="3972" spans="2:4" x14ac:dyDescent="0.2">
      <c r="B3972" s="115"/>
      <c r="D3972" s="116"/>
    </row>
    <row r="3973" spans="2:4" x14ac:dyDescent="0.2">
      <c r="B3973" s="115"/>
      <c r="D3973" s="116"/>
    </row>
    <row r="3974" spans="2:4" x14ac:dyDescent="0.2">
      <c r="B3974" s="115"/>
      <c r="D3974" s="116"/>
    </row>
    <row r="3975" spans="2:4" x14ac:dyDescent="0.2">
      <c r="B3975" s="115"/>
      <c r="D3975" s="116"/>
    </row>
    <row r="3976" spans="2:4" x14ac:dyDescent="0.2">
      <c r="B3976" s="115"/>
      <c r="D3976" s="116"/>
    </row>
    <row r="3977" spans="2:4" x14ac:dyDescent="0.2">
      <c r="B3977" s="115"/>
      <c r="D3977" s="116"/>
    </row>
    <row r="3978" spans="2:4" x14ac:dyDescent="0.2">
      <c r="B3978" s="115"/>
      <c r="D3978" s="116"/>
    </row>
    <row r="3979" spans="2:4" x14ac:dyDescent="0.2">
      <c r="B3979" s="115"/>
      <c r="D3979" s="116"/>
    </row>
    <row r="3980" spans="2:4" x14ac:dyDescent="0.2">
      <c r="B3980" s="115"/>
      <c r="D3980" s="116"/>
    </row>
    <row r="3981" spans="2:4" x14ac:dyDescent="0.2">
      <c r="B3981" s="115"/>
      <c r="D3981" s="116"/>
    </row>
    <row r="3982" spans="2:4" x14ac:dyDescent="0.2">
      <c r="B3982" s="115"/>
      <c r="D3982" s="116"/>
    </row>
    <row r="3983" spans="2:4" x14ac:dyDescent="0.2">
      <c r="B3983" s="115"/>
      <c r="D3983" s="116"/>
    </row>
    <row r="3984" spans="2:4" x14ac:dyDescent="0.2">
      <c r="B3984" s="115"/>
      <c r="D3984" s="116"/>
    </row>
    <row r="3985" spans="2:4" x14ac:dyDescent="0.2">
      <c r="B3985" s="115"/>
      <c r="D3985" s="116"/>
    </row>
    <row r="3986" spans="2:4" x14ac:dyDescent="0.2">
      <c r="B3986" s="115"/>
      <c r="D3986" s="116"/>
    </row>
    <row r="3987" spans="2:4" x14ac:dyDescent="0.2">
      <c r="B3987" s="115"/>
      <c r="D3987" s="116"/>
    </row>
    <row r="3988" spans="2:4" x14ac:dyDescent="0.2">
      <c r="B3988" s="115"/>
      <c r="D3988" s="116"/>
    </row>
    <row r="3989" spans="2:4" x14ac:dyDescent="0.2">
      <c r="B3989" s="115"/>
      <c r="D3989" s="116"/>
    </row>
    <row r="3990" spans="2:4" x14ac:dyDescent="0.2">
      <c r="B3990" s="115"/>
      <c r="D3990" s="116"/>
    </row>
    <row r="3991" spans="2:4" x14ac:dyDescent="0.2">
      <c r="B3991" s="115"/>
      <c r="D3991" s="116"/>
    </row>
    <row r="3992" spans="2:4" x14ac:dyDescent="0.2">
      <c r="B3992" s="115"/>
      <c r="D3992" s="116"/>
    </row>
    <row r="3993" spans="2:4" x14ac:dyDescent="0.2">
      <c r="B3993" s="115"/>
      <c r="D3993" s="116"/>
    </row>
    <row r="3994" spans="2:4" x14ac:dyDescent="0.2">
      <c r="B3994" s="115"/>
      <c r="D3994" s="116"/>
    </row>
    <row r="3995" spans="2:4" x14ac:dyDescent="0.2">
      <c r="B3995" s="115"/>
      <c r="D3995" s="116"/>
    </row>
    <row r="3996" spans="2:4" x14ac:dyDescent="0.2">
      <c r="B3996" s="115"/>
      <c r="D3996" s="116"/>
    </row>
    <row r="3997" spans="2:4" x14ac:dyDescent="0.2">
      <c r="B3997" s="115"/>
      <c r="D3997" s="116"/>
    </row>
    <row r="3998" spans="2:4" x14ac:dyDescent="0.2">
      <c r="B3998" s="115"/>
      <c r="D3998" s="116"/>
    </row>
    <row r="3999" spans="2:4" x14ac:dyDescent="0.2">
      <c r="B3999" s="115"/>
      <c r="D3999" s="116"/>
    </row>
    <row r="4000" spans="2:4" x14ac:dyDescent="0.2">
      <c r="B4000" s="115"/>
      <c r="D4000" s="116"/>
    </row>
    <row r="4001" spans="2:4" x14ac:dyDescent="0.2">
      <c r="B4001" s="115"/>
      <c r="D4001" s="116"/>
    </row>
    <row r="4002" spans="2:4" x14ac:dyDescent="0.2">
      <c r="B4002" s="115"/>
      <c r="D4002" s="116"/>
    </row>
    <row r="4003" spans="2:4" x14ac:dyDescent="0.2">
      <c r="B4003" s="115"/>
      <c r="D4003" s="116"/>
    </row>
    <row r="4004" spans="2:4" x14ac:dyDescent="0.2">
      <c r="B4004" s="115"/>
      <c r="D4004" s="116"/>
    </row>
    <row r="4005" spans="2:4" x14ac:dyDescent="0.2">
      <c r="B4005" s="115"/>
      <c r="D4005" s="116"/>
    </row>
    <row r="4006" spans="2:4" x14ac:dyDescent="0.2">
      <c r="B4006" s="115"/>
      <c r="D4006" s="116"/>
    </row>
    <row r="4007" spans="2:4" x14ac:dyDescent="0.2">
      <c r="B4007" s="115"/>
      <c r="D4007" s="116"/>
    </row>
    <row r="4008" spans="2:4" x14ac:dyDescent="0.2">
      <c r="B4008" s="115"/>
      <c r="D4008" s="116"/>
    </row>
    <row r="4009" spans="2:4" x14ac:dyDescent="0.2">
      <c r="B4009" s="115"/>
      <c r="D4009" s="116"/>
    </row>
    <row r="4010" spans="2:4" x14ac:dyDescent="0.2">
      <c r="B4010" s="115"/>
      <c r="D4010" s="116"/>
    </row>
    <row r="4011" spans="2:4" x14ac:dyDescent="0.2">
      <c r="B4011" s="115"/>
      <c r="D4011" s="116"/>
    </row>
    <row r="4012" spans="2:4" x14ac:dyDescent="0.2">
      <c r="B4012" s="115"/>
      <c r="D4012" s="116"/>
    </row>
    <row r="4013" spans="2:4" x14ac:dyDescent="0.2">
      <c r="B4013" s="115"/>
      <c r="D4013" s="116"/>
    </row>
    <row r="4014" spans="2:4" x14ac:dyDescent="0.2">
      <c r="B4014" s="115"/>
      <c r="D4014" s="116"/>
    </row>
    <row r="4015" spans="2:4" x14ac:dyDescent="0.2">
      <c r="B4015" s="115"/>
      <c r="D4015" s="116"/>
    </row>
    <row r="4016" spans="2:4" x14ac:dyDescent="0.2">
      <c r="B4016" s="115"/>
      <c r="D4016" s="116"/>
    </row>
    <row r="4017" spans="2:4" x14ac:dyDescent="0.2">
      <c r="B4017" s="115"/>
      <c r="D4017" s="116"/>
    </row>
    <row r="4018" spans="2:4" x14ac:dyDescent="0.2">
      <c r="B4018" s="115"/>
      <c r="D4018" s="116"/>
    </row>
    <row r="4019" spans="2:4" x14ac:dyDescent="0.2">
      <c r="B4019" s="115"/>
      <c r="D4019" s="116"/>
    </row>
    <row r="4020" spans="2:4" x14ac:dyDescent="0.2">
      <c r="B4020" s="115"/>
      <c r="D4020" s="116"/>
    </row>
    <row r="4021" spans="2:4" x14ac:dyDescent="0.2">
      <c r="B4021" s="115"/>
      <c r="D4021" s="116"/>
    </row>
    <row r="4022" spans="2:4" x14ac:dyDescent="0.2">
      <c r="B4022" s="115"/>
      <c r="D4022" s="116"/>
    </row>
    <row r="4023" spans="2:4" x14ac:dyDescent="0.2">
      <c r="B4023" s="115"/>
      <c r="D4023" s="116"/>
    </row>
    <row r="4024" spans="2:4" x14ac:dyDescent="0.2">
      <c r="B4024" s="115"/>
      <c r="D4024" s="116"/>
    </row>
    <row r="4025" spans="2:4" x14ac:dyDescent="0.2">
      <c r="B4025" s="115"/>
      <c r="D4025" s="116"/>
    </row>
    <row r="4026" spans="2:4" x14ac:dyDescent="0.2">
      <c r="B4026" s="115"/>
      <c r="D4026" s="116"/>
    </row>
    <row r="4027" spans="2:4" x14ac:dyDescent="0.2">
      <c r="B4027" s="115"/>
      <c r="D4027" s="116"/>
    </row>
    <row r="4028" spans="2:4" x14ac:dyDescent="0.2">
      <c r="B4028" s="115"/>
      <c r="D4028" s="116"/>
    </row>
    <row r="4029" spans="2:4" x14ac:dyDescent="0.2">
      <c r="B4029" s="115"/>
      <c r="D4029" s="116"/>
    </row>
    <row r="4030" spans="2:4" x14ac:dyDescent="0.2">
      <c r="B4030" s="115"/>
      <c r="D4030" s="116"/>
    </row>
    <row r="4031" spans="2:4" x14ac:dyDescent="0.2">
      <c r="B4031" s="115"/>
      <c r="D4031" s="116"/>
    </row>
    <row r="4032" spans="2:4" x14ac:dyDescent="0.2">
      <c r="B4032" s="115"/>
      <c r="D4032" s="116"/>
    </row>
    <row r="4033" spans="2:4" x14ac:dyDescent="0.2">
      <c r="B4033" s="115"/>
      <c r="D4033" s="116"/>
    </row>
    <row r="4034" spans="2:4" x14ac:dyDescent="0.2">
      <c r="B4034" s="115"/>
      <c r="D4034" s="116"/>
    </row>
    <row r="4035" spans="2:4" x14ac:dyDescent="0.2">
      <c r="B4035" s="115"/>
      <c r="D4035" s="116"/>
    </row>
    <row r="4036" spans="2:4" x14ac:dyDescent="0.2">
      <c r="B4036" s="115"/>
      <c r="D4036" s="116"/>
    </row>
    <row r="4037" spans="2:4" x14ac:dyDescent="0.2">
      <c r="B4037" s="115"/>
      <c r="D4037" s="116"/>
    </row>
    <row r="4038" spans="2:4" x14ac:dyDescent="0.2">
      <c r="B4038" s="115"/>
      <c r="D4038" s="116"/>
    </row>
    <row r="4039" spans="2:4" x14ac:dyDescent="0.2">
      <c r="B4039" s="115"/>
      <c r="D4039" s="116"/>
    </row>
    <row r="4040" spans="2:4" x14ac:dyDescent="0.2">
      <c r="B4040" s="115"/>
      <c r="D4040" s="116"/>
    </row>
    <row r="4041" spans="2:4" x14ac:dyDescent="0.2">
      <c r="B4041" s="115"/>
      <c r="D4041" s="116"/>
    </row>
    <row r="4042" spans="2:4" x14ac:dyDescent="0.2">
      <c r="B4042" s="115"/>
      <c r="D4042" s="116"/>
    </row>
    <row r="4043" spans="2:4" x14ac:dyDescent="0.2">
      <c r="B4043" s="115"/>
      <c r="D4043" s="116"/>
    </row>
    <row r="4044" spans="2:4" x14ac:dyDescent="0.2">
      <c r="B4044" s="115"/>
      <c r="D4044" s="116"/>
    </row>
    <row r="4045" spans="2:4" x14ac:dyDescent="0.2">
      <c r="B4045" s="115"/>
      <c r="D4045" s="116"/>
    </row>
    <row r="4046" spans="2:4" x14ac:dyDescent="0.2">
      <c r="B4046" s="115"/>
      <c r="D4046" s="116"/>
    </row>
    <row r="4047" spans="2:4" x14ac:dyDescent="0.2">
      <c r="B4047" s="115"/>
      <c r="D4047" s="116"/>
    </row>
    <row r="4048" spans="2:4" x14ac:dyDescent="0.2">
      <c r="B4048" s="115"/>
      <c r="D4048" s="116"/>
    </row>
    <row r="4049" spans="2:4" x14ac:dyDescent="0.2">
      <c r="B4049" s="115"/>
      <c r="D4049" s="116"/>
    </row>
    <row r="4050" spans="2:4" x14ac:dyDescent="0.2">
      <c r="B4050" s="115"/>
      <c r="D4050" s="116"/>
    </row>
    <row r="4051" spans="2:4" x14ac:dyDescent="0.2">
      <c r="B4051" s="115"/>
      <c r="D4051" s="116"/>
    </row>
    <row r="4052" spans="2:4" x14ac:dyDescent="0.2">
      <c r="B4052" s="115"/>
      <c r="D4052" s="116"/>
    </row>
    <row r="4053" spans="2:4" x14ac:dyDescent="0.2">
      <c r="B4053" s="115"/>
      <c r="D4053" s="116"/>
    </row>
    <row r="4054" spans="2:4" x14ac:dyDescent="0.2">
      <c r="B4054" s="115"/>
      <c r="D4054" s="116"/>
    </row>
    <row r="4055" spans="2:4" x14ac:dyDescent="0.2">
      <c r="B4055" s="115"/>
      <c r="D4055" s="116"/>
    </row>
    <row r="4056" spans="2:4" x14ac:dyDescent="0.2">
      <c r="B4056" s="115"/>
      <c r="D4056" s="116"/>
    </row>
    <row r="4057" spans="2:4" x14ac:dyDescent="0.2">
      <c r="B4057" s="115"/>
      <c r="D4057" s="116"/>
    </row>
    <row r="4058" spans="2:4" x14ac:dyDescent="0.2">
      <c r="B4058" s="115"/>
      <c r="D4058" s="116"/>
    </row>
    <row r="4059" spans="2:4" x14ac:dyDescent="0.2">
      <c r="B4059" s="115"/>
      <c r="D4059" s="116"/>
    </row>
    <row r="4060" spans="2:4" x14ac:dyDescent="0.2">
      <c r="B4060" s="115"/>
      <c r="D4060" s="116"/>
    </row>
    <row r="4061" spans="2:4" x14ac:dyDescent="0.2">
      <c r="B4061" s="115"/>
      <c r="D4061" s="116"/>
    </row>
    <row r="4062" spans="2:4" x14ac:dyDescent="0.2">
      <c r="B4062" s="115"/>
      <c r="D4062" s="116"/>
    </row>
    <row r="4063" spans="2:4" x14ac:dyDescent="0.2">
      <c r="B4063" s="115"/>
      <c r="D4063" s="116"/>
    </row>
    <row r="4064" spans="2:4" x14ac:dyDescent="0.2">
      <c r="B4064" s="115"/>
      <c r="D4064" s="116"/>
    </row>
    <row r="4065" spans="2:4" x14ac:dyDescent="0.2">
      <c r="B4065" s="115"/>
      <c r="D4065" s="116"/>
    </row>
    <row r="4066" spans="2:4" x14ac:dyDescent="0.2">
      <c r="B4066" s="115"/>
      <c r="D4066" s="116"/>
    </row>
    <row r="4067" spans="2:4" x14ac:dyDescent="0.2">
      <c r="B4067" s="115"/>
      <c r="D4067" s="116"/>
    </row>
    <row r="4068" spans="2:4" x14ac:dyDescent="0.2">
      <c r="B4068" s="115"/>
      <c r="D4068" s="116"/>
    </row>
    <row r="4069" spans="2:4" x14ac:dyDescent="0.2">
      <c r="B4069" s="115"/>
      <c r="D4069" s="116"/>
    </row>
    <row r="4070" spans="2:4" x14ac:dyDescent="0.2">
      <c r="B4070" s="115"/>
      <c r="D4070" s="116"/>
    </row>
    <row r="4071" spans="2:4" x14ac:dyDescent="0.2">
      <c r="B4071" s="115"/>
      <c r="D4071" s="116"/>
    </row>
    <row r="4072" spans="2:4" x14ac:dyDescent="0.2">
      <c r="B4072" s="115"/>
      <c r="D4072" s="116"/>
    </row>
    <row r="4073" spans="2:4" x14ac:dyDescent="0.2">
      <c r="B4073" s="115"/>
      <c r="D4073" s="116"/>
    </row>
    <row r="4074" spans="2:4" x14ac:dyDescent="0.2">
      <c r="B4074" s="115"/>
      <c r="D4074" s="116"/>
    </row>
    <row r="4075" spans="2:4" x14ac:dyDescent="0.2">
      <c r="B4075" s="115"/>
      <c r="D4075" s="116"/>
    </row>
    <row r="4076" spans="2:4" x14ac:dyDescent="0.2">
      <c r="B4076" s="115"/>
      <c r="D4076" s="116"/>
    </row>
    <row r="4077" spans="2:4" x14ac:dyDescent="0.2">
      <c r="B4077" s="115"/>
      <c r="D4077" s="116"/>
    </row>
    <row r="4078" spans="2:4" x14ac:dyDescent="0.2">
      <c r="B4078" s="115"/>
      <c r="D4078" s="116"/>
    </row>
    <row r="4079" spans="2:4" x14ac:dyDescent="0.2">
      <c r="B4079" s="115"/>
      <c r="D4079" s="116"/>
    </row>
    <row r="4080" spans="2:4" x14ac:dyDescent="0.2">
      <c r="B4080" s="115"/>
      <c r="D4080" s="116"/>
    </row>
    <row r="4081" spans="2:4" x14ac:dyDescent="0.2">
      <c r="B4081" s="115"/>
      <c r="D4081" s="116"/>
    </row>
    <row r="4082" spans="2:4" x14ac:dyDescent="0.2">
      <c r="B4082" s="115"/>
      <c r="D4082" s="116"/>
    </row>
    <row r="4083" spans="2:4" x14ac:dyDescent="0.2">
      <c r="B4083" s="115"/>
      <c r="D4083" s="116"/>
    </row>
    <row r="4084" spans="2:4" x14ac:dyDescent="0.2">
      <c r="B4084" s="115"/>
      <c r="D4084" s="116"/>
    </row>
    <row r="4085" spans="2:4" x14ac:dyDescent="0.2">
      <c r="B4085" s="115"/>
      <c r="D4085" s="116"/>
    </row>
    <row r="4086" spans="2:4" x14ac:dyDescent="0.2">
      <c r="B4086" s="115"/>
      <c r="D4086" s="116"/>
    </row>
    <row r="4087" spans="2:4" x14ac:dyDescent="0.2">
      <c r="B4087" s="115"/>
      <c r="D4087" s="116"/>
    </row>
    <row r="4088" spans="2:4" x14ac:dyDescent="0.2">
      <c r="B4088" s="115"/>
      <c r="D4088" s="116"/>
    </row>
    <row r="4089" spans="2:4" x14ac:dyDescent="0.2">
      <c r="B4089" s="115"/>
      <c r="D4089" s="116"/>
    </row>
    <row r="4090" spans="2:4" x14ac:dyDescent="0.2">
      <c r="B4090" s="115"/>
      <c r="D4090" s="116"/>
    </row>
    <row r="4091" spans="2:4" x14ac:dyDescent="0.2">
      <c r="B4091" s="115"/>
      <c r="D4091" s="116"/>
    </row>
    <row r="4092" spans="2:4" x14ac:dyDescent="0.2">
      <c r="B4092" s="115"/>
      <c r="D4092" s="116"/>
    </row>
    <row r="4093" spans="2:4" x14ac:dyDescent="0.2">
      <c r="B4093" s="115"/>
      <c r="D4093" s="116"/>
    </row>
    <row r="4094" spans="2:4" x14ac:dyDescent="0.2">
      <c r="B4094" s="115"/>
      <c r="D4094" s="116"/>
    </row>
    <row r="4095" spans="2:4" x14ac:dyDescent="0.2">
      <c r="B4095" s="115"/>
      <c r="D4095" s="116"/>
    </row>
    <row r="4096" spans="2:4" x14ac:dyDescent="0.2">
      <c r="B4096" s="115"/>
      <c r="D4096" s="116"/>
    </row>
    <row r="4097" spans="2:4" x14ac:dyDescent="0.2">
      <c r="B4097" s="115"/>
      <c r="D4097" s="116"/>
    </row>
    <row r="4098" spans="2:4" x14ac:dyDescent="0.2">
      <c r="B4098" s="115"/>
      <c r="D4098" s="116"/>
    </row>
    <row r="4099" spans="2:4" x14ac:dyDescent="0.2">
      <c r="B4099" s="115"/>
      <c r="D4099" s="116"/>
    </row>
    <row r="4100" spans="2:4" x14ac:dyDescent="0.2">
      <c r="B4100" s="115"/>
      <c r="D4100" s="116"/>
    </row>
    <row r="4101" spans="2:4" x14ac:dyDescent="0.2">
      <c r="B4101" s="115"/>
      <c r="D4101" s="116"/>
    </row>
    <row r="4102" spans="2:4" x14ac:dyDescent="0.2">
      <c r="B4102" s="115"/>
      <c r="D4102" s="116"/>
    </row>
    <row r="4103" spans="2:4" x14ac:dyDescent="0.2">
      <c r="B4103" s="115"/>
      <c r="D4103" s="116"/>
    </row>
    <row r="4104" spans="2:4" x14ac:dyDescent="0.2">
      <c r="B4104" s="115"/>
      <c r="D4104" s="116"/>
    </row>
    <row r="4105" spans="2:4" x14ac:dyDescent="0.2">
      <c r="B4105" s="115"/>
      <c r="D4105" s="116"/>
    </row>
    <row r="4106" spans="2:4" x14ac:dyDescent="0.2">
      <c r="B4106" s="115"/>
      <c r="D4106" s="116"/>
    </row>
    <row r="4107" spans="2:4" x14ac:dyDescent="0.2">
      <c r="B4107" s="115"/>
      <c r="D4107" s="116"/>
    </row>
    <row r="4108" spans="2:4" x14ac:dyDescent="0.2">
      <c r="B4108" s="115"/>
      <c r="D4108" s="116"/>
    </row>
    <row r="4109" spans="2:4" x14ac:dyDescent="0.2">
      <c r="B4109" s="115"/>
      <c r="D4109" s="116"/>
    </row>
    <row r="4110" spans="2:4" x14ac:dyDescent="0.2">
      <c r="B4110" s="115"/>
      <c r="D4110" s="116"/>
    </row>
    <row r="4111" spans="2:4" x14ac:dyDescent="0.2">
      <c r="B4111" s="115"/>
      <c r="D4111" s="116"/>
    </row>
    <row r="4112" spans="2:4" x14ac:dyDescent="0.2">
      <c r="B4112" s="115"/>
      <c r="D4112" s="116"/>
    </row>
    <row r="4113" spans="2:4" x14ac:dyDescent="0.2">
      <c r="B4113" s="115"/>
      <c r="D4113" s="116"/>
    </row>
    <row r="4114" spans="2:4" x14ac:dyDescent="0.2">
      <c r="B4114" s="115"/>
      <c r="D4114" s="116"/>
    </row>
    <row r="4115" spans="2:4" x14ac:dyDescent="0.2">
      <c r="B4115" s="115"/>
      <c r="D4115" s="116"/>
    </row>
    <row r="4116" spans="2:4" x14ac:dyDescent="0.2">
      <c r="B4116" s="115"/>
      <c r="D4116" s="116"/>
    </row>
    <row r="4117" spans="2:4" x14ac:dyDescent="0.2">
      <c r="B4117" s="115"/>
      <c r="D4117" s="116"/>
    </row>
    <row r="4118" spans="2:4" x14ac:dyDescent="0.2">
      <c r="B4118" s="115"/>
      <c r="D4118" s="116"/>
    </row>
    <row r="4119" spans="2:4" x14ac:dyDescent="0.2">
      <c r="B4119" s="115"/>
      <c r="D4119" s="116"/>
    </row>
    <row r="4120" spans="2:4" x14ac:dyDescent="0.2">
      <c r="B4120" s="115"/>
      <c r="D4120" s="116"/>
    </row>
    <row r="4121" spans="2:4" x14ac:dyDescent="0.2">
      <c r="B4121" s="115"/>
      <c r="D4121" s="116"/>
    </row>
    <row r="4122" spans="2:4" x14ac:dyDescent="0.2">
      <c r="B4122" s="115"/>
      <c r="D4122" s="116"/>
    </row>
    <row r="4123" spans="2:4" x14ac:dyDescent="0.2">
      <c r="B4123" s="115"/>
      <c r="D4123" s="116"/>
    </row>
    <row r="4124" spans="2:4" x14ac:dyDescent="0.2">
      <c r="B4124" s="115"/>
      <c r="D4124" s="116"/>
    </row>
    <row r="4125" spans="2:4" x14ac:dyDescent="0.2">
      <c r="B4125" s="115"/>
      <c r="D4125" s="116"/>
    </row>
    <row r="4126" spans="2:4" x14ac:dyDescent="0.2">
      <c r="B4126" s="115"/>
      <c r="D4126" s="116"/>
    </row>
    <row r="4127" spans="2:4" x14ac:dyDescent="0.2">
      <c r="B4127" s="115"/>
      <c r="D4127" s="116"/>
    </row>
    <row r="4128" spans="2:4" x14ac:dyDescent="0.2">
      <c r="B4128" s="115"/>
      <c r="D4128" s="116"/>
    </row>
    <row r="4129" spans="2:4" x14ac:dyDescent="0.2">
      <c r="B4129" s="115"/>
      <c r="D4129" s="116"/>
    </row>
    <row r="4130" spans="2:4" x14ac:dyDescent="0.2">
      <c r="B4130" s="115"/>
      <c r="D4130" s="116"/>
    </row>
    <row r="4131" spans="2:4" x14ac:dyDescent="0.2">
      <c r="B4131" s="115"/>
      <c r="D4131" s="116"/>
    </row>
    <row r="4132" spans="2:4" x14ac:dyDescent="0.2">
      <c r="B4132" s="115"/>
      <c r="D4132" s="116"/>
    </row>
    <row r="4133" spans="2:4" x14ac:dyDescent="0.2">
      <c r="B4133" s="115"/>
      <c r="D4133" s="116"/>
    </row>
    <row r="4134" spans="2:4" x14ac:dyDescent="0.2">
      <c r="B4134" s="115"/>
      <c r="D4134" s="116"/>
    </row>
    <row r="4135" spans="2:4" x14ac:dyDescent="0.2">
      <c r="B4135" s="115"/>
      <c r="D4135" s="116"/>
    </row>
    <row r="4136" spans="2:4" x14ac:dyDescent="0.2">
      <c r="B4136" s="115"/>
      <c r="D4136" s="116"/>
    </row>
    <row r="4137" spans="2:4" x14ac:dyDescent="0.2">
      <c r="B4137" s="115"/>
      <c r="D4137" s="116"/>
    </row>
    <row r="4138" spans="2:4" x14ac:dyDescent="0.2">
      <c r="B4138" s="115"/>
      <c r="D4138" s="116"/>
    </row>
    <row r="4139" spans="2:4" x14ac:dyDescent="0.2">
      <c r="B4139" s="115"/>
      <c r="D4139" s="116"/>
    </row>
    <row r="4140" spans="2:4" x14ac:dyDescent="0.2">
      <c r="B4140" s="115"/>
      <c r="D4140" s="116"/>
    </row>
    <row r="4141" spans="2:4" x14ac:dyDescent="0.2">
      <c r="B4141" s="115"/>
      <c r="D4141" s="116"/>
    </row>
    <row r="4142" spans="2:4" x14ac:dyDescent="0.2">
      <c r="B4142" s="115"/>
      <c r="D4142" s="116"/>
    </row>
    <row r="4143" spans="2:4" x14ac:dyDescent="0.2">
      <c r="B4143" s="115"/>
      <c r="D4143" s="116"/>
    </row>
    <row r="4144" spans="2:4" x14ac:dyDescent="0.2">
      <c r="B4144" s="115"/>
      <c r="D4144" s="116"/>
    </row>
    <row r="4145" spans="2:4" x14ac:dyDescent="0.2">
      <c r="B4145" s="115"/>
      <c r="D4145" s="116"/>
    </row>
    <row r="4146" spans="2:4" x14ac:dyDescent="0.2">
      <c r="B4146" s="115"/>
      <c r="D4146" s="116"/>
    </row>
    <row r="4147" spans="2:4" x14ac:dyDescent="0.2">
      <c r="B4147" s="115"/>
      <c r="D4147" s="116"/>
    </row>
    <row r="4148" spans="2:4" x14ac:dyDescent="0.2">
      <c r="B4148" s="115"/>
      <c r="D4148" s="116"/>
    </row>
    <row r="4149" spans="2:4" x14ac:dyDescent="0.2">
      <c r="B4149" s="115"/>
      <c r="D4149" s="116"/>
    </row>
    <row r="4150" spans="2:4" x14ac:dyDescent="0.2">
      <c r="B4150" s="115"/>
      <c r="D4150" s="116"/>
    </row>
    <row r="4151" spans="2:4" x14ac:dyDescent="0.2">
      <c r="B4151" s="115"/>
      <c r="D4151" s="116"/>
    </row>
    <row r="4152" spans="2:4" x14ac:dyDescent="0.2">
      <c r="B4152" s="115"/>
      <c r="D4152" s="116"/>
    </row>
    <row r="4153" spans="2:4" x14ac:dyDescent="0.2">
      <c r="B4153" s="115"/>
      <c r="D4153" s="116"/>
    </row>
    <row r="4154" spans="2:4" x14ac:dyDescent="0.2">
      <c r="B4154" s="115"/>
      <c r="D4154" s="116"/>
    </row>
    <row r="4155" spans="2:4" x14ac:dyDescent="0.2">
      <c r="B4155" s="115"/>
      <c r="D4155" s="116"/>
    </row>
    <row r="4156" spans="2:4" x14ac:dyDescent="0.2">
      <c r="B4156" s="115"/>
      <c r="D4156" s="116"/>
    </row>
    <row r="4157" spans="2:4" x14ac:dyDescent="0.2">
      <c r="B4157" s="115"/>
      <c r="D4157" s="116"/>
    </row>
    <row r="4158" spans="2:4" x14ac:dyDescent="0.2">
      <c r="B4158" s="115"/>
      <c r="D4158" s="116"/>
    </row>
    <row r="4159" spans="2:4" x14ac:dyDescent="0.2">
      <c r="B4159" s="115"/>
      <c r="D4159" s="116"/>
    </row>
    <row r="4160" spans="2:4" x14ac:dyDescent="0.2">
      <c r="B4160" s="115"/>
      <c r="D4160" s="116"/>
    </row>
    <row r="4161" spans="2:4" x14ac:dyDescent="0.2">
      <c r="B4161" s="115"/>
      <c r="D4161" s="116"/>
    </row>
    <row r="4162" spans="2:4" x14ac:dyDescent="0.2">
      <c r="B4162" s="115"/>
      <c r="D4162" s="116"/>
    </row>
    <row r="4163" spans="2:4" x14ac:dyDescent="0.2">
      <c r="B4163" s="115"/>
      <c r="D4163" s="116"/>
    </row>
    <row r="4164" spans="2:4" x14ac:dyDescent="0.2">
      <c r="B4164" s="115"/>
      <c r="D4164" s="116"/>
    </row>
    <row r="4165" spans="2:4" x14ac:dyDescent="0.2">
      <c r="B4165" s="115"/>
      <c r="D4165" s="116"/>
    </row>
    <row r="4166" spans="2:4" x14ac:dyDescent="0.2">
      <c r="B4166" s="115"/>
      <c r="D4166" s="116"/>
    </row>
    <row r="4167" spans="2:4" x14ac:dyDescent="0.2">
      <c r="B4167" s="115"/>
      <c r="D4167" s="116"/>
    </row>
    <row r="4168" spans="2:4" x14ac:dyDescent="0.2">
      <c r="B4168" s="115"/>
      <c r="D4168" s="116"/>
    </row>
    <row r="4169" spans="2:4" x14ac:dyDescent="0.2">
      <c r="B4169" s="115"/>
      <c r="D4169" s="116"/>
    </row>
    <row r="4170" spans="2:4" x14ac:dyDescent="0.2">
      <c r="B4170" s="115"/>
      <c r="D4170" s="116"/>
    </row>
    <row r="4171" spans="2:4" x14ac:dyDescent="0.2">
      <c r="B4171" s="115"/>
      <c r="D4171" s="116"/>
    </row>
    <row r="4172" spans="2:4" x14ac:dyDescent="0.2">
      <c r="B4172" s="115"/>
      <c r="D4172" s="116"/>
    </row>
    <row r="4173" spans="2:4" x14ac:dyDescent="0.2">
      <c r="B4173" s="115"/>
      <c r="D4173" s="116"/>
    </row>
    <row r="4174" spans="2:4" x14ac:dyDescent="0.2">
      <c r="B4174" s="115"/>
      <c r="D4174" s="116"/>
    </row>
    <row r="4175" spans="2:4" x14ac:dyDescent="0.2">
      <c r="B4175" s="115"/>
      <c r="D4175" s="116"/>
    </row>
    <row r="4176" spans="2:4" x14ac:dyDescent="0.2">
      <c r="B4176" s="115"/>
      <c r="D4176" s="116"/>
    </row>
    <row r="4177" spans="2:4" x14ac:dyDescent="0.2">
      <c r="B4177" s="115"/>
      <c r="D4177" s="116"/>
    </row>
    <row r="4178" spans="2:4" x14ac:dyDescent="0.2">
      <c r="B4178" s="115"/>
      <c r="D4178" s="116"/>
    </row>
    <row r="4179" spans="2:4" x14ac:dyDescent="0.2">
      <c r="B4179" s="115"/>
      <c r="D4179" s="116"/>
    </row>
    <row r="4180" spans="2:4" x14ac:dyDescent="0.2">
      <c r="B4180" s="115"/>
      <c r="D4180" s="116"/>
    </row>
    <row r="4181" spans="2:4" x14ac:dyDescent="0.2">
      <c r="B4181" s="115"/>
      <c r="D4181" s="116"/>
    </row>
    <row r="4182" spans="2:4" x14ac:dyDescent="0.2">
      <c r="B4182" s="115"/>
      <c r="D4182" s="116"/>
    </row>
    <row r="4183" spans="2:4" x14ac:dyDescent="0.2">
      <c r="B4183" s="115"/>
      <c r="D4183" s="116"/>
    </row>
    <row r="4184" spans="2:4" x14ac:dyDescent="0.2">
      <c r="B4184" s="115"/>
      <c r="D4184" s="116"/>
    </row>
    <row r="4185" spans="2:4" x14ac:dyDescent="0.2">
      <c r="B4185" s="115"/>
      <c r="D4185" s="116"/>
    </row>
    <row r="4186" spans="2:4" x14ac:dyDescent="0.2">
      <c r="B4186" s="115"/>
      <c r="D4186" s="116"/>
    </row>
    <row r="4187" spans="2:4" x14ac:dyDescent="0.2">
      <c r="B4187" s="115"/>
      <c r="D4187" s="116"/>
    </row>
    <row r="4188" spans="2:4" x14ac:dyDescent="0.2">
      <c r="B4188" s="115"/>
      <c r="D4188" s="116"/>
    </row>
    <row r="4189" spans="2:4" x14ac:dyDescent="0.2">
      <c r="B4189" s="115"/>
      <c r="D4189" s="116"/>
    </row>
    <row r="4190" spans="2:4" x14ac:dyDescent="0.2">
      <c r="B4190" s="115"/>
      <c r="D4190" s="116"/>
    </row>
    <row r="4191" spans="2:4" x14ac:dyDescent="0.2">
      <c r="B4191" s="115"/>
      <c r="D4191" s="116"/>
    </row>
    <row r="4192" spans="2:4" x14ac:dyDescent="0.2">
      <c r="B4192" s="115"/>
      <c r="D4192" s="116"/>
    </row>
    <row r="4193" spans="2:4" x14ac:dyDescent="0.2">
      <c r="B4193" s="115"/>
      <c r="D4193" s="116"/>
    </row>
    <row r="4194" spans="2:4" x14ac:dyDescent="0.2">
      <c r="B4194" s="115"/>
      <c r="D4194" s="116"/>
    </row>
    <row r="4195" spans="2:4" x14ac:dyDescent="0.2">
      <c r="B4195" s="115"/>
      <c r="D4195" s="116"/>
    </row>
    <row r="4196" spans="2:4" x14ac:dyDescent="0.2">
      <c r="B4196" s="115"/>
      <c r="D4196" s="116"/>
    </row>
    <row r="4197" spans="2:4" x14ac:dyDescent="0.2">
      <c r="B4197" s="115"/>
      <c r="D4197" s="116"/>
    </row>
    <row r="4198" spans="2:4" x14ac:dyDescent="0.2">
      <c r="B4198" s="115"/>
      <c r="D4198" s="116"/>
    </row>
    <row r="4199" spans="2:4" x14ac:dyDescent="0.2">
      <c r="B4199" s="115"/>
      <c r="D4199" s="116"/>
    </row>
    <row r="4200" spans="2:4" x14ac:dyDescent="0.2">
      <c r="B4200" s="115"/>
      <c r="D4200" s="116"/>
    </row>
    <row r="4201" spans="2:4" x14ac:dyDescent="0.2">
      <c r="B4201" s="115"/>
      <c r="D4201" s="116"/>
    </row>
    <row r="4202" spans="2:4" x14ac:dyDescent="0.2">
      <c r="B4202" s="115"/>
      <c r="D4202" s="116"/>
    </row>
    <row r="4203" spans="2:4" x14ac:dyDescent="0.2">
      <c r="B4203" s="115"/>
      <c r="D4203" s="116"/>
    </row>
    <row r="4204" spans="2:4" x14ac:dyDescent="0.2">
      <c r="B4204" s="115"/>
      <c r="D4204" s="116"/>
    </row>
    <row r="4205" spans="2:4" x14ac:dyDescent="0.2">
      <c r="B4205" s="115"/>
      <c r="D4205" s="116"/>
    </row>
    <row r="4206" spans="2:4" x14ac:dyDescent="0.2">
      <c r="B4206" s="115"/>
      <c r="D4206" s="116"/>
    </row>
    <row r="4207" spans="2:4" x14ac:dyDescent="0.2">
      <c r="B4207" s="115"/>
      <c r="D4207" s="116"/>
    </row>
    <row r="4208" spans="2:4" x14ac:dyDescent="0.2">
      <c r="B4208" s="115"/>
      <c r="D4208" s="116"/>
    </row>
    <row r="4209" spans="2:4" x14ac:dyDescent="0.2">
      <c r="B4209" s="115"/>
      <c r="D4209" s="116"/>
    </row>
    <row r="4210" spans="2:4" x14ac:dyDescent="0.2">
      <c r="B4210" s="115"/>
      <c r="D4210" s="116"/>
    </row>
    <row r="4211" spans="2:4" x14ac:dyDescent="0.2">
      <c r="B4211" s="115"/>
      <c r="D4211" s="116"/>
    </row>
    <row r="4212" spans="2:4" x14ac:dyDescent="0.2">
      <c r="B4212" s="115"/>
      <c r="D4212" s="116"/>
    </row>
    <row r="4213" spans="2:4" x14ac:dyDescent="0.2">
      <c r="B4213" s="115"/>
      <c r="D4213" s="116"/>
    </row>
    <row r="4214" spans="2:4" x14ac:dyDescent="0.2">
      <c r="B4214" s="115"/>
      <c r="D4214" s="116"/>
    </row>
    <row r="4215" spans="2:4" x14ac:dyDescent="0.2">
      <c r="B4215" s="115"/>
      <c r="D4215" s="116"/>
    </row>
    <row r="4216" spans="2:4" x14ac:dyDescent="0.2">
      <c r="B4216" s="115"/>
      <c r="D4216" s="116"/>
    </row>
    <row r="4217" spans="2:4" x14ac:dyDescent="0.2">
      <c r="B4217" s="115"/>
      <c r="D4217" s="116"/>
    </row>
    <row r="4218" spans="2:4" x14ac:dyDescent="0.2">
      <c r="B4218" s="115"/>
      <c r="D4218" s="116"/>
    </row>
    <row r="4219" spans="2:4" x14ac:dyDescent="0.2">
      <c r="B4219" s="115"/>
      <c r="D4219" s="116"/>
    </row>
    <row r="4220" spans="2:4" x14ac:dyDescent="0.2">
      <c r="B4220" s="115"/>
      <c r="D4220" s="116"/>
    </row>
    <row r="4221" spans="2:4" x14ac:dyDescent="0.2">
      <c r="B4221" s="115"/>
      <c r="D4221" s="116"/>
    </row>
    <row r="4222" spans="2:4" x14ac:dyDescent="0.2">
      <c r="B4222" s="115"/>
      <c r="D4222" s="116"/>
    </row>
    <row r="4223" spans="2:4" x14ac:dyDescent="0.2">
      <c r="B4223" s="115"/>
      <c r="D4223" s="116"/>
    </row>
    <row r="4224" spans="2:4" x14ac:dyDescent="0.2">
      <c r="B4224" s="115"/>
      <c r="D4224" s="116"/>
    </row>
    <row r="4225" spans="2:4" x14ac:dyDescent="0.2">
      <c r="B4225" s="115"/>
      <c r="D4225" s="116"/>
    </row>
    <row r="4226" spans="2:4" x14ac:dyDescent="0.2">
      <c r="B4226" s="115"/>
      <c r="D4226" s="116"/>
    </row>
    <row r="4227" spans="2:4" x14ac:dyDescent="0.2">
      <c r="B4227" s="115"/>
      <c r="D4227" s="116"/>
    </row>
    <row r="4228" spans="2:4" x14ac:dyDescent="0.2">
      <c r="B4228" s="115"/>
      <c r="D4228" s="116"/>
    </row>
    <row r="4229" spans="2:4" x14ac:dyDescent="0.2">
      <c r="B4229" s="115"/>
      <c r="D4229" s="116"/>
    </row>
    <row r="4230" spans="2:4" x14ac:dyDescent="0.2">
      <c r="B4230" s="115"/>
      <c r="D4230" s="116"/>
    </row>
    <row r="4231" spans="2:4" x14ac:dyDescent="0.2">
      <c r="B4231" s="115"/>
      <c r="D4231" s="116"/>
    </row>
    <row r="4232" spans="2:4" x14ac:dyDescent="0.2">
      <c r="B4232" s="115"/>
      <c r="D4232" s="116"/>
    </row>
    <row r="4233" spans="2:4" x14ac:dyDescent="0.2">
      <c r="B4233" s="115"/>
      <c r="D4233" s="116"/>
    </row>
    <row r="4234" spans="2:4" x14ac:dyDescent="0.2">
      <c r="B4234" s="115"/>
      <c r="D4234" s="116"/>
    </row>
    <row r="4235" spans="2:4" x14ac:dyDescent="0.2">
      <c r="B4235" s="115"/>
      <c r="D4235" s="116"/>
    </row>
    <row r="4236" spans="2:4" x14ac:dyDescent="0.2">
      <c r="B4236" s="115"/>
      <c r="D4236" s="116"/>
    </row>
    <row r="4237" spans="2:4" x14ac:dyDescent="0.2">
      <c r="B4237" s="115"/>
      <c r="D4237" s="116"/>
    </row>
    <row r="4238" spans="2:4" x14ac:dyDescent="0.2">
      <c r="B4238" s="115"/>
      <c r="D4238" s="116"/>
    </row>
    <row r="4239" spans="2:4" x14ac:dyDescent="0.2">
      <c r="B4239" s="115"/>
      <c r="D4239" s="116"/>
    </row>
    <row r="4240" spans="2:4" x14ac:dyDescent="0.2">
      <c r="B4240" s="115"/>
      <c r="D4240" s="116"/>
    </row>
    <row r="4241" spans="2:4" x14ac:dyDescent="0.2">
      <c r="B4241" s="115"/>
      <c r="D4241" s="116"/>
    </row>
    <row r="4242" spans="2:4" x14ac:dyDescent="0.2">
      <c r="B4242" s="115"/>
      <c r="D4242" s="116"/>
    </row>
    <row r="4243" spans="2:4" x14ac:dyDescent="0.2">
      <c r="B4243" s="115"/>
      <c r="D4243" s="116"/>
    </row>
    <row r="4244" spans="2:4" x14ac:dyDescent="0.2">
      <c r="B4244" s="115"/>
      <c r="D4244" s="116"/>
    </row>
    <row r="4245" spans="2:4" x14ac:dyDescent="0.2">
      <c r="B4245" s="115"/>
      <c r="D4245" s="116"/>
    </row>
    <row r="4246" spans="2:4" x14ac:dyDescent="0.2">
      <c r="B4246" s="115"/>
      <c r="D4246" s="116"/>
    </row>
    <row r="4247" spans="2:4" x14ac:dyDescent="0.2">
      <c r="B4247" s="115"/>
      <c r="D4247" s="116"/>
    </row>
    <row r="4248" spans="2:4" x14ac:dyDescent="0.2">
      <c r="B4248" s="115"/>
      <c r="D4248" s="116"/>
    </row>
    <row r="4249" spans="2:4" x14ac:dyDescent="0.2">
      <c r="B4249" s="115"/>
      <c r="D4249" s="116"/>
    </row>
    <row r="4250" spans="2:4" x14ac:dyDescent="0.2">
      <c r="B4250" s="115"/>
      <c r="D4250" s="116"/>
    </row>
    <row r="4251" spans="2:4" x14ac:dyDescent="0.2">
      <c r="B4251" s="115"/>
      <c r="D4251" s="116"/>
    </row>
    <row r="4252" spans="2:4" x14ac:dyDescent="0.2">
      <c r="B4252" s="115"/>
      <c r="D4252" s="116"/>
    </row>
    <row r="4253" spans="2:4" x14ac:dyDescent="0.2">
      <c r="B4253" s="115"/>
      <c r="D4253" s="116"/>
    </row>
    <row r="4254" spans="2:4" x14ac:dyDescent="0.2">
      <c r="B4254" s="115"/>
      <c r="D4254" s="116"/>
    </row>
    <row r="4255" spans="2:4" x14ac:dyDescent="0.2">
      <c r="B4255" s="115"/>
      <c r="D4255" s="116"/>
    </row>
    <row r="4256" spans="2:4" x14ac:dyDescent="0.2">
      <c r="B4256" s="115"/>
      <c r="D4256" s="116"/>
    </row>
    <row r="4257" spans="2:4" x14ac:dyDescent="0.2">
      <c r="B4257" s="115"/>
      <c r="D4257" s="116"/>
    </row>
    <row r="4258" spans="2:4" x14ac:dyDescent="0.2">
      <c r="B4258" s="115"/>
      <c r="D4258" s="116"/>
    </row>
    <row r="4259" spans="2:4" x14ac:dyDescent="0.2">
      <c r="B4259" s="115"/>
      <c r="D4259" s="116"/>
    </row>
    <row r="4260" spans="2:4" x14ac:dyDescent="0.2">
      <c r="B4260" s="115"/>
      <c r="D4260" s="116"/>
    </row>
    <row r="4261" spans="2:4" x14ac:dyDescent="0.2">
      <c r="B4261" s="115"/>
      <c r="D4261" s="116"/>
    </row>
    <row r="4262" spans="2:4" x14ac:dyDescent="0.2">
      <c r="B4262" s="115"/>
      <c r="D4262" s="116"/>
    </row>
    <row r="4263" spans="2:4" x14ac:dyDescent="0.2">
      <c r="B4263" s="115"/>
      <c r="D4263" s="116"/>
    </row>
    <row r="4264" spans="2:4" x14ac:dyDescent="0.2">
      <c r="B4264" s="115"/>
      <c r="D4264" s="116"/>
    </row>
    <row r="4265" spans="2:4" x14ac:dyDescent="0.2">
      <c r="B4265" s="115"/>
      <c r="D4265" s="116"/>
    </row>
    <row r="4266" spans="2:4" x14ac:dyDescent="0.2">
      <c r="B4266" s="115"/>
      <c r="D4266" s="116"/>
    </row>
    <row r="4267" spans="2:4" x14ac:dyDescent="0.2">
      <c r="B4267" s="115"/>
      <c r="D4267" s="116"/>
    </row>
    <row r="4268" spans="2:4" x14ac:dyDescent="0.2">
      <c r="B4268" s="115"/>
      <c r="D4268" s="116"/>
    </row>
    <row r="4269" spans="2:4" x14ac:dyDescent="0.2">
      <c r="B4269" s="115"/>
      <c r="D4269" s="116"/>
    </row>
    <row r="4270" spans="2:4" x14ac:dyDescent="0.2">
      <c r="B4270" s="115"/>
      <c r="D4270" s="116"/>
    </row>
    <row r="4271" spans="2:4" x14ac:dyDescent="0.2">
      <c r="B4271" s="115"/>
      <c r="D4271" s="116"/>
    </row>
    <row r="4272" spans="2:4" x14ac:dyDescent="0.2">
      <c r="B4272" s="115"/>
      <c r="D4272" s="116"/>
    </row>
    <row r="4273" spans="2:4" x14ac:dyDescent="0.2">
      <c r="B4273" s="115"/>
      <c r="D4273" s="116"/>
    </row>
    <row r="4274" spans="2:4" x14ac:dyDescent="0.2">
      <c r="B4274" s="115"/>
      <c r="D4274" s="116"/>
    </row>
    <row r="4275" spans="2:4" x14ac:dyDescent="0.2">
      <c r="B4275" s="115"/>
      <c r="D4275" s="116"/>
    </row>
    <row r="4276" spans="2:4" x14ac:dyDescent="0.2">
      <c r="B4276" s="115"/>
      <c r="D4276" s="116"/>
    </row>
    <row r="4277" spans="2:4" x14ac:dyDescent="0.2">
      <c r="B4277" s="115"/>
      <c r="D4277" s="116"/>
    </row>
    <row r="4278" spans="2:4" x14ac:dyDescent="0.2">
      <c r="B4278" s="115"/>
      <c r="D4278" s="116"/>
    </row>
    <row r="4279" spans="2:4" x14ac:dyDescent="0.2">
      <c r="B4279" s="115"/>
      <c r="D4279" s="116"/>
    </row>
    <row r="4280" spans="2:4" x14ac:dyDescent="0.2">
      <c r="B4280" s="115"/>
      <c r="D4280" s="116"/>
    </row>
    <row r="4281" spans="2:4" x14ac:dyDescent="0.2">
      <c r="B4281" s="115"/>
      <c r="D4281" s="116"/>
    </row>
    <row r="4282" spans="2:4" x14ac:dyDescent="0.2">
      <c r="B4282" s="115"/>
      <c r="D4282" s="116"/>
    </row>
    <row r="4283" spans="2:4" x14ac:dyDescent="0.2">
      <c r="B4283" s="115"/>
      <c r="D4283" s="116"/>
    </row>
    <row r="4284" spans="2:4" x14ac:dyDescent="0.2">
      <c r="B4284" s="115"/>
      <c r="D4284" s="116"/>
    </row>
    <row r="4285" spans="2:4" x14ac:dyDescent="0.2">
      <c r="B4285" s="115"/>
      <c r="D4285" s="116"/>
    </row>
    <row r="4286" spans="2:4" x14ac:dyDescent="0.2">
      <c r="B4286" s="115"/>
      <c r="D4286" s="116"/>
    </row>
    <row r="4287" spans="2:4" x14ac:dyDescent="0.2">
      <c r="B4287" s="115"/>
      <c r="D4287" s="116"/>
    </row>
    <row r="4288" spans="2:4" x14ac:dyDescent="0.2">
      <c r="B4288" s="115"/>
      <c r="D4288" s="116"/>
    </row>
    <row r="4289" spans="2:4" x14ac:dyDescent="0.2">
      <c r="B4289" s="115"/>
      <c r="D4289" s="116"/>
    </row>
    <row r="4290" spans="2:4" x14ac:dyDescent="0.2">
      <c r="B4290" s="115"/>
      <c r="D4290" s="116"/>
    </row>
    <row r="4291" spans="2:4" x14ac:dyDescent="0.2">
      <c r="B4291" s="115"/>
      <c r="D4291" s="116"/>
    </row>
    <row r="4292" spans="2:4" x14ac:dyDescent="0.2">
      <c r="B4292" s="115"/>
      <c r="D4292" s="116"/>
    </row>
    <row r="4293" spans="2:4" x14ac:dyDescent="0.2">
      <c r="B4293" s="115"/>
      <c r="D4293" s="116"/>
    </row>
    <row r="4294" spans="2:4" x14ac:dyDescent="0.2">
      <c r="B4294" s="115"/>
      <c r="D4294" s="116"/>
    </row>
    <row r="4295" spans="2:4" x14ac:dyDescent="0.2">
      <c r="B4295" s="115"/>
      <c r="D4295" s="116"/>
    </row>
    <row r="4296" spans="2:4" x14ac:dyDescent="0.2">
      <c r="B4296" s="115"/>
      <c r="D4296" s="116"/>
    </row>
    <row r="4297" spans="2:4" x14ac:dyDescent="0.2">
      <c r="B4297" s="115"/>
      <c r="D4297" s="116"/>
    </row>
    <row r="4298" spans="2:4" x14ac:dyDescent="0.2">
      <c r="B4298" s="115"/>
      <c r="D4298" s="116"/>
    </row>
    <row r="4299" spans="2:4" x14ac:dyDescent="0.2">
      <c r="B4299" s="115"/>
      <c r="D4299" s="116"/>
    </row>
    <row r="4300" spans="2:4" x14ac:dyDescent="0.2">
      <c r="B4300" s="115"/>
      <c r="D4300" s="116"/>
    </row>
    <row r="4301" spans="2:4" x14ac:dyDescent="0.2">
      <c r="B4301" s="115"/>
      <c r="D4301" s="116"/>
    </row>
    <row r="4302" spans="2:4" x14ac:dyDescent="0.2">
      <c r="B4302" s="115"/>
      <c r="D4302" s="116"/>
    </row>
    <row r="4303" spans="2:4" x14ac:dyDescent="0.2">
      <c r="B4303" s="115"/>
      <c r="D4303" s="116"/>
    </row>
    <row r="4304" spans="2:4" x14ac:dyDescent="0.2">
      <c r="B4304" s="115"/>
      <c r="D4304" s="116"/>
    </row>
    <row r="4305" spans="2:4" x14ac:dyDescent="0.2">
      <c r="B4305" s="115"/>
      <c r="D4305" s="116"/>
    </row>
    <row r="4306" spans="2:4" x14ac:dyDescent="0.2">
      <c r="B4306" s="115"/>
      <c r="D4306" s="116"/>
    </row>
    <row r="4307" spans="2:4" x14ac:dyDescent="0.2">
      <c r="B4307" s="115"/>
      <c r="D4307" s="116"/>
    </row>
    <row r="4308" spans="2:4" x14ac:dyDescent="0.2">
      <c r="B4308" s="115"/>
      <c r="D4308" s="116"/>
    </row>
    <row r="4309" spans="2:4" x14ac:dyDescent="0.2">
      <c r="B4309" s="115"/>
      <c r="D4309" s="116"/>
    </row>
    <row r="4310" spans="2:4" x14ac:dyDescent="0.2">
      <c r="B4310" s="115"/>
      <c r="D4310" s="116"/>
    </row>
    <row r="4311" spans="2:4" x14ac:dyDescent="0.2">
      <c r="B4311" s="115"/>
      <c r="D4311" s="116"/>
    </row>
    <row r="4312" spans="2:4" x14ac:dyDescent="0.2">
      <c r="B4312" s="115"/>
      <c r="D4312" s="116"/>
    </row>
    <row r="4313" spans="2:4" x14ac:dyDescent="0.2">
      <c r="B4313" s="115"/>
      <c r="D4313" s="116"/>
    </row>
    <row r="4314" spans="2:4" x14ac:dyDescent="0.2">
      <c r="B4314" s="115"/>
      <c r="D4314" s="116"/>
    </row>
    <row r="4315" spans="2:4" x14ac:dyDescent="0.2">
      <c r="B4315" s="115"/>
      <c r="D4315" s="116"/>
    </row>
    <row r="4316" spans="2:4" x14ac:dyDescent="0.2">
      <c r="B4316" s="115"/>
      <c r="D4316" s="116"/>
    </row>
    <row r="4317" spans="2:4" x14ac:dyDescent="0.2">
      <c r="B4317" s="115"/>
      <c r="D4317" s="116"/>
    </row>
    <row r="4318" spans="2:4" x14ac:dyDescent="0.2">
      <c r="B4318" s="115"/>
      <c r="D4318" s="116"/>
    </row>
    <row r="4319" spans="2:4" x14ac:dyDescent="0.2">
      <c r="B4319" s="115"/>
      <c r="D4319" s="116"/>
    </row>
    <row r="4320" spans="2:4" x14ac:dyDescent="0.2">
      <c r="B4320" s="115"/>
      <c r="D4320" s="116"/>
    </row>
    <row r="4321" spans="2:4" x14ac:dyDescent="0.2">
      <c r="B4321" s="115"/>
      <c r="D4321" s="116"/>
    </row>
    <row r="4322" spans="2:4" x14ac:dyDescent="0.2">
      <c r="B4322" s="115"/>
      <c r="D4322" s="116"/>
    </row>
    <row r="4323" spans="2:4" x14ac:dyDescent="0.2">
      <c r="B4323" s="115"/>
      <c r="D4323" s="116"/>
    </row>
    <row r="4324" spans="2:4" x14ac:dyDescent="0.2">
      <c r="B4324" s="115"/>
      <c r="D4324" s="116"/>
    </row>
    <row r="4325" spans="2:4" x14ac:dyDescent="0.2">
      <c r="B4325" s="115"/>
      <c r="D4325" s="116"/>
    </row>
    <row r="4326" spans="2:4" x14ac:dyDescent="0.2">
      <c r="B4326" s="115"/>
      <c r="D4326" s="116"/>
    </row>
    <row r="4327" spans="2:4" x14ac:dyDescent="0.2">
      <c r="B4327" s="115"/>
      <c r="D4327" s="116"/>
    </row>
    <row r="4328" spans="2:4" x14ac:dyDescent="0.2">
      <c r="B4328" s="115"/>
      <c r="D4328" s="116"/>
    </row>
    <row r="4329" spans="2:4" x14ac:dyDescent="0.2">
      <c r="B4329" s="115"/>
      <c r="D4329" s="116"/>
    </row>
    <row r="4330" spans="2:4" x14ac:dyDescent="0.2">
      <c r="B4330" s="115"/>
      <c r="D4330" s="116"/>
    </row>
    <row r="4331" spans="2:4" x14ac:dyDescent="0.2">
      <c r="B4331" s="115"/>
      <c r="D4331" s="116"/>
    </row>
    <row r="4332" spans="2:4" x14ac:dyDescent="0.2">
      <c r="B4332" s="115"/>
      <c r="D4332" s="116"/>
    </row>
    <row r="4333" spans="2:4" x14ac:dyDescent="0.2">
      <c r="B4333" s="115"/>
      <c r="D4333" s="116"/>
    </row>
    <row r="4334" spans="2:4" x14ac:dyDescent="0.2">
      <c r="B4334" s="115"/>
      <c r="D4334" s="116"/>
    </row>
    <row r="4335" spans="2:4" x14ac:dyDescent="0.2">
      <c r="B4335" s="115"/>
      <c r="D4335" s="116"/>
    </row>
    <row r="4336" spans="2:4" x14ac:dyDescent="0.2">
      <c r="B4336" s="115"/>
      <c r="D4336" s="116"/>
    </row>
    <row r="4337" spans="2:4" x14ac:dyDescent="0.2">
      <c r="B4337" s="115"/>
      <c r="D4337" s="116"/>
    </row>
    <row r="4338" spans="2:4" x14ac:dyDescent="0.2">
      <c r="B4338" s="115"/>
      <c r="D4338" s="116"/>
    </row>
    <row r="4339" spans="2:4" x14ac:dyDescent="0.2">
      <c r="B4339" s="115"/>
      <c r="D4339" s="116"/>
    </row>
    <row r="4340" spans="2:4" x14ac:dyDescent="0.2">
      <c r="B4340" s="115"/>
      <c r="D4340" s="116"/>
    </row>
    <row r="4341" spans="2:4" x14ac:dyDescent="0.2">
      <c r="B4341" s="115"/>
      <c r="D4341" s="116"/>
    </row>
    <row r="4342" spans="2:4" x14ac:dyDescent="0.2">
      <c r="B4342" s="115"/>
      <c r="D4342" s="116"/>
    </row>
    <row r="4343" spans="2:4" x14ac:dyDescent="0.2">
      <c r="B4343" s="115"/>
      <c r="D4343" s="116"/>
    </row>
    <row r="4344" spans="2:4" x14ac:dyDescent="0.2">
      <c r="B4344" s="115"/>
      <c r="D4344" s="116"/>
    </row>
    <row r="4345" spans="2:4" x14ac:dyDescent="0.2">
      <c r="B4345" s="115"/>
      <c r="D4345" s="116"/>
    </row>
    <row r="4346" spans="2:4" x14ac:dyDescent="0.2">
      <c r="B4346" s="115"/>
      <c r="D4346" s="116"/>
    </row>
    <row r="4347" spans="2:4" x14ac:dyDescent="0.2">
      <c r="B4347" s="115"/>
      <c r="D4347" s="116"/>
    </row>
    <row r="4348" spans="2:4" x14ac:dyDescent="0.2">
      <c r="B4348" s="115"/>
      <c r="D4348" s="116"/>
    </row>
    <row r="4349" spans="2:4" x14ac:dyDescent="0.2">
      <c r="B4349" s="115"/>
      <c r="D4349" s="116"/>
    </row>
    <row r="4350" spans="2:4" x14ac:dyDescent="0.2">
      <c r="B4350" s="115"/>
      <c r="D4350" s="116"/>
    </row>
    <row r="4351" spans="2:4" x14ac:dyDescent="0.2">
      <c r="B4351" s="115"/>
      <c r="D4351" s="116"/>
    </row>
    <row r="4352" spans="2:4" x14ac:dyDescent="0.2">
      <c r="B4352" s="115"/>
      <c r="D4352" s="116"/>
    </row>
    <row r="4353" spans="2:4" x14ac:dyDescent="0.2">
      <c r="B4353" s="115"/>
      <c r="D4353" s="116"/>
    </row>
    <row r="4354" spans="2:4" x14ac:dyDescent="0.2">
      <c r="B4354" s="115"/>
      <c r="D4354" s="116"/>
    </row>
    <row r="4355" spans="2:4" x14ac:dyDescent="0.2">
      <c r="B4355" s="115"/>
      <c r="D4355" s="116"/>
    </row>
    <row r="4356" spans="2:4" x14ac:dyDescent="0.2">
      <c r="B4356" s="115"/>
      <c r="D4356" s="116"/>
    </row>
    <row r="4357" spans="2:4" x14ac:dyDescent="0.2">
      <c r="B4357" s="115"/>
      <c r="D4357" s="116"/>
    </row>
    <row r="4358" spans="2:4" x14ac:dyDescent="0.2">
      <c r="B4358" s="115"/>
      <c r="D4358" s="116"/>
    </row>
    <row r="4359" spans="2:4" x14ac:dyDescent="0.2">
      <c r="B4359" s="115"/>
      <c r="D4359" s="116"/>
    </row>
    <row r="4360" spans="2:4" x14ac:dyDescent="0.2">
      <c r="B4360" s="115"/>
      <c r="D4360" s="116"/>
    </row>
    <row r="4361" spans="2:4" x14ac:dyDescent="0.2">
      <c r="B4361" s="115"/>
      <c r="D4361" s="116"/>
    </row>
    <row r="4362" spans="2:4" x14ac:dyDescent="0.2">
      <c r="B4362" s="115"/>
      <c r="D4362" s="116"/>
    </row>
    <row r="4363" spans="2:4" x14ac:dyDescent="0.2">
      <c r="B4363" s="115"/>
      <c r="D4363" s="116"/>
    </row>
    <row r="4364" spans="2:4" x14ac:dyDescent="0.2">
      <c r="B4364" s="115"/>
      <c r="D4364" s="116"/>
    </row>
    <row r="4365" spans="2:4" x14ac:dyDescent="0.2">
      <c r="B4365" s="115"/>
      <c r="D4365" s="116"/>
    </row>
    <row r="4366" spans="2:4" x14ac:dyDescent="0.2">
      <c r="B4366" s="115"/>
      <c r="D4366" s="116"/>
    </row>
    <row r="4367" spans="2:4" x14ac:dyDescent="0.2">
      <c r="B4367" s="115"/>
      <c r="D4367" s="116"/>
    </row>
    <row r="4368" spans="2:4" x14ac:dyDescent="0.2">
      <c r="B4368" s="115"/>
      <c r="D4368" s="116"/>
    </row>
    <row r="4369" spans="2:4" x14ac:dyDescent="0.2">
      <c r="B4369" s="115"/>
      <c r="D4369" s="116"/>
    </row>
    <row r="4370" spans="2:4" x14ac:dyDescent="0.2">
      <c r="B4370" s="115"/>
      <c r="D4370" s="116"/>
    </row>
    <row r="4371" spans="2:4" x14ac:dyDescent="0.2">
      <c r="B4371" s="115"/>
      <c r="D4371" s="116"/>
    </row>
    <row r="4372" spans="2:4" x14ac:dyDescent="0.2">
      <c r="B4372" s="115"/>
      <c r="D4372" s="116"/>
    </row>
    <row r="4373" spans="2:4" x14ac:dyDescent="0.2">
      <c r="B4373" s="115"/>
      <c r="D4373" s="116"/>
    </row>
    <row r="4374" spans="2:4" x14ac:dyDescent="0.2">
      <c r="B4374" s="115"/>
      <c r="D4374" s="116"/>
    </row>
    <row r="4375" spans="2:4" x14ac:dyDescent="0.2">
      <c r="B4375" s="115"/>
      <c r="D4375" s="116"/>
    </row>
    <row r="4376" spans="2:4" x14ac:dyDescent="0.2">
      <c r="B4376" s="115"/>
      <c r="D4376" s="116"/>
    </row>
    <row r="4377" spans="2:4" x14ac:dyDescent="0.2">
      <c r="B4377" s="115"/>
      <c r="D4377" s="116"/>
    </row>
    <row r="4378" spans="2:4" x14ac:dyDescent="0.2">
      <c r="B4378" s="115"/>
      <c r="D4378" s="116"/>
    </row>
    <row r="4379" spans="2:4" x14ac:dyDescent="0.2">
      <c r="B4379" s="115"/>
      <c r="D4379" s="116"/>
    </row>
    <row r="4380" spans="2:4" x14ac:dyDescent="0.2">
      <c r="B4380" s="115"/>
      <c r="D4380" s="116"/>
    </row>
    <row r="4381" spans="2:4" x14ac:dyDescent="0.2">
      <c r="B4381" s="115"/>
      <c r="D4381" s="116"/>
    </row>
    <row r="4382" spans="2:4" x14ac:dyDescent="0.2">
      <c r="B4382" s="115"/>
      <c r="D4382" s="116"/>
    </row>
    <row r="4383" spans="2:4" x14ac:dyDescent="0.2">
      <c r="B4383" s="115"/>
      <c r="D4383" s="116"/>
    </row>
    <row r="4384" spans="2:4" x14ac:dyDescent="0.2">
      <c r="B4384" s="115"/>
      <c r="D4384" s="116"/>
    </row>
    <row r="4385" spans="2:4" x14ac:dyDescent="0.2">
      <c r="B4385" s="115"/>
      <c r="D4385" s="116"/>
    </row>
    <row r="4386" spans="2:4" x14ac:dyDescent="0.2">
      <c r="B4386" s="115"/>
      <c r="D4386" s="116"/>
    </row>
    <row r="4387" spans="2:4" x14ac:dyDescent="0.2">
      <c r="B4387" s="115"/>
      <c r="D4387" s="116"/>
    </row>
    <row r="4388" spans="2:4" x14ac:dyDescent="0.2">
      <c r="B4388" s="115"/>
      <c r="D4388" s="116"/>
    </row>
    <row r="4389" spans="2:4" x14ac:dyDescent="0.2">
      <c r="B4389" s="115"/>
      <c r="D4389" s="116"/>
    </row>
    <row r="4390" spans="2:4" x14ac:dyDescent="0.2">
      <c r="B4390" s="115"/>
      <c r="D4390" s="116"/>
    </row>
    <row r="4391" spans="2:4" x14ac:dyDescent="0.2">
      <c r="B4391" s="115"/>
      <c r="D4391" s="116"/>
    </row>
    <row r="4392" spans="2:4" x14ac:dyDescent="0.2">
      <c r="B4392" s="115"/>
      <c r="D4392" s="116"/>
    </row>
    <row r="4393" spans="2:4" x14ac:dyDescent="0.2">
      <c r="B4393" s="115"/>
      <c r="D4393" s="116"/>
    </row>
    <row r="4394" spans="2:4" x14ac:dyDescent="0.2">
      <c r="B4394" s="115"/>
      <c r="D4394" s="116"/>
    </row>
    <row r="4395" spans="2:4" x14ac:dyDescent="0.2">
      <c r="B4395" s="115"/>
      <c r="D4395" s="116"/>
    </row>
    <row r="4396" spans="2:4" x14ac:dyDescent="0.2">
      <c r="B4396" s="115"/>
      <c r="D4396" s="116"/>
    </row>
    <row r="4397" spans="2:4" x14ac:dyDescent="0.2">
      <c r="B4397" s="115"/>
      <c r="D4397" s="116"/>
    </row>
    <row r="4398" spans="2:4" x14ac:dyDescent="0.2">
      <c r="B4398" s="115"/>
      <c r="D4398" s="116"/>
    </row>
    <row r="4399" spans="2:4" x14ac:dyDescent="0.2">
      <c r="B4399" s="115"/>
      <c r="D4399" s="116"/>
    </row>
    <row r="4400" spans="2:4" x14ac:dyDescent="0.2">
      <c r="B4400" s="115"/>
      <c r="D4400" s="116"/>
    </row>
    <row r="4401" spans="2:4" x14ac:dyDescent="0.2">
      <c r="B4401" s="115"/>
      <c r="D4401" s="116"/>
    </row>
    <row r="4402" spans="2:4" x14ac:dyDescent="0.2">
      <c r="B4402" s="115"/>
      <c r="D4402" s="116"/>
    </row>
    <row r="4403" spans="2:4" x14ac:dyDescent="0.2">
      <c r="B4403" s="115"/>
      <c r="D4403" s="116"/>
    </row>
    <row r="4404" spans="2:4" x14ac:dyDescent="0.2">
      <c r="B4404" s="115"/>
      <c r="D4404" s="116"/>
    </row>
    <row r="4405" spans="2:4" x14ac:dyDescent="0.2">
      <c r="B4405" s="115"/>
      <c r="D4405" s="116"/>
    </row>
    <row r="4406" spans="2:4" x14ac:dyDescent="0.2">
      <c r="B4406" s="115"/>
      <c r="D4406" s="116"/>
    </row>
    <row r="4407" spans="2:4" x14ac:dyDescent="0.2">
      <c r="B4407" s="115"/>
      <c r="D4407" s="116"/>
    </row>
    <row r="4408" spans="2:4" x14ac:dyDescent="0.2">
      <c r="B4408" s="115"/>
      <c r="D4408" s="116"/>
    </row>
    <row r="4409" spans="2:4" x14ac:dyDescent="0.2">
      <c r="B4409" s="115"/>
      <c r="D4409" s="116"/>
    </row>
    <row r="4410" spans="2:4" x14ac:dyDescent="0.2">
      <c r="B4410" s="115"/>
      <c r="D4410" s="116"/>
    </row>
    <row r="4411" spans="2:4" x14ac:dyDescent="0.2">
      <c r="B4411" s="115"/>
      <c r="D4411" s="116"/>
    </row>
    <row r="4412" spans="2:4" x14ac:dyDescent="0.2">
      <c r="B4412" s="115"/>
      <c r="D4412" s="116"/>
    </row>
    <row r="4413" spans="2:4" x14ac:dyDescent="0.2">
      <c r="B4413" s="115"/>
      <c r="D4413" s="116"/>
    </row>
    <row r="4414" spans="2:4" x14ac:dyDescent="0.2">
      <c r="B4414" s="115"/>
      <c r="D4414" s="116"/>
    </row>
    <row r="4415" spans="2:4" x14ac:dyDescent="0.2">
      <c r="B4415" s="115"/>
      <c r="D4415" s="116"/>
    </row>
    <row r="4416" spans="2:4" x14ac:dyDescent="0.2">
      <c r="B4416" s="115"/>
      <c r="D4416" s="116"/>
    </row>
    <row r="4417" spans="2:4" x14ac:dyDescent="0.2">
      <c r="B4417" s="115"/>
      <c r="D4417" s="116"/>
    </row>
    <row r="4418" spans="2:4" x14ac:dyDescent="0.2">
      <c r="B4418" s="115"/>
      <c r="D4418" s="116"/>
    </row>
    <row r="4419" spans="2:4" x14ac:dyDescent="0.2">
      <c r="B4419" s="115"/>
      <c r="D4419" s="116"/>
    </row>
    <row r="4420" spans="2:4" x14ac:dyDescent="0.2">
      <c r="B4420" s="115"/>
      <c r="D4420" s="116"/>
    </row>
    <row r="4421" spans="2:4" x14ac:dyDescent="0.2">
      <c r="B4421" s="115"/>
      <c r="D4421" s="116"/>
    </row>
    <row r="4422" spans="2:4" x14ac:dyDescent="0.2">
      <c r="B4422" s="115"/>
      <c r="D4422" s="116"/>
    </row>
    <row r="4423" spans="2:4" x14ac:dyDescent="0.2">
      <c r="B4423" s="115"/>
      <c r="D4423" s="116"/>
    </row>
    <row r="4424" spans="2:4" x14ac:dyDescent="0.2">
      <c r="B4424" s="115"/>
      <c r="D4424" s="116"/>
    </row>
    <row r="4425" spans="2:4" x14ac:dyDescent="0.2">
      <c r="B4425" s="115"/>
      <c r="D4425" s="116"/>
    </row>
    <row r="4426" spans="2:4" x14ac:dyDescent="0.2">
      <c r="B4426" s="115"/>
      <c r="D4426" s="116"/>
    </row>
    <row r="4427" spans="2:4" x14ac:dyDescent="0.2">
      <c r="B4427" s="115"/>
      <c r="D4427" s="116"/>
    </row>
    <row r="4428" spans="2:4" x14ac:dyDescent="0.2">
      <c r="B4428" s="115"/>
      <c r="D4428" s="116"/>
    </row>
    <row r="4429" spans="2:4" x14ac:dyDescent="0.2">
      <c r="B4429" s="115"/>
      <c r="D4429" s="116"/>
    </row>
    <row r="4430" spans="2:4" x14ac:dyDescent="0.2">
      <c r="B4430" s="115"/>
      <c r="D4430" s="116"/>
    </row>
    <row r="4431" spans="2:4" x14ac:dyDescent="0.2">
      <c r="B4431" s="115"/>
      <c r="D4431" s="116"/>
    </row>
    <row r="4432" spans="2:4" x14ac:dyDescent="0.2">
      <c r="B4432" s="115"/>
      <c r="D4432" s="116"/>
    </row>
    <row r="4433" spans="2:4" x14ac:dyDescent="0.2">
      <c r="B4433" s="115"/>
      <c r="D4433" s="116"/>
    </row>
    <row r="4434" spans="2:4" x14ac:dyDescent="0.2">
      <c r="B4434" s="115"/>
      <c r="D4434" s="116"/>
    </row>
    <row r="4435" spans="2:4" x14ac:dyDescent="0.2">
      <c r="B4435" s="115"/>
      <c r="D4435" s="116"/>
    </row>
    <row r="4436" spans="2:4" x14ac:dyDescent="0.2">
      <c r="B4436" s="115"/>
      <c r="D4436" s="116"/>
    </row>
    <row r="4437" spans="2:4" x14ac:dyDescent="0.2">
      <c r="B4437" s="115"/>
      <c r="D4437" s="116"/>
    </row>
    <row r="4438" spans="2:4" x14ac:dyDescent="0.2">
      <c r="B4438" s="115"/>
      <c r="D4438" s="116"/>
    </row>
    <row r="4439" spans="2:4" x14ac:dyDescent="0.2">
      <c r="B4439" s="115"/>
      <c r="D4439" s="116"/>
    </row>
    <row r="4440" spans="2:4" x14ac:dyDescent="0.2">
      <c r="B4440" s="115"/>
      <c r="D4440" s="116"/>
    </row>
    <row r="4441" spans="2:4" x14ac:dyDescent="0.2">
      <c r="B4441" s="115"/>
      <c r="D4441" s="116"/>
    </row>
    <row r="4442" spans="2:4" x14ac:dyDescent="0.2">
      <c r="B4442" s="115"/>
      <c r="D4442" s="116"/>
    </row>
    <row r="4443" spans="2:4" x14ac:dyDescent="0.2">
      <c r="B4443" s="115"/>
      <c r="D4443" s="116"/>
    </row>
    <row r="4444" spans="2:4" x14ac:dyDescent="0.2">
      <c r="B4444" s="115"/>
      <c r="D4444" s="116"/>
    </row>
    <row r="4445" spans="2:4" x14ac:dyDescent="0.2">
      <c r="B4445" s="115"/>
      <c r="D4445" s="116"/>
    </row>
    <row r="4446" spans="2:4" x14ac:dyDescent="0.2">
      <c r="B4446" s="115"/>
      <c r="D4446" s="116"/>
    </row>
    <row r="4447" spans="2:4" x14ac:dyDescent="0.2">
      <c r="B4447" s="115"/>
      <c r="D4447" s="116"/>
    </row>
    <row r="4448" spans="2:4" x14ac:dyDescent="0.2">
      <c r="B4448" s="115"/>
      <c r="D4448" s="116"/>
    </row>
    <row r="4449" spans="2:4" x14ac:dyDescent="0.2">
      <c r="B4449" s="115"/>
      <c r="D4449" s="116"/>
    </row>
    <row r="4450" spans="2:4" x14ac:dyDescent="0.2">
      <c r="B4450" s="115"/>
      <c r="D4450" s="116"/>
    </row>
    <row r="4451" spans="2:4" x14ac:dyDescent="0.2">
      <c r="B4451" s="115"/>
      <c r="D4451" s="116"/>
    </row>
    <row r="4452" spans="2:4" x14ac:dyDescent="0.2">
      <c r="B4452" s="115"/>
      <c r="D4452" s="116"/>
    </row>
    <row r="4453" spans="2:4" x14ac:dyDescent="0.2">
      <c r="B4453" s="115"/>
      <c r="D4453" s="116"/>
    </row>
    <row r="4454" spans="2:4" x14ac:dyDescent="0.2">
      <c r="B4454" s="115"/>
      <c r="D4454" s="116"/>
    </row>
    <row r="4455" spans="2:4" x14ac:dyDescent="0.2">
      <c r="B4455" s="115"/>
      <c r="D4455" s="116"/>
    </row>
    <row r="4456" spans="2:4" x14ac:dyDescent="0.2">
      <c r="B4456" s="115"/>
      <c r="D4456" s="116"/>
    </row>
    <row r="4457" spans="2:4" x14ac:dyDescent="0.2">
      <c r="B4457" s="115"/>
      <c r="D4457" s="116"/>
    </row>
    <row r="4458" spans="2:4" x14ac:dyDescent="0.2">
      <c r="B4458" s="115"/>
      <c r="D4458" s="116"/>
    </row>
    <row r="4459" spans="2:4" x14ac:dyDescent="0.2">
      <c r="B4459" s="115"/>
      <c r="D4459" s="116"/>
    </row>
    <row r="4460" spans="2:4" x14ac:dyDescent="0.2">
      <c r="B4460" s="115"/>
      <c r="D4460" s="116"/>
    </row>
    <row r="4461" spans="2:4" x14ac:dyDescent="0.2">
      <c r="B4461" s="115"/>
      <c r="D4461" s="116"/>
    </row>
    <row r="4462" spans="2:4" x14ac:dyDescent="0.2">
      <c r="B4462" s="115"/>
      <c r="D4462" s="116"/>
    </row>
    <row r="4463" spans="2:4" x14ac:dyDescent="0.2">
      <c r="B4463" s="115"/>
      <c r="D4463" s="116"/>
    </row>
    <row r="4464" spans="2:4" x14ac:dyDescent="0.2">
      <c r="B4464" s="115"/>
      <c r="D4464" s="116"/>
    </row>
    <row r="4465" spans="2:4" x14ac:dyDescent="0.2">
      <c r="B4465" s="115"/>
      <c r="D4465" s="116"/>
    </row>
    <row r="4466" spans="2:4" x14ac:dyDescent="0.2">
      <c r="B4466" s="115"/>
      <c r="D4466" s="116"/>
    </row>
    <row r="4467" spans="2:4" x14ac:dyDescent="0.2">
      <c r="B4467" s="115"/>
      <c r="D4467" s="116"/>
    </row>
    <row r="4468" spans="2:4" x14ac:dyDescent="0.2">
      <c r="B4468" s="115"/>
      <c r="D4468" s="116"/>
    </row>
    <row r="4469" spans="2:4" x14ac:dyDescent="0.2">
      <c r="B4469" s="115"/>
      <c r="D4469" s="116"/>
    </row>
    <row r="4470" spans="2:4" x14ac:dyDescent="0.2">
      <c r="B4470" s="115"/>
      <c r="D4470" s="116"/>
    </row>
    <row r="4471" spans="2:4" x14ac:dyDescent="0.2">
      <c r="B4471" s="115"/>
      <c r="D4471" s="116"/>
    </row>
    <row r="4472" spans="2:4" x14ac:dyDescent="0.2">
      <c r="B4472" s="115"/>
      <c r="D4472" s="116"/>
    </row>
    <row r="4473" spans="2:4" x14ac:dyDescent="0.2">
      <c r="B4473" s="115"/>
      <c r="D4473" s="116"/>
    </row>
    <row r="4474" spans="2:4" x14ac:dyDescent="0.2">
      <c r="B4474" s="115"/>
      <c r="D4474" s="116"/>
    </row>
    <row r="4475" spans="2:4" x14ac:dyDescent="0.2">
      <c r="B4475" s="115"/>
      <c r="D4475" s="116"/>
    </row>
    <row r="4476" spans="2:4" x14ac:dyDescent="0.2">
      <c r="B4476" s="115"/>
      <c r="D4476" s="116"/>
    </row>
    <row r="4477" spans="2:4" x14ac:dyDescent="0.2">
      <c r="B4477" s="115"/>
      <c r="D4477" s="116"/>
    </row>
    <row r="4478" spans="2:4" x14ac:dyDescent="0.2">
      <c r="B4478" s="115"/>
      <c r="D4478" s="116"/>
    </row>
    <row r="4479" spans="2:4" x14ac:dyDescent="0.2">
      <c r="B4479" s="115"/>
      <c r="D4479" s="116"/>
    </row>
    <row r="4480" spans="2:4" x14ac:dyDescent="0.2">
      <c r="B4480" s="115"/>
      <c r="D4480" s="116"/>
    </row>
    <row r="4481" spans="2:4" x14ac:dyDescent="0.2">
      <c r="B4481" s="115"/>
      <c r="D4481" s="116"/>
    </row>
    <row r="4482" spans="2:4" x14ac:dyDescent="0.2">
      <c r="B4482" s="115"/>
      <c r="D4482" s="116"/>
    </row>
    <row r="4483" spans="2:4" x14ac:dyDescent="0.2">
      <c r="B4483" s="115"/>
      <c r="D4483" s="116"/>
    </row>
    <row r="4484" spans="2:4" x14ac:dyDescent="0.2">
      <c r="B4484" s="115"/>
      <c r="D4484" s="116"/>
    </row>
    <row r="4485" spans="2:4" x14ac:dyDescent="0.2">
      <c r="B4485" s="115"/>
      <c r="D4485" s="116"/>
    </row>
    <row r="4486" spans="2:4" x14ac:dyDescent="0.2">
      <c r="B4486" s="115"/>
      <c r="D4486" s="116"/>
    </row>
    <row r="4487" spans="2:4" x14ac:dyDescent="0.2">
      <c r="B4487" s="115"/>
      <c r="D4487" s="116"/>
    </row>
    <row r="4488" spans="2:4" x14ac:dyDescent="0.2">
      <c r="B4488" s="115"/>
      <c r="D4488" s="116"/>
    </row>
    <row r="4489" spans="2:4" x14ac:dyDescent="0.2">
      <c r="B4489" s="115"/>
      <c r="D4489" s="116"/>
    </row>
    <row r="4490" spans="2:4" x14ac:dyDescent="0.2">
      <c r="B4490" s="115"/>
      <c r="D4490" s="116"/>
    </row>
    <row r="4491" spans="2:4" x14ac:dyDescent="0.2">
      <c r="B4491" s="115"/>
      <c r="D4491" s="116"/>
    </row>
    <row r="4492" spans="2:4" x14ac:dyDescent="0.2">
      <c r="B4492" s="115"/>
      <c r="D4492" s="116"/>
    </row>
    <row r="4493" spans="2:4" x14ac:dyDescent="0.2">
      <c r="B4493" s="115"/>
      <c r="D4493" s="116"/>
    </row>
    <row r="4494" spans="2:4" x14ac:dyDescent="0.2">
      <c r="B4494" s="115"/>
      <c r="D4494" s="116"/>
    </row>
    <row r="4495" spans="2:4" x14ac:dyDescent="0.2">
      <c r="B4495" s="115"/>
      <c r="D4495" s="116"/>
    </row>
    <row r="4496" spans="2:4" x14ac:dyDescent="0.2">
      <c r="B4496" s="115"/>
      <c r="D4496" s="116"/>
    </row>
    <row r="4497" spans="2:4" x14ac:dyDescent="0.2">
      <c r="B4497" s="115"/>
      <c r="D4497" s="116"/>
    </row>
    <row r="4498" spans="2:4" x14ac:dyDescent="0.2">
      <c r="B4498" s="115"/>
      <c r="D4498" s="116"/>
    </row>
    <row r="4499" spans="2:4" x14ac:dyDescent="0.2">
      <c r="B4499" s="115"/>
      <c r="D4499" s="116"/>
    </row>
    <row r="4500" spans="2:4" x14ac:dyDescent="0.2">
      <c r="B4500" s="115"/>
      <c r="D4500" s="116"/>
    </row>
    <row r="4501" spans="2:4" x14ac:dyDescent="0.2">
      <c r="B4501" s="115"/>
      <c r="D4501" s="116"/>
    </row>
    <row r="4502" spans="2:4" x14ac:dyDescent="0.2">
      <c r="B4502" s="115"/>
      <c r="D4502" s="116"/>
    </row>
    <row r="4503" spans="2:4" x14ac:dyDescent="0.2">
      <c r="B4503" s="115"/>
      <c r="D4503" s="116"/>
    </row>
    <row r="4504" spans="2:4" x14ac:dyDescent="0.2">
      <c r="B4504" s="115"/>
      <c r="D4504" s="116"/>
    </row>
    <row r="4505" spans="2:4" x14ac:dyDescent="0.2">
      <c r="B4505" s="115"/>
      <c r="D4505" s="116"/>
    </row>
    <row r="4506" spans="2:4" x14ac:dyDescent="0.2">
      <c r="B4506" s="115"/>
      <c r="D4506" s="116"/>
    </row>
    <row r="4507" spans="2:4" x14ac:dyDescent="0.2">
      <c r="B4507" s="115"/>
      <c r="D4507" s="116"/>
    </row>
    <row r="4508" spans="2:4" x14ac:dyDescent="0.2">
      <c r="B4508" s="115"/>
      <c r="D4508" s="116"/>
    </row>
    <row r="4509" spans="2:4" x14ac:dyDescent="0.2">
      <c r="B4509" s="115"/>
      <c r="D4509" s="116"/>
    </row>
    <row r="4510" spans="2:4" x14ac:dyDescent="0.2">
      <c r="B4510" s="115"/>
      <c r="D4510" s="116"/>
    </row>
    <row r="4511" spans="2:4" x14ac:dyDescent="0.2">
      <c r="B4511" s="115"/>
      <c r="D4511" s="116"/>
    </row>
    <row r="4512" spans="2:4" x14ac:dyDescent="0.2">
      <c r="B4512" s="115"/>
      <c r="D4512" s="116"/>
    </row>
    <row r="4513" spans="2:4" x14ac:dyDescent="0.2">
      <c r="B4513" s="115"/>
      <c r="D4513" s="116"/>
    </row>
    <row r="4514" spans="2:4" x14ac:dyDescent="0.2">
      <c r="B4514" s="115"/>
      <c r="D4514" s="116"/>
    </row>
    <row r="4515" spans="2:4" x14ac:dyDescent="0.2">
      <c r="B4515" s="115"/>
      <c r="D4515" s="116"/>
    </row>
    <row r="4516" spans="2:4" x14ac:dyDescent="0.2">
      <c r="B4516" s="115"/>
      <c r="D4516" s="116"/>
    </row>
    <row r="4517" spans="2:4" x14ac:dyDescent="0.2">
      <c r="B4517" s="115"/>
      <c r="D4517" s="116"/>
    </row>
    <row r="4518" spans="2:4" x14ac:dyDescent="0.2">
      <c r="B4518" s="115"/>
      <c r="D4518" s="116"/>
    </row>
    <row r="4519" spans="2:4" x14ac:dyDescent="0.2">
      <c r="B4519" s="115"/>
      <c r="D4519" s="116"/>
    </row>
    <row r="4520" spans="2:4" x14ac:dyDescent="0.2">
      <c r="B4520" s="115"/>
      <c r="D4520" s="116"/>
    </row>
    <row r="4521" spans="2:4" x14ac:dyDescent="0.2">
      <c r="B4521" s="115"/>
      <c r="D4521" s="116"/>
    </row>
    <row r="4522" spans="2:4" x14ac:dyDescent="0.2">
      <c r="B4522" s="115"/>
      <c r="D4522" s="116"/>
    </row>
    <row r="4523" spans="2:4" x14ac:dyDescent="0.2">
      <c r="B4523" s="115"/>
      <c r="D4523" s="116"/>
    </row>
    <row r="4524" spans="2:4" x14ac:dyDescent="0.2">
      <c r="B4524" s="115"/>
      <c r="D4524" s="116"/>
    </row>
    <row r="4525" spans="2:4" x14ac:dyDescent="0.2">
      <c r="B4525" s="115"/>
      <c r="D4525" s="116"/>
    </row>
    <row r="4526" spans="2:4" x14ac:dyDescent="0.2">
      <c r="B4526" s="115"/>
      <c r="D4526" s="116"/>
    </row>
    <row r="4527" spans="2:4" x14ac:dyDescent="0.2">
      <c r="B4527" s="115"/>
      <c r="D4527" s="116"/>
    </row>
    <row r="4528" spans="2:4" x14ac:dyDescent="0.2">
      <c r="B4528" s="115"/>
      <c r="D4528" s="116"/>
    </row>
    <row r="4529" spans="2:4" x14ac:dyDescent="0.2">
      <c r="B4529" s="115"/>
      <c r="D4529" s="116"/>
    </row>
    <row r="4530" spans="2:4" x14ac:dyDescent="0.2">
      <c r="B4530" s="115"/>
      <c r="D4530" s="116"/>
    </row>
    <row r="4531" spans="2:4" x14ac:dyDescent="0.2">
      <c r="B4531" s="115"/>
      <c r="D4531" s="116"/>
    </row>
    <row r="4532" spans="2:4" x14ac:dyDescent="0.2">
      <c r="B4532" s="115"/>
      <c r="D4532" s="116"/>
    </row>
    <row r="4533" spans="2:4" x14ac:dyDescent="0.2">
      <c r="B4533" s="115"/>
      <c r="D4533" s="116"/>
    </row>
    <row r="4534" spans="2:4" x14ac:dyDescent="0.2">
      <c r="B4534" s="115"/>
      <c r="D4534" s="116"/>
    </row>
    <row r="4535" spans="2:4" x14ac:dyDescent="0.2">
      <c r="B4535" s="115"/>
      <c r="D4535" s="116"/>
    </row>
    <row r="4536" spans="2:4" x14ac:dyDescent="0.2">
      <c r="B4536" s="115"/>
      <c r="D4536" s="116"/>
    </row>
    <row r="4537" spans="2:4" x14ac:dyDescent="0.2">
      <c r="B4537" s="115"/>
      <c r="D4537" s="116"/>
    </row>
    <row r="4538" spans="2:4" x14ac:dyDescent="0.2">
      <c r="B4538" s="115"/>
      <c r="D4538" s="116"/>
    </row>
    <row r="4539" spans="2:4" x14ac:dyDescent="0.2">
      <c r="B4539" s="115"/>
      <c r="D4539" s="116"/>
    </row>
    <row r="4540" spans="2:4" x14ac:dyDescent="0.2">
      <c r="B4540" s="115"/>
      <c r="D4540" s="116"/>
    </row>
    <row r="4541" spans="2:4" x14ac:dyDescent="0.2">
      <c r="B4541" s="115"/>
      <c r="D4541" s="116"/>
    </row>
    <row r="4542" spans="2:4" x14ac:dyDescent="0.2">
      <c r="B4542" s="115"/>
      <c r="D4542" s="116"/>
    </row>
    <row r="4543" spans="2:4" x14ac:dyDescent="0.2">
      <c r="B4543" s="115"/>
      <c r="D4543" s="116"/>
    </row>
    <row r="4544" spans="2:4" x14ac:dyDescent="0.2">
      <c r="B4544" s="115"/>
      <c r="D4544" s="116"/>
    </row>
    <row r="4545" spans="2:4" x14ac:dyDescent="0.2">
      <c r="B4545" s="115"/>
      <c r="D4545" s="116"/>
    </row>
    <row r="4546" spans="2:4" x14ac:dyDescent="0.2">
      <c r="B4546" s="115"/>
      <c r="D4546" s="116"/>
    </row>
    <row r="4547" spans="2:4" x14ac:dyDescent="0.2">
      <c r="B4547" s="115"/>
      <c r="D4547" s="116"/>
    </row>
    <row r="4548" spans="2:4" x14ac:dyDescent="0.2">
      <c r="B4548" s="115"/>
      <c r="D4548" s="116"/>
    </row>
    <row r="4549" spans="2:4" x14ac:dyDescent="0.2">
      <c r="B4549" s="115"/>
      <c r="D4549" s="116"/>
    </row>
    <row r="4550" spans="2:4" x14ac:dyDescent="0.2">
      <c r="B4550" s="115"/>
      <c r="D4550" s="116"/>
    </row>
    <row r="4551" spans="2:4" x14ac:dyDescent="0.2">
      <c r="B4551" s="115"/>
      <c r="D4551" s="116"/>
    </row>
    <row r="4552" spans="2:4" x14ac:dyDescent="0.2">
      <c r="B4552" s="115"/>
      <c r="D4552" s="116"/>
    </row>
    <row r="4553" spans="2:4" x14ac:dyDescent="0.2">
      <c r="B4553" s="115"/>
      <c r="D4553" s="116"/>
    </row>
    <row r="4554" spans="2:4" x14ac:dyDescent="0.2">
      <c r="B4554" s="115"/>
      <c r="D4554" s="116"/>
    </row>
    <row r="4555" spans="2:4" x14ac:dyDescent="0.2">
      <c r="B4555" s="115"/>
      <c r="D4555" s="116"/>
    </row>
    <row r="4556" spans="2:4" x14ac:dyDescent="0.2">
      <c r="B4556" s="115"/>
      <c r="D4556" s="116"/>
    </row>
    <row r="4557" spans="2:4" x14ac:dyDescent="0.2">
      <c r="B4557" s="115"/>
      <c r="D4557" s="116"/>
    </row>
    <row r="4558" spans="2:4" x14ac:dyDescent="0.2">
      <c r="B4558" s="115"/>
      <c r="D4558" s="116"/>
    </row>
    <row r="4559" spans="2:4" x14ac:dyDescent="0.2">
      <c r="B4559" s="115"/>
      <c r="D4559" s="116"/>
    </row>
    <row r="4560" spans="2:4" x14ac:dyDescent="0.2">
      <c r="B4560" s="115"/>
      <c r="D4560" s="116"/>
    </row>
    <row r="4561" spans="2:4" x14ac:dyDescent="0.2">
      <c r="B4561" s="115"/>
      <c r="D4561" s="116"/>
    </row>
    <row r="4562" spans="2:4" x14ac:dyDescent="0.2">
      <c r="B4562" s="115"/>
      <c r="D4562" s="116"/>
    </row>
    <row r="4563" spans="2:4" x14ac:dyDescent="0.2">
      <c r="B4563" s="115"/>
      <c r="D4563" s="116"/>
    </row>
    <row r="4564" spans="2:4" x14ac:dyDescent="0.2">
      <c r="B4564" s="115"/>
      <c r="D4564" s="116"/>
    </row>
    <row r="4565" spans="2:4" x14ac:dyDescent="0.2">
      <c r="B4565" s="115"/>
      <c r="D4565" s="116"/>
    </row>
    <row r="4566" spans="2:4" x14ac:dyDescent="0.2">
      <c r="B4566" s="115"/>
      <c r="D4566" s="116"/>
    </row>
    <row r="4567" spans="2:4" x14ac:dyDescent="0.2">
      <c r="B4567" s="115"/>
      <c r="D4567" s="116"/>
    </row>
    <row r="4568" spans="2:4" x14ac:dyDescent="0.2">
      <c r="B4568" s="115"/>
      <c r="D4568" s="116"/>
    </row>
    <row r="4569" spans="2:4" x14ac:dyDescent="0.2">
      <c r="B4569" s="115"/>
      <c r="D4569" s="116"/>
    </row>
    <row r="4570" spans="2:4" x14ac:dyDescent="0.2">
      <c r="B4570" s="115"/>
      <c r="D4570" s="116"/>
    </row>
    <row r="4571" spans="2:4" x14ac:dyDescent="0.2">
      <c r="B4571" s="115"/>
      <c r="D4571" s="116"/>
    </row>
    <row r="4572" spans="2:4" x14ac:dyDescent="0.2">
      <c r="B4572" s="115"/>
      <c r="D4572" s="116"/>
    </row>
    <row r="4573" spans="2:4" x14ac:dyDescent="0.2">
      <c r="B4573" s="115"/>
      <c r="D4573" s="116"/>
    </row>
    <row r="4574" spans="2:4" x14ac:dyDescent="0.2">
      <c r="B4574" s="115"/>
      <c r="D4574" s="116"/>
    </row>
    <row r="4575" spans="2:4" x14ac:dyDescent="0.2">
      <c r="B4575" s="115"/>
      <c r="D4575" s="116"/>
    </row>
    <row r="4576" spans="2:4" x14ac:dyDescent="0.2">
      <c r="B4576" s="115"/>
      <c r="D4576" s="116"/>
    </row>
    <row r="4577" spans="2:4" x14ac:dyDescent="0.2">
      <c r="B4577" s="115"/>
      <c r="D4577" s="116"/>
    </row>
    <row r="4578" spans="2:4" x14ac:dyDescent="0.2">
      <c r="B4578" s="115"/>
      <c r="D4578" s="116"/>
    </row>
    <row r="4579" spans="2:4" x14ac:dyDescent="0.2">
      <c r="B4579" s="115"/>
      <c r="D4579" s="116"/>
    </row>
    <row r="4580" spans="2:4" x14ac:dyDescent="0.2">
      <c r="B4580" s="115"/>
      <c r="D4580" s="116"/>
    </row>
    <row r="4581" spans="2:4" x14ac:dyDescent="0.2">
      <c r="B4581" s="115"/>
      <c r="D4581" s="116"/>
    </row>
    <row r="4582" spans="2:4" x14ac:dyDescent="0.2">
      <c r="B4582" s="115"/>
      <c r="D4582" s="116"/>
    </row>
    <row r="4583" spans="2:4" x14ac:dyDescent="0.2">
      <c r="B4583" s="115"/>
      <c r="D4583" s="116"/>
    </row>
    <row r="4584" spans="2:4" x14ac:dyDescent="0.2">
      <c r="B4584" s="115"/>
      <c r="D4584" s="116"/>
    </row>
    <row r="4585" spans="2:4" x14ac:dyDescent="0.2">
      <c r="B4585" s="115"/>
      <c r="D4585" s="116"/>
    </row>
    <row r="4586" spans="2:4" x14ac:dyDescent="0.2">
      <c r="B4586" s="115"/>
      <c r="D4586" s="116"/>
    </row>
    <row r="4587" spans="2:4" x14ac:dyDescent="0.2">
      <c r="B4587" s="115"/>
      <c r="D4587" s="116"/>
    </row>
    <row r="4588" spans="2:4" x14ac:dyDescent="0.2">
      <c r="B4588" s="115"/>
      <c r="D4588" s="116"/>
    </row>
    <row r="4589" spans="2:4" x14ac:dyDescent="0.2">
      <c r="B4589" s="115"/>
      <c r="D4589" s="116"/>
    </row>
    <row r="4590" spans="2:4" x14ac:dyDescent="0.2">
      <c r="B4590" s="115"/>
      <c r="D4590" s="116"/>
    </row>
    <row r="4591" spans="2:4" x14ac:dyDescent="0.2">
      <c r="B4591" s="115"/>
      <c r="D4591" s="116"/>
    </row>
    <row r="4592" spans="2:4" x14ac:dyDescent="0.2">
      <c r="B4592" s="115"/>
      <c r="D4592" s="116"/>
    </row>
    <row r="4593" spans="2:4" x14ac:dyDescent="0.2">
      <c r="B4593" s="115"/>
      <c r="D4593" s="116"/>
    </row>
    <row r="4594" spans="2:4" x14ac:dyDescent="0.2">
      <c r="B4594" s="115"/>
      <c r="D4594" s="116"/>
    </row>
    <row r="4595" spans="2:4" x14ac:dyDescent="0.2">
      <c r="B4595" s="115"/>
      <c r="D4595" s="116"/>
    </row>
    <row r="4596" spans="2:4" x14ac:dyDescent="0.2">
      <c r="B4596" s="115"/>
      <c r="D4596" s="116"/>
    </row>
    <row r="4597" spans="2:4" x14ac:dyDescent="0.2">
      <c r="B4597" s="115"/>
      <c r="D4597" s="116"/>
    </row>
    <row r="4598" spans="2:4" x14ac:dyDescent="0.2">
      <c r="B4598" s="115"/>
      <c r="D4598" s="116"/>
    </row>
    <row r="4599" spans="2:4" x14ac:dyDescent="0.2">
      <c r="B4599" s="115"/>
      <c r="D4599" s="116"/>
    </row>
    <row r="4600" spans="2:4" x14ac:dyDescent="0.2">
      <c r="B4600" s="115"/>
      <c r="D4600" s="116"/>
    </row>
    <row r="4601" spans="2:4" x14ac:dyDescent="0.2">
      <c r="B4601" s="115"/>
      <c r="D4601" s="116"/>
    </row>
    <row r="4602" spans="2:4" x14ac:dyDescent="0.2">
      <c r="B4602" s="115"/>
      <c r="D4602" s="116"/>
    </row>
    <row r="4603" spans="2:4" x14ac:dyDescent="0.2">
      <c r="B4603" s="115"/>
      <c r="D4603" s="116"/>
    </row>
    <row r="4604" spans="2:4" x14ac:dyDescent="0.2">
      <c r="B4604" s="115"/>
      <c r="D4604" s="116"/>
    </row>
    <row r="4605" spans="2:4" x14ac:dyDescent="0.2">
      <c r="B4605" s="115"/>
      <c r="D4605" s="116"/>
    </row>
    <row r="4606" spans="2:4" x14ac:dyDescent="0.2">
      <c r="B4606" s="115"/>
      <c r="D4606" s="116"/>
    </row>
    <row r="4607" spans="2:4" x14ac:dyDescent="0.2">
      <c r="B4607" s="115"/>
      <c r="D4607" s="116"/>
    </row>
    <row r="4608" spans="2:4" x14ac:dyDescent="0.2">
      <c r="B4608" s="115"/>
      <c r="D4608" s="116"/>
    </row>
    <row r="4609" spans="2:4" x14ac:dyDescent="0.2">
      <c r="B4609" s="115"/>
      <c r="D4609" s="116"/>
    </row>
    <row r="4610" spans="2:4" x14ac:dyDescent="0.2">
      <c r="B4610" s="115"/>
      <c r="D4610" s="116"/>
    </row>
    <row r="4611" spans="2:4" x14ac:dyDescent="0.2">
      <c r="B4611" s="115"/>
      <c r="D4611" s="116"/>
    </row>
    <row r="4612" spans="2:4" x14ac:dyDescent="0.2">
      <c r="B4612" s="115"/>
      <c r="D4612" s="116"/>
    </row>
    <row r="4613" spans="2:4" x14ac:dyDescent="0.2">
      <c r="B4613" s="115"/>
      <c r="D4613" s="116"/>
    </row>
    <row r="4614" spans="2:4" x14ac:dyDescent="0.2">
      <c r="B4614" s="115"/>
      <c r="D4614" s="116"/>
    </row>
    <row r="4615" spans="2:4" x14ac:dyDescent="0.2">
      <c r="B4615" s="115"/>
      <c r="D4615" s="116"/>
    </row>
    <row r="4616" spans="2:4" x14ac:dyDescent="0.2">
      <c r="B4616" s="115"/>
      <c r="D4616" s="116"/>
    </row>
    <row r="4617" spans="2:4" x14ac:dyDescent="0.2">
      <c r="B4617" s="115"/>
      <c r="D4617" s="116"/>
    </row>
    <row r="4618" spans="2:4" x14ac:dyDescent="0.2">
      <c r="B4618" s="115"/>
      <c r="D4618" s="116"/>
    </row>
    <row r="4619" spans="2:4" x14ac:dyDescent="0.2">
      <c r="B4619" s="115"/>
      <c r="D4619" s="116"/>
    </row>
    <row r="4620" spans="2:4" x14ac:dyDescent="0.2">
      <c r="B4620" s="115"/>
      <c r="D4620" s="116"/>
    </row>
    <row r="4621" spans="2:4" x14ac:dyDescent="0.2">
      <c r="B4621" s="115"/>
      <c r="D4621" s="116"/>
    </row>
    <row r="4622" spans="2:4" x14ac:dyDescent="0.2">
      <c r="B4622" s="115"/>
      <c r="D4622" s="116"/>
    </row>
    <row r="4623" spans="2:4" x14ac:dyDescent="0.2">
      <c r="B4623" s="115"/>
      <c r="D4623" s="116"/>
    </row>
    <row r="4624" spans="2:4" x14ac:dyDescent="0.2">
      <c r="B4624" s="115"/>
      <c r="D4624" s="116"/>
    </row>
    <row r="4625" spans="2:4" x14ac:dyDescent="0.2">
      <c r="B4625" s="115"/>
      <c r="D4625" s="116"/>
    </row>
    <row r="4626" spans="2:4" x14ac:dyDescent="0.2">
      <c r="B4626" s="115"/>
      <c r="D4626" s="116"/>
    </row>
    <row r="4627" spans="2:4" x14ac:dyDescent="0.2">
      <c r="B4627" s="115"/>
      <c r="D4627" s="116"/>
    </row>
    <row r="4628" spans="2:4" x14ac:dyDescent="0.2">
      <c r="B4628" s="115"/>
      <c r="D4628" s="116"/>
    </row>
    <row r="4629" spans="2:4" x14ac:dyDescent="0.2">
      <c r="B4629" s="115"/>
      <c r="D4629" s="116"/>
    </row>
    <row r="4630" spans="2:4" x14ac:dyDescent="0.2">
      <c r="B4630" s="115"/>
      <c r="D4630" s="116"/>
    </row>
    <row r="4631" spans="2:4" x14ac:dyDescent="0.2">
      <c r="B4631" s="115"/>
      <c r="D4631" s="116"/>
    </row>
    <row r="4632" spans="2:4" x14ac:dyDescent="0.2">
      <c r="B4632" s="115"/>
      <c r="D4632" s="116"/>
    </row>
    <row r="4633" spans="2:4" x14ac:dyDescent="0.2">
      <c r="B4633" s="115"/>
      <c r="D4633" s="116"/>
    </row>
    <row r="4634" spans="2:4" x14ac:dyDescent="0.2">
      <c r="B4634" s="115"/>
      <c r="D4634" s="116"/>
    </row>
    <row r="4635" spans="2:4" x14ac:dyDescent="0.2">
      <c r="B4635" s="115"/>
      <c r="D4635" s="116"/>
    </row>
    <row r="4636" spans="2:4" x14ac:dyDescent="0.2">
      <c r="B4636" s="115"/>
      <c r="D4636" s="116"/>
    </row>
    <row r="4637" spans="2:4" x14ac:dyDescent="0.2">
      <c r="B4637" s="115"/>
      <c r="D4637" s="116"/>
    </row>
    <row r="4638" spans="2:4" x14ac:dyDescent="0.2">
      <c r="B4638" s="115"/>
      <c r="D4638" s="116"/>
    </row>
    <row r="4639" spans="2:4" x14ac:dyDescent="0.2">
      <c r="B4639" s="115"/>
      <c r="D4639" s="116"/>
    </row>
    <row r="4640" spans="2:4" x14ac:dyDescent="0.2">
      <c r="B4640" s="115"/>
      <c r="D4640" s="116"/>
    </row>
    <row r="4641" spans="2:4" x14ac:dyDescent="0.2">
      <c r="B4641" s="115"/>
      <c r="D4641" s="116"/>
    </row>
    <row r="4642" spans="2:4" x14ac:dyDescent="0.2">
      <c r="B4642" s="115"/>
      <c r="D4642" s="116"/>
    </row>
    <row r="4643" spans="2:4" x14ac:dyDescent="0.2">
      <c r="B4643" s="115"/>
      <c r="D4643" s="116"/>
    </row>
    <row r="4644" spans="2:4" x14ac:dyDescent="0.2">
      <c r="B4644" s="115"/>
      <c r="D4644" s="116"/>
    </row>
    <row r="4645" spans="2:4" x14ac:dyDescent="0.2">
      <c r="B4645" s="115"/>
      <c r="D4645" s="116"/>
    </row>
    <row r="4646" spans="2:4" x14ac:dyDescent="0.2">
      <c r="B4646" s="115"/>
      <c r="D4646" s="116"/>
    </row>
    <row r="4647" spans="2:4" x14ac:dyDescent="0.2">
      <c r="B4647" s="115"/>
      <c r="D4647" s="116"/>
    </row>
    <row r="4648" spans="2:4" x14ac:dyDescent="0.2">
      <c r="B4648" s="115"/>
      <c r="D4648" s="116"/>
    </row>
    <row r="4649" spans="2:4" x14ac:dyDescent="0.2">
      <c r="B4649" s="115"/>
      <c r="D4649" s="116"/>
    </row>
    <row r="4650" spans="2:4" x14ac:dyDescent="0.2">
      <c r="B4650" s="115"/>
      <c r="D4650" s="116"/>
    </row>
    <row r="4651" spans="2:4" x14ac:dyDescent="0.2">
      <c r="B4651" s="115"/>
      <c r="D4651" s="116"/>
    </row>
    <row r="4652" spans="2:4" x14ac:dyDescent="0.2">
      <c r="B4652" s="115"/>
      <c r="D4652" s="116"/>
    </row>
    <row r="4653" spans="2:4" x14ac:dyDescent="0.2">
      <c r="B4653" s="115"/>
      <c r="D4653" s="116"/>
    </row>
    <row r="4654" spans="2:4" x14ac:dyDescent="0.2">
      <c r="B4654" s="115"/>
      <c r="D4654" s="116"/>
    </row>
    <row r="4655" spans="2:4" x14ac:dyDescent="0.2">
      <c r="B4655" s="115"/>
      <c r="D4655" s="116"/>
    </row>
    <row r="4656" spans="2:4" x14ac:dyDescent="0.2">
      <c r="B4656" s="115"/>
      <c r="D4656" s="116"/>
    </row>
    <row r="4657" spans="2:4" x14ac:dyDescent="0.2">
      <c r="B4657" s="115"/>
      <c r="D4657" s="116"/>
    </row>
    <row r="4658" spans="2:4" x14ac:dyDescent="0.2">
      <c r="B4658" s="115"/>
      <c r="D4658" s="116"/>
    </row>
    <row r="4659" spans="2:4" x14ac:dyDescent="0.2">
      <c r="B4659" s="115"/>
      <c r="D4659" s="116"/>
    </row>
    <row r="4660" spans="2:4" x14ac:dyDescent="0.2">
      <c r="B4660" s="115"/>
      <c r="D4660" s="116"/>
    </row>
    <row r="4661" spans="2:4" x14ac:dyDescent="0.2">
      <c r="B4661" s="115"/>
      <c r="D4661" s="116"/>
    </row>
    <row r="4662" spans="2:4" x14ac:dyDescent="0.2">
      <c r="B4662" s="115"/>
      <c r="D4662" s="116"/>
    </row>
    <row r="4663" spans="2:4" x14ac:dyDescent="0.2">
      <c r="B4663" s="115"/>
      <c r="D4663" s="116"/>
    </row>
    <row r="4664" spans="2:4" x14ac:dyDescent="0.2">
      <c r="B4664" s="115"/>
      <c r="D4664" s="116"/>
    </row>
    <row r="4665" spans="2:4" x14ac:dyDescent="0.2">
      <c r="B4665" s="115"/>
      <c r="D4665" s="116"/>
    </row>
    <row r="4666" spans="2:4" x14ac:dyDescent="0.2">
      <c r="B4666" s="115"/>
      <c r="D4666" s="116"/>
    </row>
    <row r="4667" spans="2:4" x14ac:dyDescent="0.2">
      <c r="B4667" s="115"/>
      <c r="D4667" s="116"/>
    </row>
    <row r="4668" spans="2:4" x14ac:dyDescent="0.2">
      <c r="B4668" s="115"/>
      <c r="D4668" s="116"/>
    </row>
    <row r="4669" spans="2:4" x14ac:dyDescent="0.2">
      <c r="B4669" s="115"/>
      <c r="D4669" s="116"/>
    </row>
    <row r="4670" spans="2:4" x14ac:dyDescent="0.2">
      <c r="B4670" s="115"/>
      <c r="D4670" s="116"/>
    </row>
    <row r="4671" spans="2:4" x14ac:dyDescent="0.2">
      <c r="B4671" s="115"/>
      <c r="D4671" s="116"/>
    </row>
    <row r="4672" spans="2:4" x14ac:dyDescent="0.2">
      <c r="B4672" s="115"/>
      <c r="D4672" s="116"/>
    </row>
    <row r="4673" spans="2:4" x14ac:dyDescent="0.2">
      <c r="B4673" s="115"/>
      <c r="D4673" s="116"/>
    </row>
    <row r="4674" spans="2:4" x14ac:dyDescent="0.2">
      <c r="B4674" s="115"/>
      <c r="D4674" s="116"/>
    </row>
    <row r="4675" spans="2:4" x14ac:dyDescent="0.2">
      <c r="B4675" s="115"/>
      <c r="D4675" s="116"/>
    </row>
    <row r="4676" spans="2:4" x14ac:dyDescent="0.2">
      <c r="B4676" s="115"/>
      <c r="D4676" s="116"/>
    </row>
    <row r="4677" spans="2:4" x14ac:dyDescent="0.2">
      <c r="B4677" s="115"/>
      <c r="D4677" s="116"/>
    </row>
    <row r="4678" spans="2:4" x14ac:dyDescent="0.2">
      <c r="B4678" s="115"/>
      <c r="D4678" s="116"/>
    </row>
    <row r="4679" spans="2:4" x14ac:dyDescent="0.2">
      <c r="B4679" s="115"/>
      <c r="D4679" s="116"/>
    </row>
    <row r="4680" spans="2:4" x14ac:dyDescent="0.2">
      <c r="B4680" s="115"/>
      <c r="D4680" s="116"/>
    </row>
    <row r="4681" spans="2:4" x14ac:dyDescent="0.2">
      <c r="B4681" s="115"/>
      <c r="D4681" s="116"/>
    </row>
    <row r="4682" spans="2:4" x14ac:dyDescent="0.2">
      <c r="B4682" s="115"/>
      <c r="D4682" s="116"/>
    </row>
    <row r="4683" spans="2:4" x14ac:dyDescent="0.2">
      <c r="B4683" s="115"/>
      <c r="D4683" s="116"/>
    </row>
    <row r="4684" spans="2:4" x14ac:dyDescent="0.2">
      <c r="B4684" s="115"/>
      <c r="D4684" s="116"/>
    </row>
    <row r="4685" spans="2:4" x14ac:dyDescent="0.2">
      <c r="B4685" s="115"/>
      <c r="D4685" s="116"/>
    </row>
    <row r="4686" spans="2:4" x14ac:dyDescent="0.2">
      <c r="B4686" s="115"/>
      <c r="D4686" s="116"/>
    </row>
    <row r="4687" spans="2:4" x14ac:dyDescent="0.2">
      <c r="B4687" s="115"/>
      <c r="D4687" s="116"/>
    </row>
    <row r="4688" spans="2:4" x14ac:dyDescent="0.2">
      <c r="B4688" s="115"/>
      <c r="D4688" s="116"/>
    </row>
    <row r="4689" spans="2:4" x14ac:dyDescent="0.2">
      <c r="B4689" s="115"/>
      <c r="D4689" s="116"/>
    </row>
    <row r="4690" spans="2:4" x14ac:dyDescent="0.2">
      <c r="B4690" s="115"/>
      <c r="D4690" s="116"/>
    </row>
    <row r="4691" spans="2:4" x14ac:dyDescent="0.2">
      <c r="B4691" s="115"/>
      <c r="D4691" s="116"/>
    </row>
    <row r="4692" spans="2:4" x14ac:dyDescent="0.2">
      <c r="B4692" s="115"/>
      <c r="D4692" s="116"/>
    </row>
    <row r="4693" spans="2:4" x14ac:dyDescent="0.2">
      <c r="B4693" s="115"/>
      <c r="D4693" s="116"/>
    </row>
    <row r="4694" spans="2:4" x14ac:dyDescent="0.2">
      <c r="B4694" s="115"/>
      <c r="D4694" s="116"/>
    </row>
    <row r="4695" spans="2:4" x14ac:dyDescent="0.2">
      <c r="B4695" s="115"/>
      <c r="D4695" s="116"/>
    </row>
    <row r="4696" spans="2:4" x14ac:dyDescent="0.2">
      <c r="B4696" s="115"/>
      <c r="D4696" s="116"/>
    </row>
    <row r="4697" spans="2:4" x14ac:dyDescent="0.2">
      <c r="B4697" s="115"/>
      <c r="D4697" s="116"/>
    </row>
    <row r="4698" spans="2:4" x14ac:dyDescent="0.2">
      <c r="B4698" s="115"/>
      <c r="D4698" s="116"/>
    </row>
    <row r="4699" spans="2:4" x14ac:dyDescent="0.2">
      <c r="B4699" s="115"/>
      <c r="D4699" s="116"/>
    </row>
    <row r="4700" spans="2:4" x14ac:dyDescent="0.2">
      <c r="B4700" s="115"/>
      <c r="D4700" s="116"/>
    </row>
    <row r="4701" spans="2:4" x14ac:dyDescent="0.2">
      <c r="B4701" s="115"/>
      <c r="D4701" s="116"/>
    </row>
    <row r="4702" spans="2:4" x14ac:dyDescent="0.2">
      <c r="B4702" s="115"/>
      <c r="D4702" s="116"/>
    </row>
    <row r="4703" spans="2:4" x14ac:dyDescent="0.2">
      <c r="B4703" s="115"/>
      <c r="D4703" s="116"/>
    </row>
    <row r="4704" spans="2:4" x14ac:dyDescent="0.2">
      <c r="B4704" s="115"/>
      <c r="D4704" s="116"/>
    </row>
    <row r="4705" spans="2:4" x14ac:dyDescent="0.2">
      <c r="B4705" s="115"/>
      <c r="D4705" s="116"/>
    </row>
    <row r="4706" spans="2:4" x14ac:dyDescent="0.2">
      <c r="B4706" s="115"/>
      <c r="D4706" s="116"/>
    </row>
    <row r="4707" spans="2:4" x14ac:dyDescent="0.2">
      <c r="B4707" s="115"/>
      <c r="D4707" s="116"/>
    </row>
    <row r="4708" spans="2:4" x14ac:dyDescent="0.2">
      <c r="B4708" s="115"/>
      <c r="D4708" s="116"/>
    </row>
    <row r="4709" spans="2:4" x14ac:dyDescent="0.2">
      <c r="B4709" s="115"/>
      <c r="D4709" s="116"/>
    </row>
    <row r="4710" spans="2:4" x14ac:dyDescent="0.2">
      <c r="B4710" s="115"/>
      <c r="D4710" s="116"/>
    </row>
    <row r="4711" spans="2:4" x14ac:dyDescent="0.2">
      <c r="B4711" s="115"/>
      <c r="D4711" s="116"/>
    </row>
    <row r="4712" spans="2:4" x14ac:dyDescent="0.2">
      <c r="B4712" s="115"/>
      <c r="D4712" s="116"/>
    </row>
    <row r="4713" spans="2:4" x14ac:dyDescent="0.2">
      <c r="B4713" s="115"/>
      <c r="D4713" s="116"/>
    </row>
    <row r="4714" spans="2:4" x14ac:dyDescent="0.2">
      <c r="B4714" s="115"/>
      <c r="D4714" s="116"/>
    </row>
    <row r="4715" spans="2:4" x14ac:dyDescent="0.2">
      <c r="B4715" s="115"/>
      <c r="D4715" s="116"/>
    </row>
    <row r="4716" spans="2:4" x14ac:dyDescent="0.2">
      <c r="B4716" s="115"/>
      <c r="D4716" s="116"/>
    </row>
    <row r="4717" spans="2:4" x14ac:dyDescent="0.2">
      <c r="B4717" s="115"/>
      <c r="D4717" s="116"/>
    </row>
    <row r="4718" spans="2:4" x14ac:dyDescent="0.2">
      <c r="B4718" s="115"/>
      <c r="D4718" s="116"/>
    </row>
    <row r="4719" spans="2:4" x14ac:dyDescent="0.2">
      <c r="B4719" s="115"/>
      <c r="D4719" s="116"/>
    </row>
    <row r="4720" spans="2:4" x14ac:dyDescent="0.2">
      <c r="B4720" s="115"/>
      <c r="D4720" s="116"/>
    </row>
    <row r="4721" spans="2:4" x14ac:dyDescent="0.2">
      <c r="B4721" s="115"/>
      <c r="D4721" s="116"/>
    </row>
    <row r="4722" spans="2:4" x14ac:dyDescent="0.2">
      <c r="B4722" s="115"/>
      <c r="D4722" s="116"/>
    </row>
    <row r="4723" spans="2:4" x14ac:dyDescent="0.2">
      <c r="B4723" s="115"/>
      <c r="D4723" s="116"/>
    </row>
    <row r="4724" spans="2:4" x14ac:dyDescent="0.2">
      <c r="B4724" s="115"/>
      <c r="D4724" s="116"/>
    </row>
    <row r="4725" spans="2:4" x14ac:dyDescent="0.2">
      <c r="B4725" s="115"/>
      <c r="D4725" s="116"/>
    </row>
    <row r="4726" spans="2:4" x14ac:dyDescent="0.2">
      <c r="B4726" s="115"/>
      <c r="D4726" s="116"/>
    </row>
    <row r="4727" spans="2:4" x14ac:dyDescent="0.2">
      <c r="B4727" s="115"/>
      <c r="D4727" s="116"/>
    </row>
    <row r="4728" spans="2:4" x14ac:dyDescent="0.2">
      <c r="B4728" s="115"/>
      <c r="D4728" s="116"/>
    </row>
    <row r="4729" spans="2:4" x14ac:dyDescent="0.2">
      <c r="B4729" s="115"/>
      <c r="D4729" s="116"/>
    </row>
    <row r="4730" spans="2:4" x14ac:dyDescent="0.2">
      <c r="B4730" s="115"/>
      <c r="D4730" s="116"/>
    </row>
    <row r="4731" spans="2:4" x14ac:dyDescent="0.2">
      <c r="B4731" s="115"/>
      <c r="D4731" s="116"/>
    </row>
    <row r="4732" spans="2:4" x14ac:dyDescent="0.2">
      <c r="B4732" s="115"/>
      <c r="D4732" s="116"/>
    </row>
    <row r="4733" spans="2:4" x14ac:dyDescent="0.2">
      <c r="B4733" s="115"/>
      <c r="D4733" s="116"/>
    </row>
    <row r="4734" spans="2:4" x14ac:dyDescent="0.2">
      <c r="B4734" s="115"/>
      <c r="D4734" s="116"/>
    </row>
    <row r="4735" spans="2:4" x14ac:dyDescent="0.2">
      <c r="B4735" s="115"/>
      <c r="D4735" s="116"/>
    </row>
    <row r="4736" spans="2:4" x14ac:dyDescent="0.2">
      <c r="B4736" s="115"/>
      <c r="D4736" s="116"/>
    </row>
    <row r="4737" spans="2:4" x14ac:dyDescent="0.2">
      <c r="B4737" s="115"/>
      <c r="D4737" s="116"/>
    </row>
    <row r="4738" spans="2:4" x14ac:dyDescent="0.2">
      <c r="B4738" s="115"/>
      <c r="D4738" s="116"/>
    </row>
    <row r="4739" spans="2:4" x14ac:dyDescent="0.2">
      <c r="B4739" s="115"/>
      <c r="D4739" s="116"/>
    </row>
    <row r="4740" spans="2:4" x14ac:dyDescent="0.2">
      <c r="B4740" s="115"/>
      <c r="D4740" s="116"/>
    </row>
    <row r="4741" spans="2:4" x14ac:dyDescent="0.2">
      <c r="B4741" s="115"/>
      <c r="D4741" s="116"/>
    </row>
    <row r="4742" spans="2:4" x14ac:dyDescent="0.2">
      <c r="B4742" s="115"/>
      <c r="D4742" s="116"/>
    </row>
    <row r="4743" spans="2:4" x14ac:dyDescent="0.2">
      <c r="B4743" s="115"/>
      <c r="D4743" s="116"/>
    </row>
    <row r="4744" spans="2:4" x14ac:dyDescent="0.2">
      <c r="B4744" s="115"/>
      <c r="D4744" s="116"/>
    </row>
    <row r="4745" spans="2:4" x14ac:dyDescent="0.2">
      <c r="B4745" s="115"/>
      <c r="D4745" s="116"/>
    </row>
    <row r="4746" spans="2:4" x14ac:dyDescent="0.2">
      <c r="B4746" s="115"/>
      <c r="D4746" s="116"/>
    </row>
    <row r="4747" spans="2:4" x14ac:dyDescent="0.2">
      <c r="B4747" s="115"/>
      <c r="D4747" s="116"/>
    </row>
    <row r="4748" spans="2:4" x14ac:dyDescent="0.2">
      <c r="B4748" s="115"/>
      <c r="D4748" s="116"/>
    </row>
    <row r="4749" spans="2:4" x14ac:dyDescent="0.2">
      <c r="B4749" s="115"/>
      <c r="D4749" s="116"/>
    </row>
    <row r="4750" spans="2:4" x14ac:dyDescent="0.2">
      <c r="B4750" s="115"/>
      <c r="D4750" s="116"/>
    </row>
    <row r="4751" spans="2:4" x14ac:dyDescent="0.2">
      <c r="B4751" s="115"/>
      <c r="D4751" s="116"/>
    </row>
    <row r="4752" spans="2:4" x14ac:dyDescent="0.2">
      <c r="B4752" s="115"/>
      <c r="D4752" s="116"/>
    </row>
    <row r="4753" spans="2:4" x14ac:dyDescent="0.2">
      <c r="B4753" s="115"/>
      <c r="D4753" s="116"/>
    </row>
    <row r="4754" spans="2:4" x14ac:dyDescent="0.2">
      <c r="B4754" s="115"/>
      <c r="D4754" s="116"/>
    </row>
    <row r="4755" spans="2:4" x14ac:dyDescent="0.2">
      <c r="B4755" s="115"/>
      <c r="D4755" s="116"/>
    </row>
    <row r="4756" spans="2:4" x14ac:dyDescent="0.2">
      <c r="B4756" s="115"/>
      <c r="D4756" s="116"/>
    </row>
    <row r="4757" spans="2:4" x14ac:dyDescent="0.2">
      <c r="B4757" s="115"/>
      <c r="D4757" s="116"/>
    </row>
    <row r="4758" spans="2:4" x14ac:dyDescent="0.2">
      <c r="B4758" s="115"/>
      <c r="D4758" s="116"/>
    </row>
    <row r="4759" spans="2:4" x14ac:dyDescent="0.2">
      <c r="B4759" s="115"/>
      <c r="D4759" s="116"/>
    </row>
    <row r="4760" spans="2:4" x14ac:dyDescent="0.2">
      <c r="B4760" s="115"/>
      <c r="D4760" s="116"/>
    </row>
    <row r="4761" spans="2:4" x14ac:dyDescent="0.2">
      <c r="B4761" s="115"/>
      <c r="D4761" s="116"/>
    </row>
    <row r="4762" spans="2:4" x14ac:dyDescent="0.2">
      <c r="B4762" s="115"/>
      <c r="D4762" s="116"/>
    </row>
    <row r="4763" spans="2:4" x14ac:dyDescent="0.2">
      <c r="B4763" s="115"/>
      <c r="D4763" s="116"/>
    </row>
    <row r="4764" spans="2:4" x14ac:dyDescent="0.2">
      <c r="B4764" s="115"/>
      <c r="D4764" s="116"/>
    </row>
    <row r="4765" spans="2:4" x14ac:dyDescent="0.2">
      <c r="B4765" s="115"/>
      <c r="D4765" s="116"/>
    </row>
    <row r="4766" spans="2:4" x14ac:dyDescent="0.2">
      <c r="B4766" s="115"/>
      <c r="D4766" s="116"/>
    </row>
    <row r="4767" spans="2:4" x14ac:dyDescent="0.2">
      <c r="B4767" s="115"/>
      <c r="D4767" s="116"/>
    </row>
    <row r="4768" spans="2:4" x14ac:dyDescent="0.2">
      <c r="B4768" s="115"/>
      <c r="D4768" s="116"/>
    </row>
    <row r="4769" spans="2:4" x14ac:dyDescent="0.2">
      <c r="B4769" s="115"/>
      <c r="D4769" s="116"/>
    </row>
    <row r="4770" spans="2:4" x14ac:dyDescent="0.2">
      <c r="B4770" s="115"/>
      <c r="D4770" s="116"/>
    </row>
    <row r="4771" spans="2:4" x14ac:dyDescent="0.2">
      <c r="B4771" s="115"/>
      <c r="D4771" s="116"/>
    </row>
    <row r="4772" spans="2:4" x14ac:dyDescent="0.2">
      <c r="B4772" s="115"/>
      <c r="D4772" s="116"/>
    </row>
    <row r="4773" spans="2:4" x14ac:dyDescent="0.2">
      <c r="B4773" s="115"/>
      <c r="D4773" s="116"/>
    </row>
    <row r="4774" spans="2:4" x14ac:dyDescent="0.2">
      <c r="B4774" s="115"/>
      <c r="D4774" s="116"/>
    </row>
    <row r="4775" spans="2:4" x14ac:dyDescent="0.2">
      <c r="B4775" s="115"/>
      <c r="D4775" s="116"/>
    </row>
    <row r="4776" spans="2:4" x14ac:dyDescent="0.2">
      <c r="B4776" s="115"/>
      <c r="D4776" s="116"/>
    </row>
    <row r="4777" spans="2:4" x14ac:dyDescent="0.2">
      <c r="B4777" s="115"/>
      <c r="D4777" s="116"/>
    </row>
    <row r="4778" spans="2:4" x14ac:dyDescent="0.2">
      <c r="B4778" s="115"/>
      <c r="D4778" s="116"/>
    </row>
    <row r="4779" spans="2:4" x14ac:dyDescent="0.2">
      <c r="B4779" s="115"/>
      <c r="D4779" s="116"/>
    </row>
    <row r="4780" spans="2:4" x14ac:dyDescent="0.2">
      <c r="B4780" s="115"/>
      <c r="D4780" s="116"/>
    </row>
    <row r="4781" spans="2:4" x14ac:dyDescent="0.2">
      <c r="B4781" s="115"/>
      <c r="D4781" s="116"/>
    </row>
    <row r="4782" spans="2:4" x14ac:dyDescent="0.2">
      <c r="B4782" s="115"/>
      <c r="D4782" s="116"/>
    </row>
    <row r="4783" spans="2:4" x14ac:dyDescent="0.2">
      <c r="B4783" s="115"/>
      <c r="D4783" s="116"/>
    </row>
    <row r="4784" spans="2:4" x14ac:dyDescent="0.2">
      <c r="B4784" s="115"/>
      <c r="D4784" s="116"/>
    </row>
    <row r="4785" spans="2:4" x14ac:dyDescent="0.2">
      <c r="B4785" s="115"/>
      <c r="D4785" s="116"/>
    </row>
    <row r="4786" spans="2:4" x14ac:dyDescent="0.2">
      <c r="B4786" s="115"/>
      <c r="D4786" s="116"/>
    </row>
    <row r="4787" spans="2:4" x14ac:dyDescent="0.2">
      <c r="B4787" s="115"/>
      <c r="D4787" s="116"/>
    </row>
    <row r="4788" spans="2:4" x14ac:dyDescent="0.2">
      <c r="B4788" s="115"/>
      <c r="D4788" s="116"/>
    </row>
    <row r="4789" spans="2:4" x14ac:dyDescent="0.2">
      <c r="B4789" s="115"/>
      <c r="D4789" s="116"/>
    </row>
    <row r="4790" spans="2:4" x14ac:dyDescent="0.2">
      <c r="B4790" s="115"/>
      <c r="D4790" s="116"/>
    </row>
    <row r="4791" spans="2:4" x14ac:dyDescent="0.2">
      <c r="B4791" s="115"/>
      <c r="D4791" s="116"/>
    </row>
    <row r="4792" spans="2:4" x14ac:dyDescent="0.2">
      <c r="B4792" s="115"/>
      <c r="D4792" s="116"/>
    </row>
    <row r="4793" spans="2:4" x14ac:dyDescent="0.2">
      <c r="B4793" s="115"/>
      <c r="D4793" s="116"/>
    </row>
    <row r="4794" spans="2:4" x14ac:dyDescent="0.2">
      <c r="B4794" s="115"/>
      <c r="D4794" s="116"/>
    </row>
    <row r="4795" spans="2:4" x14ac:dyDescent="0.2">
      <c r="B4795" s="115"/>
      <c r="D4795" s="116"/>
    </row>
    <row r="4796" spans="2:4" x14ac:dyDescent="0.2">
      <c r="B4796" s="115"/>
      <c r="D4796" s="116"/>
    </row>
    <row r="4797" spans="2:4" x14ac:dyDescent="0.2">
      <c r="B4797" s="115"/>
      <c r="D4797" s="116"/>
    </row>
    <row r="4798" spans="2:4" x14ac:dyDescent="0.2">
      <c r="B4798" s="115"/>
      <c r="D4798" s="116"/>
    </row>
    <row r="4799" spans="2:4" x14ac:dyDescent="0.2">
      <c r="B4799" s="115"/>
      <c r="D4799" s="116"/>
    </row>
    <row r="4800" spans="2:4" x14ac:dyDescent="0.2">
      <c r="B4800" s="115"/>
      <c r="D4800" s="116"/>
    </row>
    <row r="4801" spans="2:4" x14ac:dyDescent="0.2">
      <c r="B4801" s="115"/>
      <c r="D4801" s="116"/>
    </row>
    <row r="4802" spans="2:4" x14ac:dyDescent="0.2">
      <c r="B4802" s="115"/>
      <c r="D4802" s="116"/>
    </row>
    <row r="4803" spans="2:4" x14ac:dyDescent="0.2">
      <c r="B4803" s="115"/>
      <c r="D4803" s="116"/>
    </row>
    <row r="4804" spans="2:4" x14ac:dyDescent="0.2">
      <c r="B4804" s="115"/>
      <c r="D4804" s="116"/>
    </row>
    <row r="4805" spans="2:4" x14ac:dyDescent="0.2">
      <c r="B4805" s="115"/>
      <c r="D4805" s="116"/>
    </row>
    <row r="4806" spans="2:4" x14ac:dyDescent="0.2">
      <c r="B4806" s="115"/>
      <c r="D4806" s="116"/>
    </row>
    <row r="4807" spans="2:4" x14ac:dyDescent="0.2">
      <c r="B4807" s="115"/>
      <c r="D4807" s="116"/>
    </row>
    <row r="4808" spans="2:4" x14ac:dyDescent="0.2">
      <c r="B4808" s="115"/>
      <c r="D4808" s="116"/>
    </row>
    <row r="4809" spans="2:4" x14ac:dyDescent="0.2">
      <c r="B4809" s="115"/>
      <c r="D4809" s="116"/>
    </row>
    <row r="4810" spans="2:4" x14ac:dyDescent="0.2">
      <c r="B4810" s="115"/>
      <c r="D4810" s="116"/>
    </row>
    <row r="4811" spans="2:4" x14ac:dyDescent="0.2">
      <c r="B4811" s="115"/>
      <c r="D4811" s="116"/>
    </row>
    <row r="4812" spans="2:4" x14ac:dyDescent="0.2">
      <c r="B4812" s="115"/>
      <c r="D4812" s="116"/>
    </row>
    <row r="4813" spans="2:4" x14ac:dyDescent="0.2">
      <c r="B4813" s="115"/>
      <c r="D4813" s="116"/>
    </row>
    <row r="4814" spans="2:4" x14ac:dyDescent="0.2">
      <c r="B4814" s="115"/>
      <c r="D4814" s="116"/>
    </row>
    <row r="4815" spans="2:4" x14ac:dyDescent="0.2">
      <c r="B4815" s="115"/>
      <c r="D4815" s="116"/>
    </row>
    <row r="4816" spans="2:4" x14ac:dyDescent="0.2">
      <c r="B4816" s="115"/>
      <c r="D4816" s="116"/>
    </row>
    <row r="4817" spans="2:4" x14ac:dyDescent="0.2">
      <c r="B4817" s="115"/>
      <c r="D4817" s="116"/>
    </row>
    <row r="4818" spans="2:4" x14ac:dyDescent="0.2">
      <c r="B4818" s="115"/>
      <c r="D4818" s="116"/>
    </row>
    <row r="4819" spans="2:4" x14ac:dyDescent="0.2">
      <c r="B4819" s="115"/>
      <c r="D4819" s="116"/>
    </row>
    <row r="4820" spans="2:4" x14ac:dyDescent="0.2">
      <c r="B4820" s="115"/>
      <c r="D4820" s="116"/>
    </row>
    <row r="4821" spans="2:4" x14ac:dyDescent="0.2">
      <c r="B4821" s="115"/>
      <c r="D4821" s="116"/>
    </row>
    <row r="4822" spans="2:4" x14ac:dyDescent="0.2">
      <c r="B4822" s="115"/>
      <c r="D4822" s="116"/>
    </row>
    <row r="4823" spans="2:4" x14ac:dyDescent="0.2">
      <c r="B4823" s="115"/>
      <c r="D4823" s="116"/>
    </row>
    <row r="4824" spans="2:4" x14ac:dyDescent="0.2">
      <c r="B4824" s="115"/>
      <c r="D4824" s="116"/>
    </row>
    <row r="4825" spans="2:4" x14ac:dyDescent="0.2">
      <c r="B4825" s="115"/>
      <c r="D4825" s="116"/>
    </row>
    <row r="4826" spans="2:4" x14ac:dyDescent="0.2">
      <c r="B4826" s="115"/>
      <c r="D4826" s="116"/>
    </row>
    <row r="4827" spans="2:4" x14ac:dyDescent="0.2">
      <c r="B4827" s="115"/>
      <c r="D4827" s="116"/>
    </row>
    <row r="4828" spans="2:4" x14ac:dyDescent="0.2">
      <c r="B4828" s="115"/>
      <c r="D4828" s="116"/>
    </row>
    <row r="4829" spans="2:4" x14ac:dyDescent="0.2">
      <c r="B4829" s="115"/>
      <c r="D4829" s="116"/>
    </row>
    <row r="4830" spans="2:4" x14ac:dyDescent="0.2">
      <c r="B4830" s="115"/>
      <c r="D4830" s="116"/>
    </row>
    <row r="4831" spans="2:4" x14ac:dyDescent="0.2">
      <c r="B4831" s="115"/>
      <c r="D4831" s="116"/>
    </row>
    <row r="4832" spans="2:4" x14ac:dyDescent="0.2">
      <c r="B4832" s="115"/>
      <c r="D4832" s="116"/>
    </row>
    <row r="4833" spans="2:4" x14ac:dyDescent="0.2">
      <c r="B4833" s="115"/>
      <c r="D4833" s="116"/>
    </row>
    <row r="4834" spans="2:4" x14ac:dyDescent="0.2">
      <c r="B4834" s="115"/>
      <c r="D4834" s="116"/>
    </row>
    <row r="4835" spans="2:4" x14ac:dyDescent="0.2">
      <c r="B4835" s="115"/>
      <c r="D4835" s="116"/>
    </row>
    <row r="4836" spans="2:4" x14ac:dyDescent="0.2">
      <c r="B4836" s="115"/>
      <c r="D4836" s="116"/>
    </row>
    <row r="4837" spans="2:4" x14ac:dyDescent="0.2">
      <c r="B4837" s="115"/>
      <c r="D4837" s="116"/>
    </row>
    <row r="4838" spans="2:4" x14ac:dyDescent="0.2">
      <c r="B4838" s="115"/>
      <c r="D4838" s="116"/>
    </row>
    <row r="4839" spans="2:4" x14ac:dyDescent="0.2">
      <c r="B4839" s="115"/>
      <c r="D4839" s="116"/>
    </row>
    <row r="4840" spans="2:4" x14ac:dyDescent="0.2">
      <c r="B4840" s="115"/>
      <c r="D4840" s="116"/>
    </row>
    <row r="4841" spans="2:4" x14ac:dyDescent="0.2">
      <c r="B4841" s="115"/>
      <c r="D4841" s="116"/>
    </row>
    <row r="4842" spans="2:4" x14ac:dyDescent="0.2">
      <c r="B4842" s="115"/>
      <c r="D4842" s="116"/>
    </row>
    <row r="4843" spans="2:4" x14ac:dyDescent="0.2">
      <c r="B4843" s="115"/>
      <c r="D4843" s="116"/>
    </row>
    <row r="4844" spans="2:4" x14ac:dyDescent="0.2">
      <c r="B4844" s="115"/>
      <c r="D4844" s="116"/>
    </row>
    <row r="4845" spans="2:4" x14ac:dyDescent="0.2">
      <c r="B4845" s="115"/>
      <c r="D4845" s="116"/>
    </row>
    <row r="4846" spans="2:4" x14ac:dyDescent="0.2">
      <c r="B4846" s="115"/>
      <c r="D4846" s="116"/>
    </row>
    <row r="4847" spans="2:4" x14ac:dyDescent="0.2">
      <c r="B4847" s="115"/>
      <c r="D4847" s="116"/>
    </row>
    <row r="4848" spans="2:4" x14ac:dyDescent="0.2">
      <c r="B4848" s="115"/>
      <c r="D4848" s="116"/>
    </row>
    <row r="4849" spans="2:4" x14ac:dyDescent="0.2">
      <c r="B4849" s="115"/>
      <c r="D4849" s="116"/>
    </row>
    <row r="4850" spans="2:4" x14ac:dyDescent="0.2">
      <c r="B4850" s="115"/>
      <c r="D4850" s="116"/>
    </row>
    <row r="4851" spans="2:4" x14ac:dyDescent="0.2">
      <c r="B4851" s="115"/>
      <c r="D4851" s="116"/>
    </row>
    <row r="4852" spans="2:4" x14ac:dyDescent="0.2">
      <c r="B4852" s="115"/>
      <c r="D4852" s="116"/>
    </row>
    <row r="4853" spans="2:4" x14ac:dyDescent="0.2">
      <c r="B4853" s="115"/>
      <c r="D4853" s="116"/>
    </row>
    <row r="4854" spans="2:4" x14ac:dyDescent="0.2">
      <c r="B4854" s="115"/>
      <c r="D4854" s="116"/>
    </row>
    <row r="4855" spans="2:4" x14ac:dyDescent="0.2">
      <c r="B4855" s="115"/>
      <c r="D4855" s="116"/>
    </row>
    <row r="4856" spans="2:4" x14ac:dyDescent="0.2">
      <c r="B4856" s="115"/>
      <c r="D4856" s="116"/>
    </row>
    <row r="4857" spans="2:4" x14ac:dyDescent="0.2">
      <c r="B4857" s="115"/>
      <c r="D4857" s="116"/>
    </row>
    <row r="4858" spans="2:4" x14ac:dyDescent="0.2">
      <c r="B4858" s="115"/>
      <c r="D4858" s="116"/>
    </row>
    <row r="4859" spans="2:4" x14ac:dyDescent="0.2">
      <c r="B4859" s="115"/>
      <c r="D4859" s="116"/>
    </row>
    <row r="4860" spans="2:4" x14ac:dyDescent="0.2">
      <c r="B4860" s="115"/>
      <c r="D4860" s="116"/>
    </row>
    <row r="4861" spans="2:4" x14ac:dyDescent="0.2">
      <c r="B4861" s="115"/>
      <c r="D4861" s="116"/>
    </row>
    <row r="4862" spans="2:4" x14ac:dyDescent="0.2">
      <c r="B4862" s="115"/>
      <c r="D4862" s="116"/>
    </row>
    <row r="4863" spans="2:4" x14ac:dyDescent="0.2">
      <c r="B4863" s="115"/>
      <c r="D4863" s="116"/>
    </row>
    <row r="4864" spans="2:4" x14ac:dyDescent="0.2">
      <c r="B4864" s="115"/>
      <c r="D4864" s="116"/>
    </row>
    <row r="4865" spans="2:4" x14ac:dyDescent="0.2">
      <c r="B4865" s="115"/>
      <c r="D4865" s="116"/>
    </row>
    <row r="4866" spans="2:4" x14ac:dyDescent="0.2">
      <c r="B4866" s="115"/>
      <c r="D4866" s="116"/>
    </row>
    <row r="4867" spans="2:4" x14ac:dyDescent="0.2">
      <c r="B4867" s="115"/>
      <c r="D4867" s="116"/>
    </row>
    <row r="4868" spans="2:4" x14ac:dyDescent="0.2">
      <c r="B4868" s="115"/>
      <c r="D4868" s="116"/>
    </row>
    <row r="4869" spans="2:4" x14ac:dyDescent="0.2">
      <c r="B4869" s="115"/>
      <c r="D4869" s="116"/>
    </row>
    <row r="4870" spans="2:4" x14ac:dyDescent="0.2">
      <c r="B4870" s="115"/>
      <c r="D4870" s="116"/>
    </row>
    <row r="4871" spans="2:4" x14ac:dyDescent="0.2">
      <c r="B4871" s="115"/>
      <c r="D4871" s="116"/>
    </row>
    <row r="4872" spans="2:4" x14ac:dyDescent="0.2">
      <c r="B4872" s="115"/>
      <c r="D4872" s="116"/>
    </row>
    <row r="4873" spans="2:4" x14ac:dyDescent="0.2">
      <c r="B4873" s="115"/>
      <c r="D4873" s="116"/>
    </row>
    <row r="4874" spans="2:4" x14ac:dyDescent="0.2">
      <c r="B4874" s="115"/>
      <c r="D4874" s="116"/>
    </row>
    <row r="4875" spans="2:4" x14ac:dyDescent="0.2">
      <c r="B4875" s="115"/>
      <c r="D4875" s="116"/>
    </row>
    <row r="4876" spans="2:4" x14ac:dyDescent="0.2">
      <c r="B4876" s="115"/>
      <c r="D4876" s="116"/>
    </row>
    <row r="4877" spans="2:4" x14ac:dyDescent="0.2">
      <c r="B4877" s="115"/>
      <c r="D4877" s="116"/>
    </row>
    <row r="4878" spans="2:4" x14ac:dyDescent="0.2">
      <c r="B4878" s="115"/>
      <c r="D4878" s="116"/>
    </row>
    <row r="4879" spans="2:4" x14ac:dyDescent="0.2">
      <c r="B4879" s="115"/>
      <c r="D4879" s="116"/>
    </row>
    <row r="4880" spans="2:4" x14ac:dyDescent="0.2">
      <c r="B4880" s="115"/>
      <c r="D4880" s="116"/>
    </row>
    <row r="4881" spans="2:4" x14ac:dyDescent="0.2">
      <c r="B4881" s="115"/>
      <c r="D4881" s="116"/>
    </row>
    <row r="4882" spans="2:4" x14ac:dyDescent="0.2">
      <c r="B4882" s="115"/>
      <c r="D4882" s="116"/>
    </row>
    <row r="4883" spans="2:4" x14ac:dyDescent="0.2">
      <c r="B4883" s="115"/>
      <c r="D4883" s="116"/>
    </row>
    <row r="4884" spans="2:4" x14ac:dyDescent="0.2">
      <c r="B4884" s="115"/>
      <c r="D4884" s="116"/>
    </row>
    <row r="4885" spans="2:4" x14ac:dyDescent="0.2">
      <c r="B4885" s="115"/>
      <c r="D4885" s="116"/>
    </row>
    <row r="4886" spans="2:4" x14ac:dyDescent="0.2">
      <c r="B4886" s="115"/>
      <c r="D4886" s="116"/>
    </row>
    <row r="4887" spans="2:4" x14ac:dyDescent="0.2">
      <c r="B4887" s="115"/>
      <c r="D4887" s="116"/>
    </row>
    <row r="4888" spans="2:4" x14ac:dyDescent="0.2">
      <c r="B4888" s="115"/>
      <c r="D4888" s="116"/>
    </row>
    <row r="4889" spans="2:4" x14ac:dyDescent="0.2">
      <c r="B4889" s="115"/>
      <c r="D4889" s="116"/>
    </row>
    <row r="4890" spans="2:4" x14ac:dyDescent="0.2">
      <c r="B4890" s="115"/>
      <c r="D4890" s="116"/>
    </row>
    <row r="4891" spans="2:4" x14ac:dyDescent="0.2">
      <c r="B4891" s="115"/>
      <c r="D4891" s="116"/>
    </row>
    <row r="4892" spans="2:4" x14ac:dyDescent="0.2">
      <c r="B4892" s="115"/>
      <c r="D4892" s="116"/>
    </row>
    <row r="4893" spans="2:4" x14ac:dyDescent="0.2">
      <c r="B4893" s="115"/>
      <c r="D4893" s="116"/>
    </row>
    <row r="4894" spans="2:4" x14ac:dyDescent="0.2">
      <c r="B4894" s="115"/>
      <c r="D4894" s="116"/>
    </row>
    <row r="4895" spans="2:4" x14ac:dyDescent="0.2">
      <c r="B4895" s="115"/>
      <c r="D4895" s="116"/>
    </row>
    <row r="4896" spans="2:4" x14ac:dyDescent="0.2">
      <c r="B4896" s="115"/>
      <c r="D4896" s="116"/>
    </row>
    <row r="4897" spans="2:4" x14ac:dyDescent="0.2">
      <c r="B4897" s="115"/>
      <c r="D4897" s="116"/>
    </row>
    <row r="4898" spans="2:4" x14ac:dyDescent="0.2">
      <c r="B4898" s="115"/>
      <c r="D4898" s="116"/>
    </row>
    <row r="4899" spans="2:4" x14ac:dyDescent="0.2">
      <c r="B4899" s="115"/>
      <c r="D4899" s="116"/>
    </row>
    <row r="4900" spans="2:4" x14ac:dyDescent="0.2">
      <c r="B4900" s="115"/>
      <c r="D4900" s="116"/>
    </row>
    <row r="4901" spans="2:4" x14ac:dyDescent="0.2">
      <c r="B4901" s="115"/>
      <c r="D4901" s="116"/>
    </row>
    <row r="4902" spans="2:4" x14ac:dyDescent="0.2">
      <c r="B4902" s="115"/>
      <c r="D4902" s="116"/>
    </row>
    <row r="4903" spans="2:4" x14ac:dyDescent="0.2">
      <c r="B4903" s="115"/>
      <c r="D4903" s="116"/>
    </row>
    <row r="4904" spans="2:4" x14ac:dyDescent="0.2">
      <c r="B4904" s="115"/>
      <c r="D4904" s="116"/>
    </row>
    <row r="4905" spans="2:4" x14ac:dyDescent="0.2">
      <c r="B4905" s="115"/>
      <c r="D4905" s="116"/>
    </row>
    <row r="4906" spans="2:4" x14ac:dyDescent="0.2">
      <c r="B4906" s="115"/>
      <c r="D4906" s="116"/>
    </row>
    <row r="4907" spans="2:4" x14ac:dyDescent="0.2">
      <c r="B4907" s="115"/>
      <c r="D4907" s="116"/>
    </row>
    <row r="4908" spans="2:4" x14ac:dyDescent="0.2">
      <c r="B4908" s="115"/>
      <c r="D4908" s="116"/>
    </row>
    <row r="4909" spans="2:4" x14ac:dyDescent="0.2">
      <c r="B4909" s="115"/>
      <c r="D4909" s="116"/>
    </row>
    <row r="4910" spans="2:4" x14ac:dyDescent="0.2">
      <c r="B4910" s="115"/>
      <c r="D4910" s="116"/>
    </row>
    <row r="4911" spans="2:4" x14ac:dyDescent="0.2">
      <c r="B4911" s="115"/>
      <c r="D4911" s="116"/>
    </row>
    <row r="4912" spans="2:4" x14ac:dyDescent="0.2">
      <c r="B4912" s="115"/>
      <c r="D4912" s="116"/>
    </row>
    <row r="4913" spans="2:4" x14ac:dyDescent="0.2">
      <c r="B4913" s="115"/>
      <c r="D4913" s="116"/>
    </row>
    <row r="4914" spans="2:4" x14ac:dyDescent="0.2">
      <c r="B4914" s="115"/>
      <c r="D4914" s="116"/>
    </row>
    <row r="4915" spans="2:4" x14ac:dyDescent="0.2">
      <c r="B4915" s="115"/>
      <c r="D4915" s="116"/>
    </row>
    <row r="4916" spans="2:4" x14ac:dyDescent="0.2">
      <c r="B4916" s="115"/>
      <c r="D4916" s="116"/>
    </row>
    <row r="4917" spans="2:4" x14ac:dyDescent="0.2">
      <c r="B4917" s="115"/>
      <c r="D4917" s="116"/>
    </row>
    <row r="4918" spans="2:4" x14ac:dyDescent="0.2">
      <c r="B4918" s="115"/>
      <c r="D4918" s="116"/>
    </row>
    <row r="4919" spans="2:4" x14ac:dyDescent="0.2">
      <c r="B4919" s="115"/>
      <c r="D4919" s="116"/>
    </row>
    <row r="4920" spans="2:4" x14ac:dyDescent="0.2">
      <c r="B4920" s="115"/>
      <c r="D4920" s="116"/>
    </row>
    <row r="4921" spans="2:4" x14ac:dyDescent="0.2">
      <c r="B4921" s="115"/>
      <c r="D4921" s="116"/>
    </row>
    <row r="4922" spans="2:4" x14ac:dyDescent="0.2">
      <c r="B4922" s="115"/>
      <c r="D4922" s="116"/>
    </row>
    <row r="4923" spans="2:4" x14ac:dyDescent="0.2">
      <c r="B4923" s="115"/>
      <c r="D4923" s="116"/>
    </row>
    <row r="4924" spans="2:4" x14ac:dyDescent="0.2">
      <c r="B4924" s="115"/>
      <c r="D4924" s="116"/>
    </row>
    <row r="4925" spans="2:4" x14ac:dyDescent="0.2">
      <c r="B4925" s="115"/>
      <c r="D4925" s="116"/>
    </row>
    <row r="4926" spans="2:4" x14ac:dyDescent="0.2">
      <c r="B4926" s="115"/>
      <c r="D4926" s="116"/>
    </row>
    <row r="4927" spans="2:4" x14ac:dyDescent="0.2">
      <c r="B4927" s="115"/>
      <c r="D4927" s="116"/>
    </row>
    <row r="4928" spans="2:4" x14ac:dyDescent="0.2">
      <c r="B4928" s="115"/>
      <c r="D4928" s="116"/>
    </row>
    <row r="4929" spans="2:4" x14ac:dyDescent="0.2">
      <c r="B4929" s="115"/>
      <c r="D4929" s="116"/>
    </row>
    <row r="4930" spans="2:4" x14ac:dyDescent="0.2">
      <c r="B4930" s="115"/>
      <c r="D4930" s="116"/>
    </row>
    <row r="4931" spans="2:4" x14ac:dyDescent="0.2">
      <c r="B4931" s="115"/>
      <c r="D4931" s="116"/>
    </row>
    <row r="4932" spans="2:4" x14ac:dyDescent="0.2">
      <c r="B4932" s="115"/>
      <c r="D4932" s="116"/>
    </row>
    <row r="4933" spans="2:4" x14ac:dyDescent="0.2">
      <c r="B4933" s="115"/>
      <c r="D4933" s="116"/>
    </row>
    <row r="4934" spans="2:4" x14ac:dyDescent="0.2">
      <c r="B4934" s="115"/>
      <c r="D4934" s="116"/>
    </row>
    <row r="4935" spans="2:4" x14ac:dyDescent="0.2">
      <c r="B4935" s="115"/>
      <c r="D4935" s="116"/>
    </row>
    <row r="4936" spans="2:4" x14ac:dyDescent="0.2">
      <c r="B4936" s="115"/>
      <c r="D4936" s="116"/>
    </row>
    <row r="4937" spans="2:4" x14ac:dyDescent="0.2">
      <c r="B4937" s="115"/>
      <c r="D4937" s="116"/>
    </row>
    <row r="4938" spans="2:4" x14ac:dyDescent="0.2">
      <c r="B4938" s="115"/>
      <c r="D4938" s="116"/>
    </row>
    <row r="4939" spans="2:4" x14ac:dyDescent="0.2">
      <c r="B4939" s="115"/>
      <c r="D4939" s="116"/>
    </row>
    <row r="4940" spans="2:4" x14ac:dyDescent="0.2">
      <c r="B4940" s="115"/>
      <c r="D4940" s="116"/>
    </row>
    <row r="4941" spans="2:4" x14ac:dyDescent="0.2">
      <c r="B4941" s="115"/>
      <c r="D4941" s="116"/>
    </row>
    <row r="4942" spans="2:4" x14ac:dyDescent="0.2">
      <c r="B4942" s="115"/>
      <c r="D4942" s="116"/>
    </row>
    <row r="4943" spans="2:4" x14ac:dyDescent="0.2">
      <c r="B4943" s="115"/>
      <c r="D4943" s="116"/>
    </row>
    <row r="4944" spans="2:4" x14ac:dyDescent="0.2">
      <c r="B4944" s="115"/>
      <c r="D4944" s="116"/>
    </row>
    <row r="4945" spans="2:4" x14ac:dyDescent="0.2">
      <c r="B4945" s="115"/>
      <c r="D4945" s="116"/>
    </row>
    <row r="4946" spans="2:4" x14ac:dyDescent="0.2">
      <c r="B4946" s="115"/>
      <c r="D4946" s="116"/>
    </row>
    <row r="4947" spans="2:4" x14ac:dyDescent="0.2">
      <c r="B4947" s="115"/>
      <c r="D4947" s="116"/>
    </row>
    <row r="4948" spans="2:4" x14ac:dyDescent="0.2">
      <c r="B4948" s="115"/>
      <c r="D4948" s="116"/>
    </row>
    <row r="4949" spans="2:4" x14ac:dyDescent="0.2">
      <c r="B4949" s="115"/>
      <c r="D4949" s="116"/>
    </row>
    <row r="4950" spans="2:4" x14ac:dyDescent="0.2">
      <c r="B4950" s="115"/>
      <c r="D4950" s="116"/>
    </row>
    <row r="4951" spans="2:4" x14ac:dyDescent="0.2">
      <c r="B4951" s="115"/>
      <c r="D4951" s="116"/>
    </row>
    <row r="4952" spans="2:4" x14ac:dyDescent="0.2">
      <c r="B4952" s="115"/>
      <c r="D4952" s="116"/>
    </row>
    <row r="4953" spans="2:4" x14ac:dyDescent="0.2">
      <c r="B4953" s="115"/>
      <c r="D4953" s="116"/>
    </row>
    <row r="4954" spans="2:4" x14ac:dyDescent="0.2">
      <c r="B4954" s="115"/>
      <c r="D4954" s="116"/>
    </row>
    <row r="4955" spans="2:4" x14ac:dyDescent="0.2">
      <c r="B4955" s="115"/>
      <c r="D4955" s="116"/>
    </row>
    <row r="4956" spans="2:4" x14ac:dyDescent="0.2">
      <c r="B4956" s="115"/>
      <c r="D4956" s="116"/>
    </row>
    <row r="4957" spans="2:4" x14ac:dyDescent="0.2">
      <c r="B4957" s="115"/>
      <c r="D4957" s="116"/>
    </row>
    <row r="4958" spans="2:4" x14ac:dyDescent="0.2">
      <c r="B4958" s="115"/>
      <c r="D4958" s="116"/>
    </row>
    <row r="4959" spans="2:4" x14ac:dyDescent="0.2">
      <c r="B4959" s="115"/>
      <c r="D4959" s="116"/>
    </row>
    <row r="4960" spans="2:4" x14ac:dyDescent="0.2">
      <c r="B4960" s="115"/>
      <c r="D4960" s="116"/>
    </row>
    <row r="4961" spans="2:4" x14ac:dyDescent="0.2">
      <c r="B4961" s="115"/>
      <c r="D4961" s="116"/>
    </row>
    <row r="4962" spans="2:4" x14ac:dyDescent="0.2">
      <c r="B4962" s="115"/>
      <c r="D4962" s="116"/>
    </row>
    <row r="4963" spans="2:4" x14ac:dyDescent="0.2">
      <c r="B4963" s="115"/>
      <c r="D4963" s="116"/>
    </row>
    <row r="4964" spans="2:4" x14ac:dyDescent="0.2">
      <c r="B4964" s="115"/>
      <c r="D4964" s="116"/>
    </row>
    <row r="4965" spans="2:4" x14ac:dyDescent="0.2">
      <c r="B4965" s="115"/>
      <c r="D4965" s="116"/>
    </row>
    <row r="4966" spans="2:4" x14ac:dyDescent="0.2">
      <c r="B4966" s="115"/>
      <c r="D4966" s="116"/>
    </row>
    <row r="4967" spans="2:4" x14ac:dyDescent="0.2">
      <c r="B4967" s="115"/>
      <c r="D4967" s="116"/>
    </row>
    <row r="4968" spans="2:4" x14ac:dyDescent="0.2">
      <c r="B4968" s="115"/>
      <c r="D4968" s="116"/>
    </row>
    <row r="4969" spans="2:4" x14ac:dyDescent="0.2">
      <c r="B4969" s="115"/>
      <c r="D4969" s="116"/>
    </row>
    <row r="4970" spans="2:4" x14ac:dyDescent="0.2">
      <c r="B4970" s="115"/>
      <c r="D4970" s="116"/>
    </row>
    <row r="4971" spans="2:4" x14ac:dyDescent="0.2">
      <c r="B4971" s="115"/>
      <c r="D4971" s="116"/>
    </row>
    <row r="4972" spans="2:4" x14ac:dyDescent="0.2">
      <c r="B4972" s="115"/>
      <c r="D4972" s="116"/>
    </row>
    <row r="4973" spans="2:4" x14ac:dyDescent="0.2">
      <c r="B4973" s="115"/>
      <c r="D4973" s="116"/>
    </row>
    <row r="4974" spans="2:4" x14ac:dyDescent="0.2">
      <c r="B4974" s="115"/>
      <c r="D4974" s="116"/>
    </row>
    <row r="4975" spans="2:4" x14ac:dyDescent="0.2">
      <c r="B4975" s="115"/>
      <c r="D4975" s="116"/>
    </row>
    <row r="4976" spans="2:4" x14ac:dyDescent="0.2">
      <c r="B4976" s="115"/>
      <c r="D4976" s="116"/>
    </row>
    <row r="4977" spans="2:4" x14ac:dyDescent="0.2">
      <c r="B4977" s="115"/>
      <c r="D4977" s="116"/>
    </row>
    <row r="4978" spans="2:4" x14ac:dyDescent="0.2">
      <c r="B4978" s="115"/>
      <c r="D4978" s="116"/>
    </row>
    <row r="4979" spans="2:4" x14ac:dyDescent="0.2">
      <c r="B4979" s="115"/>
      <c r="D4979" s="116"/>
    </row>
    <row r="4980" spans="2:4" x14ac:dyDescent="0.2">
      <c r="B4980" s="115"/>
      <c r="D4980" s="116"/>
    </row>
    <row r="4981" spans="2:4" x14ac:dyDescent="0.2">
      <c r="B4981" s="115"/>
      <c r="D4981" s="116"/>
    </row>
    <row r="4982" spans="2:4" x14ac:dyDescent="0.2">
      <c r="B4982" s="115"/>
      <c r="D4982" s="116"/>
    </row>
    <row r="4983" spans="2:4" x14ac:dyDescent="0.2">
      <c r="B4983" s="115"/>
      <c r="D4983" s="116"/>
    </row>
    <row r="4984" spans="2:4" x14ac:dyDescent="0.2">
      <c r="B4984" s="115"/>
      <c r="D4984" s="116"/>
    </row>
    <row r="4985" spans="2:4" x14ac:dyDescent="0.2">
      <c r="B4985" s="115"/>
      <c r="D4985" s="116"/>
    </row>
    <row r="4986" spans="2:4" x14ac:dyDescent="0.2">
      <c r="B4986" s="115"/>
      <c r="D4986" s="116"/>
    </row>
    <row r="4987" spans="2:4" x14ac:dyDescent="0.2">
      <c r="B4987" s="115"/>
      <c r="D4987" s="116"/>
    </row>
    <row r="4988" spans="2:4" x14ac:dyDescent="0.2">
      <c r="B4988" s="115"/>
      <c r="D4988" s="116"/>
    </row>
    <row r="4989" spans="2:4" x14ac:dyDescent="0.2">
      <c r="B4989" s="115"/>
      <c r="D4989" s="116"/>
    </row>
    <row r="4990" spans="2:4" x14ac:dyDescent="0.2">
      <c r="B4990" s="115"/>
      <c r="D4990" s="116"/>
    </row>
    <row r="4991" spans="2:4" x14ac:dyDescent="0.2">
      <c r="B4991" s="115"/>
      <c r="D4991" s="116"/>
    </row>
    <row r="4992" spans="2:4" x14ac:dyDescent="0.2">
      <c r="B4992" s="115"/>
      <c r="D4992" s="116"/>
    </row>
    <row r="4993" spans="2:4" x14ac:dyDescent="0.2">
      <c r="B4993" s="115"/>
      <c r="D4993" s="116"/>
    </row>
    <row r="4994" spans="2:4" x14ac:dyDescent="0.2">
      <c r="B4994" s="115"/>
      <c r="D4994" s="116"/>
    </row>
    <row r="4995" spans="2:4" x14ac:dyDescent="0.2">
      <c r="B4995" s="115"/>
      <c r="D4995" s="116"/>
    </row>
    <row r="4996" spans="2:4" x14ac:dyDescent="0.2">
      <c r="B4996" s="115"/>
      <c r="D4996" s="116"/>
    </row>
    <row r="4997" spans="2:4" x14ac:dyDescent="0.2">
      <c r="B4997" s="115"/>
      <c r="D4997" s="116"/>
    </row>
    <row r="4998" spans="2:4" x14ac:dyDescent="0.2">
      <c r="B4998" s="115"/>
      <c r="D4998" s="116"/>
    </row>
    <row r="4999" spans="2:4" x14ac:dyDescent="0.2">
      <c r="B4999" s="115"/>
      <c r="D4999" s="116"/>
    </row>
    <row r="5000" spans="2:4" x14ac:dyDescent="0.2">
      <c r="B5000" s="115"/>
      <c r="D5000" s="116"/>
    </row>
    <row r="5001" spans="2:4" x14ac:dyDescent="0.2">
      <c r="B5001" s="115"/>
      <c r="D5001" s="116"/>
    </row>
    <row r="5002" spans="2:4" x14ac:dyDescent="0.2">
      <c r="B5002" s="115"/>
      <c r="D5002" s="116"/>
    </row>
    <row r="5003" spans="2:4" x14ac:dyDescent="0.2">
      <c r="B5003" s="115"/>
      <c r="D5003" s="116"/>
    </row>
    <row r="5004" spans="2:4" x14ac:dyDescent="0.2">
      <c r="B5004" s="115"/>
      <c r="D5004" s="116"/>
    </row>
    <row r="5005" spans="2:4" x14ac:dyDescent="0.2">
      <c r="B5005" s="115"/>
      <c r="D5005" s="116"/>
    </row>
    <row r="5006" spans="2:4" x14ac:dyDescent="0.2">
      <c r="B5006" s="115"/>
      <c r="D5006" s="116"/>
    </row>
    <row r="5007" spans="2:4" x14ac:dyDescent="0.2">
      <c r="B5007" s="115"/>
      <c r="D5007" s="116"/>
    </row>
    <row r="5008" spans="2:4" x14ac:dyDescent="0.2">
      <c r="B5008" s="115"/>
      <c r="D5008" s="116"/>
    </row>
    <row r="5009" spans="2:4" x14ac:dyDescent="0.2">
      <c r="B5009" s="115"/>
      <c r="D5009" s="116"/>
    </row>
    <row r="5010" spans="2:4" x14ac:dyDescent="0.2">
      <c r="B5010" s="115"/>
      <c r="D5010" s="116"/>
    </row>
    <row r="5011" spans="2:4" x14ac:dyDescent="0.2">
      <c r="B5011" s="115"/>
      <c r="D5011" s="116"/>
    </row>
    <row r="5012" spans="2:4" x14ac:dyDescent="0.2">
      <c r="B5012" s="115"/>
      <c r="D5012" s="116"/>
    </row>
    <row r="5013" spans="2:4" x14ac:dyDescent="0.2">
      <c r="B5013" s="115"/>
      <c r="D5013" s="116"/>
    </row>
    <row r="5014" spans="2:4" x14ac:dyDescent="0.2">
      <c r="B5014" s="115"/>
      <c r="D5014" s="116"/>
    </row>
    <row r="5015" spans="2:4" x14ac:dyDescent="0.2">
      <c r="B5015" s="115"/>
      <c r="D5015" s="116"/>
    </row>
    <row r="5016" spans="2:4" x14ac:dyDescent="0.2">
      <c r="B5016" s="115"/>
      <c r="D5016" s="116"/>
    </row>
    <row r="5017" spans="2:4" x14ac:dyDescent="0.2">
      <c r="B5017" s="115"/>
      <c r="D5017" s="116"/>
    </row>
    <row r="5018" spans="2:4" x14ac:dyDescent="0.2">
      <c r="B5018" s="115"/>
      <c r="D5018" s="116"/>
    </row>
    <row r="5019" spans="2:4" x14ac:dyDescent="0.2">
      <c r="B5019" s="115"/>
      <c r="D5019" s="116"/>
    </row>
    <row r="5020" spans="2:4" x14ac:dyDescent="0.2">
      <c r="B5020" s="115"/>
      <c r="D5020" s="116"/>
    </row>
    <row r="5021" spans="2:4" x14ac:dyDescent="0.2">
      <c r="B5021" s="115"/>
      <c r="D5021" s="116"/>
    </row>
    <row r="5022" spans="2:4" x14ac:dyDescent="0.2">
      <c r="B5022" s="115"/>
      <c r="D5022" s="116"/>
    </row>
    <row r="5023" spans="2:4" x14ac:dyDescent="0.2">
      <c r="B5023" s="115"/>
      <c r="D5023" s="116"/>
    </row>
    <row r="5024" spans="2:4" x14ac:dyDescent="0.2">
      <c r="B5024" s="115"/>
      <c r="D5024" s="116"/>
    </row>
    <row r="5025" spans="1:5" x14ac:dyDescent="0.2">
      <c r="B5025" s="115"/>
      <c r="D5025" s="116"/>
    </row>
    <row r="5026" spans="1:5" x14ac:dyDescent="0.2">
      <c r="B5026" s="115"/>
      <c r="D5026" s="116"/>
    </row>
    <row r="5027" spans="1:5" x14ac:dyDescent="0.2">
      <c r="B5027" s="115"/>
      <c r="D5027" s="116"/>
    </row>
    <row r="5028" spans="1:5" x14ac:dyDescent="0.2">
      <c r="A5028" s="99"/>
      <c r="B5028" s="118"/>
      <c r="C5028" s="99"/>
      <c r="D5028" s="117"/>
      <c r="E5028" s="99"/>
    </row>
  </sheetData>
  <dataValidations count="3">
    <dataValidation type="list" allowBlank="1" showInputMessage="1" showErrorMessage="1" sqref="D2:D5 Q2:Q3">
      <formula1>ListBookies</formula1>
    </dataValidation>
    <dataValidation type="list" allowBlank="1" showInputMessage="1" showErrorMessage="1" sqref="C2:C5 J2:J4">
      <formula1>ListDepWithType</formula1>
    </dataValidation>
    <dataValidation type="list" allowBlank="1" showInputMessage="1" showErrorMessage="1" sqref="P2:P3">
      <formula1>ListAdjustmentType</formula1>
    </dataValidation>
  </dataValidations>
  <pageMargins left="0.7" right="0.7" top="0.75" bottom="0.75" header="0.3" footer="0.3"/>
  <pageSetup paperSize="9" orientation="portrait" r:id="rId1"/>
  <legacyDrawing r:id="rId2"/>
  <tableParts count="3">
    <tablePart r:id="rId3"/>
    <tablePart r:id="rId4"/>
    <tablePart r:id="rId5"/>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BooksAndSports!$M$2:$M$3</xm:f>
          </x14:formula1>
          <xm:sqref>P2</xm:sqref>
        </x14:dataValidation>
        <x14:dataValidation type="list" allowBlank="1" showInputMessage="1" showErrorMessage="1">
          <x14:formula1>
            <xm:f>BooksAndSports!$K$2:$K$3</xm:f>
          </x14:formula1>
          <xm:sqref>C2:C4</xm:sqref>
        </x14:dataValidation>
        <x14:dataValidation type="list" allowBlank="1" showInputMessage="1" showErrorMessage="1">
          <x14:formula1>
            <xm:f>BooksAndSports!R2:R3</xm:f>
          </x14:formula1>
          <xm:sqref>J2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4"/>
  <dimension ref="A1:Q161"/>
  <sheetViews>
    <sheetView showGridLines="0" showRowColHeaders="0" topLeftCell="D1" workbookViewId="0">
      <selection activeCell="P29" sqref="P29"/>
    </sheetView>
  </sheetViews>
  <sheetFormatPr defaultRowHeight="15" x14ac:dyDescent="0.25"/>
  <cols>
    <col min="1" max="1" width="9.140625" hidden="1" customWidth="1"/>
    <col min="2" max="2" width="1.85546875" hidden="1" customWidth="1"/>
    <col min="3" max="3" width="4.28515625" style="7" hidden="1" customWidth="1"/>
    <col min="4" max="4" width="20.140625" customWidth="1"/>
    <col min="5" max="5" width="17.42578125" hidden="1" customWidth="1"/>
    <col min="6" max="6" width="2" customWidth="1"/>
    <col min="7" max="7" width="4.28515625" style="7" hidden="1" customWidth="1"/>
    <col min="8" max="8" width="30.5703125" customWidth="1"/>
    <col min="9" max="9" width="19.28515625" hidden="1" customWidth="1"/>
    <col min="10" max="10" width="2.140625" hidden="1" customWidth="1"/>
    <col min="11" max="11" width="11.28515625" hidden="1" customWidth="1"/>
    <col min="12" max="12" width="1.42578125" hidden="1" customWidth="1"/>
    <col min="13" max="13" width="9.140625" hidden="1" customWidth="1"/>
    <col min="14" max="14" width="1.42578125" hidden="1" customWidth="1"/>
    <col min="15" max="15" width="17.5703125" hidden="1" customWidth="1"/>
    <col min="16" max="16" width="16.42578125" customWidth="1"/>
    <col min="17" max="17" width="13.140625" customWidth="1"/>
  </cols>
  <sheetData>
    <row r="1" spans="1:15" x14ac:dyDescent="0.25">
      <c r="A1" s="4" t="s">
        <v>24</v>
      </c>
      <c r="C1" s="6" t="s">
        <v>29</v>
      </c>
      <c r="D1" s="6" t="s">
        <v>23</v>
      </c>
      <c r="E1" s="6" t="s">
        <v>30</v>
      </c>
      <c r="G1" s="7" t="s">
        <v>29</v>
      </c>
      <c r="H1" s="4" t="s">
        <v>264</v>
      </c>
      <c r="I1" s="7" t="s">
        <v>30</v>
      </c>
      <c r="K1" s="7" t="s">
        <v>31</v>
      </c>
      <c r="M1" s="7" t="s">
        <v>31</v>
      </c>
      <c r="O1" s="46" t="s">
        <v>101</v>
      </c>
    </row>
    <row r="2" spans="1:15" x14ac:dyDescent="0.25">
      <c r="A2" s="2"/>
      <c r="C2" s="7">
        <f>ROW()-1</f>
        <v>1</v>
      </c>
      <c r="D2" s="1" t="s">
        <v>8</v>
      </c>
      <c r="E2" s="1"/>
      <c r="G2" s="14">
        <f t="shared" ref="G2:G94" si="0">ROW()-1</f>
        <v>1</v>
      </c>
      <c r="H2" s="3" t="s">
        <v>208</v>
      </c>
      <c r="I2" s="138"/>
      <c r="K2" s="7" t="s">
        <v>32</v>
      </c>
      <c r="M2" s="7" t="s">
        <v>38</v>
      </c>
      <c r="O2" s="46"/>
    </row>
    <row r="3" spans="1:15" x14ac:dyDescent="0.25">
      <c r="A3" s="2"/>
      <c r="C3" s="7">
        <f t="shared" ref="C3:C8" si="1">ROW()-1</f>
        <v>2</v>
      </c>
      <c r="D3" s="1" t="s">
        <v>200</v>
      </c>
      <c r="E3" s="1"/>
      <c r="G3" s="9">
        <f t="shared" si="0"/>
        <v>2</v>
      </c>
      <c r="H3" s="3" t="s">
        <v>209</v>
      </c>
      <c r="I3" s="1"/>
      <c r="K3" s="7" t="s">
        <v>33</v>
      </c>
      <c r="M3" s="7" t="s">
        <v>39</v>
      </c>
      <c r="O3" s="46"/>
    </row>
    <row r="4" spans="1:15" x14ac:dyDescent="0.25">
      <c r="A4" s="2"/>
      <c r="C4" s="7">
        <f t="shared" si="1"/>
        <v>3</v>
      </c>
      <c r="D4" s="1" t="s">
        <v>7</v>
      </c>
      <c r="E4" s="1"/>
      <c r="G4" s="14">
        <f t="shared" si="0"/>
        <v>3</v>
      </c>
      <c r="H4" s="3" t="s">
        <v>210</v>
      </c>
      <c r="I4" s="3"/>
      <c r="O4" s="10"/>
    </row>
    <row r="5" spans="1:15" x14ac:dyDescent="0.25">
      <c r="A5" s="17"/>
      <c r="C5" s="7">
        <f t="shared" si="1"/>
        <v>4</v>
      </c>
      <c r="D5" s="1" t="s">
        <v>201</v>
      </c>
      <c r="E5" s="1"/>
      <c r="G5" s="9">
        <f t="shared" si="0"/>
        <v>4</v>
      </c>
      <c r="H5" s="3">
        <v>138</v>
      </c>
      <c r="I5" s="129"/>
      <c r="O5" s="10"/>
    </row>
    <row r="6" spans="1:15" x14ac:dyDescent="0.25">
      <c r="A6" s="17"/>
      <c r="C6" s="7">
        <f t="shared" si="1"/>
        <v>5</v>
      </c>
      <c r="D6" s="1" t="s">
        <v>9</v>
      </c>
      <c r="E6" s="1"/>
      <c r="G6" s="14">
        <f t="shared" si="0"/>
        <v>5</v>
      </c>
      <c r="H6" s="3" t="s">
        <v>211</v>
      </c>
      <c r="I6" s="129"/>
      <c r="O6" s="10"/>
    </row>
    <row r="7" spans="1:15" x14ac:dyDescent="0.25">
      <c r="A7" s="17"/>
      <c r="C7" s="7">
        <f t="shared" si="1"/>
        <v>6</v>
      </c>
      <c r="D7" s="1" t="s">
        <v>202</v>
      </c>
      <c r="E7" s="1"/>
      <c r="G7" s="14">
        <f t="shared" si="0"/>
        <v>6</v>
      </c>
      <c r="H7" s="36" t="s">
        <v>212</v>
      </c>
      <c r="I7" s="1"/>
      <c r="O7" s="10"/>
    </row>
    <row r="8" spans="1:15" x14ac:dyDescent="0.25">
      <c r="A8" s="17"/>
      <c r="C8" s="7">
        <f t="shared" si="1"/>
        <v>7</v>
      </c>
      <c r="D8" s="129" t="s">
        <v>203</v>
      </c>
      <c r="E8" s="129"/>
      <c r="G8" s="9">
        <f t="shared" si="0"/>
        <v>7</v>
      </c>
      <c r="H8" s="1" t="s">
        <v>213</v>
      </c>
      <c r="I8" s="1"/>
      <c r="O8" s="10"/>
    </row>
    <row r="9" spans="1:15" x14ac:dyDescent="0.25">
      <c r="A9" s="17"/>
      <c r="C9" s="129">
        <f>ROW()-1</f>
        <v>8</v>
      </c>
      <c r="D9" s="1" t="s">
        <v>204</v>
      </c>
      <c r="E9" s="1"/>
      <c r="G9" s="14">
        <f t="shared" si="0"/>
        <v>8</v>
      </c>
      <c r="H9" s="1" t="s">
        <v>214</v>
      </c>
      <c r="I9" s="1"/>
      <c r="O9" s="10"/>
    </row>
    <row r="10" spans="1:15" x14ac:dyDescent="0.25">
      <c r="A10" s="17"/>
      <c r="C10" s="139">
        <f t="shared" ref="C10:C12" si="2">ROW()-1</f>
        <v>9</v>
      </c>
      <c r="D10" s="139" t="s">
        <v>175</v>
      </c>
      <c r="E10" s="139"/>
      <c r="G10" s="9">
        <f t="shared" si="0"/>
        <v>9</v>
      </c>
      <c r="H10" s="36" t="s">
        <v>265</v>
      </c>
      <c r="I10" s="1"/>
      <c r="O10" s="10"/>
    </row>
    <row r="11" spans="1:15" x14ac:dyDescent="0.25">
      <c r="A11" s="17"/>
      <c r="C11" s="139">
        <f t="shared" si="2"/>
        <v>10</v>
      </c>
      <c r="D11" s="139" t="s">
        <v>205</v>
      </c>
      <c r="E11" s="139"/>
      <c r="G11" s="9">
        <f t="shared" si="0"/>
        <v>10</v>
      </c>
      <c r="H11" s="129" t="s">
        <v>215</v>
      </c>
      <c r="I11" s="129"/>
      <c r="O11" s="10"/>
    </row>
    <row r="12" spans="1:15" x14ac:dyDescent="0.25">
      <c r="A12" s="17"/>
      <c r="C12" s="139">
        <f t="shared" si="2"/>
        <v>11</v>
      </c>
      <c r="D12" s="139" t="s">
        <v>206</v>
      </c>
      <c r="E12" s="139"/>
      <c r="G12" s="9">
        <f t="shared" si="0"/>
        <v>11</v>
      </c>
      <c r="H12" s="36" t="s">
        <v>216</v>
      </c>
      <c r="I12" s="1"/>
      <c r="O12" s="57" t="s">
        <v>155</v>
      </c>
    </row>
    <row r="13" spans="1:15" x14ac:dyDescent="0.25">
      <c r="A13" s="57" t="s">
        <v>155</v>
      </c>
      <c r="C13" s="139">
        <f>ROW()-1</f>
        <v>12</v>
      </c>
      <c r="D13" s="139" t="s">
        <v>207</v>
      </c>
      <c r="E13" s="139"/>
      <c r="G13" s="9">
        <f t="shared" si="0"/>
        <v>12</v>
      </c>
      <c r="H13" s="1" t="s">
        <v>184</v>
      </c>
      <c r="I13" s="1"/>
      <c r="O13" s="57" t="s">
        <v>156</v>
      </c>
    </row>
    <row r="14" spans="1:15" x14ac:dyDescent="0.25">
      <c r="A14" s="57" t="s">
        <v>156</v>
      </c>
      <c r="D14" s="1"/>
      <c r="E14" s="1"/>
      <c r="G14" s="9">
        <f t="shared" si="0"/>
        <v>13</v>
      </c>
      <c r="H14" s="1" t="s">
        <v>217</v>
      </c>
      <c r="I14" s="1"/>
      <c r="O14" s="57" t="s">
        <v>157</v>
      </c>
    </row>
    <row r="15" spans="1:15" x14ac:dyDescent="0.25">
      <c r="A15" s="57" t="s">
        <v>157</v>
      </c>
      <c r="D15" s="1"/>
      <c r="E15" s="1"/>
      <c r="G15" s="14">
        <f t="shared" si="0"/>
        <v>14</v>
      </c>
      <c r="H15" s="1" t="s">
        <v>185</v>
      </c>
      <c r="I15" s="1"/>
    </row>
    <row r="16" spans="1:15" x14ac:dyDescent="0.25">
      <c r="D16" s="1"/>
      <c r="E16" s="1"/>
      <c r="G16" s="9">
        <f t="shared" si="0"/>
        <v>15</v>
      </c>
      <c r="H16" s="1" t="s">
        <v>218</v>
      </c>
      <c r="I16" s="1"/>
    </row>
    <row r="17" spans="4:17" x14ac:dyDescent="0.25">
      <c r="D17" s="1"/>
      <c r="E17" s="1"/>
      <c r="G17" s="14">
        <f t="shared" si="0"/>
        <v>16</v>
      </c>
      <c r="H17" s="138" t="s">
        <v>177</v>
      </c>
      <c r="I17" s="138"/>
    </row>
    <row r="18" spans="4:17" x14ac:dyDescent="0.25">
      <c r="D18" s="1"/>
      <c r="E18" s="1"/>
      <c r="G18" s="9">
        <f t="shared" si="0"/>
        <v>17</v>
      </c>
      <c r="H18" s="138" t="s">
        <v>219</v>
      </c>
      <c r="I18" s="138"/>
    </row>
    <row r="19" spans="4:17" x14ac:dyDescent="0.25">
      <c r="D19" s="1"/>
      <c r="E19" s="1"/>
      <c r="G19" s="9">
        <f t="shared" si="0"/>
        <v>18</v>
      </c>
      <c r="H19" s="1" t="s">
        <v>220</v>
      </c>
      <c r="I19" s="1"/>
    </row>
    <row r="20" spans="4:17" x14ac:dyDescent="0.25">
      <c r="D20" s="7"/>
      <c r="E20" s="7"/>
      <c r="G20" s="9">
        <f t="shared" si="0"/>
        <v>19</v>
      </c>
      <c r="H20" s="138" t="s">
        <v>221</v>
      </c>
      <c r="I20" s="138"/>
    </row>
    <row r="21" spans="4:17" x14ac:dyDescent="0.25">
      <c r="D21" s="7"/>
      <c r="E21" s="7"/>
      <c r="G21" s="9">
        <f t="shared" si="0"/>
        <v>20</v>
      </c>
      <c r="H21" s="10" t="s">
        <v>60</v>
      </c>
      <c r="I21" s="10"/>
    </row>
    <row r="22" spans="4:17" x14ac:dyDescent="0.25">
      <c r="D22" s="7"/>
      <c r="E22" s="7"/>
      <c r="G22" s="9">
        <f t="shared" si="0"/>
        <v>21</v>
      </c>
      <c r="H22" s="10" t="s">
        <v>222</v>
      </c>
      <c r="I22" s="10"/>
    </row>
    <row r="23" spans="4:17" x14ac:dyDescent="0.25">
      <c r="D23" s="7"/>
      <c r="E23" s="7"/>
      <c r="G23" s="14">
        <f t="shared" si="0"/>
        <v>22</v>
      </c>
      <c r="H23" s="36" t="s">
        <v>266</v>
      </c>
      <c r="I23" s="4"/>
    </row>
    <row r="24" spans="4:17" x14ac:dyDescent="0.25">
      <c r="D24" s="7"/>
      <c r="E24" s="7"/>
      <c r="G24" s="9">
        <f t="shared" si="0"/>
        <v>23</v>
      </c>
      <c r="H24" s="7" t="s">
        <v>223</v>
      </c>
      <c r="I24" s="7"/>
    </row>
    <row r="25" spans="4:17" x14ac:dyDescent="0.25">
      <c r="D25" s="7"/>
      <c r="E25" s="7"/>
      <c r="G25" s="9">
        <f t="shared" si="0"/>
        <v>24</v>
      </c>
      <c r="H25" s="138" t="s">
        <v>224</v>
      </c>
      <c r="I25" s="138"/>
    </row>
    <row r="26" spans="4:17" x14ac:dyDescent="0.25">
      <c r="D26" s="7"/>
      <c r="E26" s="7"/>
      <c r="G26" s="9">
        <f t="shared" si="0"/>
        <v>25</v>
      </c>
      <c r="H26" s="119" t="s">
        <v>225</v>
      </c>
      <c r="I26" s="119"/>
    </row>
    <row r="27" spans="4:17" x14ac:dyDescent="0.25">
      <c r="D27" s="7"/>
      <c r="E27" s="7"/>
      <c r="G27" s="9">
        <f t="shared" si="0"/>
        <v>26</v>
      </c>
      <c r="H27" s="119" t="s">
        <v>226</v>
      </c>
      <c r="I27" s="119"/>
    </row>
    <row r="28" spans="4:17" x14ac:dyDescent="0.25">
      <c r="D28" s="7"/>
      <c r="E28" s="7"/>
      <c r="G28" s="9">
        <f t="shared" si="0"/>
        <v>27</v>
      </c>
      <c r="H28" s="138" t="s">
        <v>227</v>
      </c>
      <c r="I28" s="138"/>
    </row>
    <row r="29" spans="4:17" x14ac:dyDescent="0.25">
      <c r="D29" s="7"/>
      <c r="E29" s="7"/>
      <c r="G29" s="9">
        <f t="shared" si="0"/>
        <v>28</v>
      </c>
      <c r="H29" s="138" t="s">
        <v>228</v>
      </c>
      <c r="I29" s="138"/>
      <c r="Q29" s="7"/>
    </row>
    <row r="30" spans="4:17" x14ac:dyDescent="0.25">
      <c r="D30" s="7"/>
      <c r="E30" s="7"/>
      <c r="G30" s="9">
        <f t="shared" si="0"/>
        <v>29</v>
      </c>
      <c r="H30" s="138" t="s">
        <v>15</v>
      </c>
      <c r="I30" s="138"/>
    </row>
    <row r="31" spans="4:17" x14ac:dyDescent="0.25">
      <c r="D31" s="7"/>
      <c r="E31" s="7"/>
      <c r="G31" s="14">
        <f t="shared" si="0"/>
        <v>30</v>
      </c>
      <c r="H31" s="138" t="s">
        <v>267</v>
      </c>
      <c r="I31" s="138"/>
    </row>
    <row r="32" spans="4:17" x14ac:dyDescent="0.25">
      <c r="D32" s="7"/>
      <c r="E32" s="7"/>
      <c r="G32" s="9">
        <f t="shared" si="0"/>
        <v>31</v>
      </c>
      <c r="H32" s="138" t="s">
        <v>229</v>
      </c>
      <c r="I32" s="138"/>
    </row>
    <row r="33" spans="4:9" x14ac:dyDescent="0.25">
      <c r="D33" s="7"/>
      <c r="E33" s="7"/>
      <c r="G33" s="9">
        <f t="shared" ref="G33:G64" si="3">ROW()-1</f>
        <v>32</v>
      </c>
      <c r="H33" s="139" t="s">
        <v>230</v>
      </c>
      <c r="I33" s="139"/>
    </row>
    <row r="34" spans="4:9" x14ac:dyDescent="0.25">
      <c r="D34" s="7"/>
      <c r="E34" s="7"/>
      <c r="G34" s="9">
        <f t="shared" si="3"/>
        <v>33</v>
      </c>
      <c r="H34" s="139" t="s">
        <v>231</v>
      </c>
      <c r="I34" s="139"/>
    </row>
    <row r="35" spans="4:9" x14ac:dyDescent="0.25">
      <c r="D35" s="7"/>
      <c r="E35" s="7"/>
      <c r="G35" s="9">
        <f t="shared" si="3"/>
        <v>34</v>
      </c>
      <c r="H35" s="139" t="s">
        <v>232</v>
      </c>
      <c r="I35" s="139"/>
    </row>
    <row r="36" spans="4:9" x14ac:dyDescent="0.25">
      <c r="D36" s="7"/>
      <c r="E36" s="7"/>
      <c r="G36" s="9">
        <f t="shared" si="3"/>
        <v>35</v>
      </c>
      <c r="H36" s="139" t="s">
        <v>176</v>
      </c>
      <c r="I36" s="139"/>
    </row>
    <row r="37" spans="4:9" x14ac:dyDescent="0.25">
      <c r="D37" s="7"/>
      <c r="E37" s="7"/>
      <c r="G37" s="9">
        <f t="shared" si="3"/>
        <v>36</v>
      </c>
      <c r="H37" s="139" t="s">
        <v>233</v>
      </c>
      <c r="I37" s="139"/>
    </row>
    <row r="38" spans="4:9" x14ac:dyDescent="0.25">
      <c r="D38" s="7"/>
      <c r="E38" s="7"/>
      <c r="G38" s="9">
        <f t="shared" si="3"/>
        <v>37</v>
      </c>
      <c r="H38" s="139" t="s">
        <v>190</v>
      </c>
      <c r="I38" s="139"/>
    </row>
    <row r="39" spans="4:9" x14ac:dyDescent="0.25">
      <c r="D39" s="7"/>
      <c r="E39" s="7"/>
      <c r="G39" s="9">
        <f t="shared" si="3"/>
        <v>38</v>
      </c>
      <c r="H39" s="139" t="s">
        <v>234</v>
      </c>
      <c r="I39" s="139"/>
    </row>
    <row r="40" spans="4:9" x14ac:dyDescent="0.25">
      <c r="D40" s="7"/>
      <c r="E40" s="7"/>
      <c r="G40" s="9">
        <f t="shared" si="3"/>
        <v>39</v>
      </c>
      <c r="H40" s="139" t="s">
        <v>235</v>
      </c>
      <c r="I40" s="139"/>
    </row>
    <row r="41" spans="4:9" x14ac:dyDescent="0.25">
      <c r="D41" s="7"/>
      <c r="E41" s="7"/>
      <c r="G41" s="9">
        <f t="shared" si="3"/>
        <v>40</v>
      </c>
      <c r="H41" s="139" t="s">
        <v>236</v>
      </c>
      <c r="I41" s="139"/>
    </row>
    <row r="42" spans="4:9" x14ac:dyDescent="0.25">
      <c r="D42" s="7"/>
      <c r="E42" s="7"/>
      <c r="G42" s="9">
        <f t="shared" si="3"/>
        <v>41</v>
      </c>
      <c r="H42" s="139" t="s">
        <v>268</v>
      </c>
      <c r="I42" s="139"/>
    </row>
    <row r="43" spans="4:9" x14ac:dyDescent="0.25">
      <c r="D43" s="7"/>
      <c r="E43" s="7"/>
      <c r="G43" s="9">
        <f t="shared" si="3"/>
        <v>42</v>
      </c>
      <c r="H43" s="139" t="s">
        <v>13</v>
      </c>
      <c r="I43" s="139"/>
    </row>
    <row r="44" spans="4:9" x14ac:dyDescent="0.25">
      <c r="D44" s="7"/>
      <c r="E44" s="7"/>
      <c r="G44" s="9">
        <f t="shared" si="3"/>
        <v>43</v>
      </c>
      <c r="H44" s="139" t="s">
        <v>237</v>
      </c>
      <c r="I44" s="139"/>
    </row>
    <row r="45" spans="4:9" x14ac:dyDescent="0.25">
      <c r="D45" s="7"/>
      <c r="E45" s="7"/>
      <c r="G45" s="9">
        <f t="shared" si="3"/>
        <v>44</v>
      </c>
      <c r="H45" s="139" t="s">
        <v>238</v>
      </c>
      <c r="I45" s="139"/>
    </row>
    <row r="46" spans="4:9" x14ac:dyDescent="0.25">
      <c r="D46" s="7"/>
      <c r="E46" s="7"/>
      <c r="G46" s="9">
        <f t="shared" si="3"/>
        <v>45</v>
      </c>
      <c r="H46" s="139" t="s">
        <v>16</v>
      </c>
      <c r="I46" s="139"/>
    </row>
    <row r="47" spans="4:9" x14ac:dyDescent="0.25">
      <c r="D47" s="7"/>
      <c r="E47" s="7"/>
      <c r="G47" s="9">
        <f t="shared" si="3"/>
        <v>46</v>
      </c>
      <c r="H47" s="139" t="s">
        <v>269</v>
      </c>
      <c r="I47" s="139"/>
    </row>
    <row r="48" spans="4:9" x14ac:dyDescent="0.25">
      <c r="D48" s="7"/>
      <c r="E48" s="7"/>
      <c r="G48" s="9">
        <f t="shared" si="3"/>
        <v>47</v>
      </c>
      <c r="H48" s="139" t="s">
        <v>239</v>
      </c>
      <c r="I48" s="139"/>
    </row>
    <row r="49" spans="4:9" x14ac:dyDescent="0.25">
      <c r="D49" s="7"/>
      <c r="E49" s="7"/>
      <c r="G49" s="9">
        <f t="shared" si="3"/>
        <v>48</v>
      </c>
      <c r="H49" s="139" t="s">
        <v>240</v>
      </c>
      <c r="I49" s="139"/>
    </row>
    <row r="50" spans="4:9" x14ac:dyDescent="0.25">
      <c r="D50" s="7"/>
      <c r="E50" s="7"/>
      <c r="G50" s="9">
        <f t="shared" si="3"/>
        <v>49</v>
      </c>
      <c r="H50" s="139" t="s">
        <v>270</v>
      </c>
      <c r="I50" s="139"/>
    </row>
    <row r="51" spans="4:9" x14ac:dyDescent="0.25">
      <c r="D51" s="7"/>
      <c r="E51" s="7"/>
      <c r="G51" s="9">
        <f t="shared" si="3"/>
        <v>50</v>
      </c>
      <c r="H51" s="139" t="s">
        <v>241</v>
      </c>
      <c r="I51" s="139"/>
    </row>
    <row r="52" spans="4:9" x14ac:dyDescent="0.25">
      <c r="D52" s="7"/>
      <c r="E52" s="7"/>
      <c r="G52" s="9">
        <f t="shared" si="3"/>
        <v>51</v>
      </c>
      <c r="H52" s="139" t="s">
        <v>11</v>
      </c>
      <c r="I52" s="139"/>
    </row>
    <row r="53" spans="4:9" x14ac:dyDescent="0.25">
      <c r="D53" s="7"/>
      <c r="E53" s="7"/>
      <c r="G53" s="9">
        <f t="shared" si="3"/>
        <v>52</v>
      </c>
      <c r="H53" s="139" t="s">
        <v>242</v>
      </c>
      <c r="I53" s="139"/>
    </row>
    <row r="54" spans="4:9" x14ac:dyDescent="0.25">
      <c r="D54" s="7"/>
      <c r="E54" s="7"/>
      <c r="G54" s="9">
        <f t="shared" si="3"/>
        <v>53</v>
      </c>
      <c r="H54" s="139" t="s">
        <v>271</v>
      </c>
      <c r="I54" s="139"/>
    </row>
    <row r="55" spans="4:9" x14ac:dyDescent="0.25">
      <c r="D55" s="7"/>
      <c r="E55" s="7"/>
      <c r="G55" s="9">
        <f t="shared" si="3"/>
        <v>54</v>
      </c>
      <c r="H55" s="139" t="s">
        <v>189</v>
      </c>
      <c r="I55" s="139"/>
    </row>
    <row r="56" spans="4:9" x14ac:dyDescent="0.25">
      <c r="G56" s="9">
        <f t="shared" si="3"/>
        <v>55</v>
      </c>
      <c r="H56" s="139" t="s">
        <v>243</v>
      </c>
      <c r="I56" s="139"/>
    </row>
    <row r="57" spans="4:9" x14ac:dyDescent="0.25">
      <c r="G57" s="9">
        <f t="shared" si="3"/>
        <v>56</v>
      </c>
      <c r="H57" s="139" t="s">
        <v>244</v>
      </c>
      <c r="I57" s="139"/>
    </row>
    <row r="58" spans="4:9" x14ac:dyDescent="0.25">
      <c r="G58" s="9">
        <f t="shared" si="3"/>
        <v>57</v>
      </c>
      <c r="H58" s="139" t="s">
        <v>245</v>
      </c>
      <c r="I58" s="139"/>
    </row>
    <row r="59" spans="4:9" x14ac:dyDescent="0.25">
      <c r="G59" s="9">
        <f t="shared" si="3"/>
        <v>58</v>
      </c>
      <c r="H59" s="139" t="s">
        <v>246</v>
      </c>
      <c r="I59" s="139"/>
    </row>
    <row r="60" spans="4:9" x14ac:dyDescent="0.25">
      <c r="G60" s="9">
        <f t="shared" si="3"/>
        <v>59</v>
      </c>
      <c r="H60" s="139" t="s">
        <v>247</v>
      </c>
      <c r="I60" s="139"/>
    </row>
    <row r="61" spans="4:9" x14ac:dyDescent="0.25">
      <c r="G61" s="9">
        <f t="shared" si="3"/>
        <v>60</v>
      </c>
      <c r="H61" s="139" t="s">
        <v>248</v>
      </c>
      <c r="I61" s="139"/>
    </row>
    <row r="62" spans="4:9" x14ac:dyDescent="0.25">
      <c r="G62" s="9">
        <f t="shared" si="3"/>
        <v>61</v>
      </c>
      <c r="H62" s="139" t="s">
        <v>249</v>
      </c>
      <c r="I62" s="139"/>
    </row>
    <row r="63" spans="4:9" x14ac:dyDescent="0.25">
      <c r="G63" s="9">
        <f t="shared" si="3"/>
        <v>62</v>
      </c>
      <c r="H63" s="139" t="s">
        <v>272</v>
      </c>
      <c r="I63" s="139"/>
    </row>
    <row r="64" spans="4:9" x14ac:dyDescent="0.25">
      <c r="G64" s="9">
        <f t="shared" si="3"/>
        <v>63</v>
      </c>
      <c r="H64" s="139" t="s">
        <v>186</v>
      </c>
      <c r="I64" s="139"/>
    </row>
    <row r="65" spans="7:16" x14ac:dyDescent="0.25">
      <c r="G65" s="9">
        <f t="shared" ref="G65:G81" si="4">ROW()-1</f>
        <v>64</v>
      </c>
      <c r="H65" s="139" t="s">
        <v>161</v>
      </c>
      <c r="I65" s="139"/>
    </row>
    <row r="66" spans="7:16" x14ac:dyDescent="0.25">
      <c r="G66" s="9">
        <f t="shared" si="4"/>
        <v>65</v>
      </c>
      <c r="H66" s="139" t="s">
        <v>250</v>
      </c>
      <c r="I66" s="139"/>
    </row>
    <row r="67" spans="7:16" x14ac:dyDescent="0.25">
      <c r="G67" s="9">
        <f t="shared" si="4"/>
        <v>66</v>
      </c>
      <c r="H67" s="139" t="s">
        <v>251</v>
      </c>
      <c r="I67" s="139"/>
    </row>
    <row r="68" spans="7:16" x14ac:dyDescent="0.25">
      <c r="G68" s="9">
        <f t="shared" si="4"/>
        <v>67</v>
      </c>
      <c r="H68" s="139" t="s">
        <v>22</v>
      </c>
      <c r="I68" s="139"/>
    </row>
    <row r="69" spans="7:16" x14ac:dyDescent="0.25">
      <c r="G69" s="9">
        <f t="shared" si="4"/>
        <v>68</v>
      </c>
      <c r="H69" s="139" t="s">
        <v>252</v>
      </c>
      <c r="I69" s="139"/>
    </row>
    <row r="70" spans="7:16" x14ac:dyDescent="0.25">
      <c r="G70" s="9">
        <f t="shared" si="4"/>
        <v>69</v>
      </c>
      <c r="H70" s="139" t="s">
        <v>273</v>
      </c>
      <c r="I70" s="139"/>
      <c r="P70" t="s">
        <v>425</v>
      </c>
    </row>
    <row r="71" spans="7:16" x14ac:dyDescent="0.25">
      <c r="G71" s="9">
        <f t="shared" si="4"/>
        <v>70</v>
      </c>
      <c r="H71" s="139" t="s">
        <v>10</v>
      </c>
      <c r="I71" s="139"/>
    </row>
    <row r="72" spans="7:16" x14ac:dyDescent="0.25">
      <c r="G72" s="9">
        <f t="shared" si="4"/>
        <v>71</v>
      </c>
      <c r="H72" s="139" t="s">
        <v>253</v>
      </c>
      <c r="I72" s="139"/>
    </row>
    <row r="73" spans="7:16" x14ac:dyDescent="0.25">
      <c r="G73" s="9">
        <f t="shared" si="4"/>
        <v>72</v>
      </c>
      <c r="H73" s="139" t="s">
        <v>254</v>
      </c>
      <c r="I73" s="139"/>
    </row>
    <row r="74" spans="7:16" x14ac:dyDescent="0.25">
      <c r="G74" s="9">
        <f t="shared" si="4"/>
        <v>73</v>
      </c>
      <c r="H74" s="139" t="s">
        <v>91</v>
      </c>
      <c r="I74" s="139"/>
    </row>
    <row r="75" spans="7:16" x14ac:dyDescent="0.25">
      <c r="G75" s="9">
        <f t="shared" si="4"/>
        <v>74</v>
      </c>
      <c r="H75" s="139" t="s">
        <v>188</v>
      </c>
      <c r="I75" s="139"/>
    </row>
    <row r="76" spans="7:16" x14ac:dyDescent="0.25">
      <c r="G76" s="9">
        <f t="shared" si="4"/>
        <v>75</v>
      </c>
      <c r="H76" s="139" t="s">
        <v>274</v>
      </c>
      <c r="I76" s="139"/>
    </row>
    <row r="77" spans="7:16" x14ac:dyDescent="0.25">
      <c r="G77" s="9">
        <f t="shared" si="4"/>
        <v>76</v>
      </c>
      <c r="H77" s="139" t="s">
        <v>275</v>
      </c>
      <c r="I77" s="139"/>
    </row>
    <row r="78" spans="7:16" x14ac:dyDescent="0.25">
      <c r="G78" s="9">
        <f t="shared" si="4"/>
        <v>77</v>
      </c>
      <c r="H78" s="139" t="s">
        <v>255</v>
      </c>
      <c r="I78" s="139"/>
    </row>
    <row r="79" spans="7:16" x14ac:dyDescent="0.25">
      <c r="G79" s="9">
        <f t="shared" si="4"/>
        <v>78</v>
      </c>
      <c r="H79" s="139" t="s">
        <v>256</v>
      </c>
      <c r="I79" s="139"/>
    </row>
    <row r="80" spans="7:16" x14ac:dyDescent="0.25">
      <c r="G80" s="9">
        <f t="shared" si="4"/>
        <v>79</v>
      </c>
      <c r="H80" s="139" t="s">
        <v>257</v>
      </c>
      <c r="I80" s="139"/>
    </row>
    <row r="81" spans="7:9" x14ac:dyDescent="0.25">
      <c r="G81" s="9">
        <f t="shared" si="4"/>
        <v>80</v>
      </c>
      <c r="H81" s="139" t="s">
        <v>258</v>
      </c>
      <c r="I81" s="139"/>
    </row>
    <row r="82" spans="7:9" x14ac:dyDescent="0.25">
      <c r="G82" s="9">
        <f t="shared" ref="G82:G91" si="5">ROW()-1</f>
        <v>81</v>
      </c>
      <c r="H82" s="139" t="s">
        <v>17</v>
      </c>
      <c r="I82" s="139"/>
    </row>
    <row r="83" spans="7:9" x14ac:dyDescent="0.25">
      <c r="G83" s="9">
        <f t="shared" si="5"/>
        <v>82</v>
      </c>
      <c r="H83" s="139" t="s">
        <v>259</v>
      </c>
      <c r="I83" s="139"/>
    </row>
    <row r="84" spans="7:9" x14ac:dyDescent="0.25">
      <c r="G84" s="9">
        <f t="shared" si="5"/>
        <v>83</v>
      </c>
      <c r="H84" s="139" t="s">
        <v>260</v>
      </c>
      <c r="I84" s="139"/>
    </row>
    <row r="85" spans="7:9" x14ac:dyDescent="0.25">
      <c r="G85" s="9">
        <f t="shared" si="5"/>
        <v>84</v>
      </c>
      <c r="H85" s="139" t="s">
        <v>261</v>
      </c>
      <c r="I85" s="139"/>
    </row>
    <row r="86" spans="7:9" x14ac:dyDescent="0.25">
      <c r="G86" s="9">
        <f t="shared" si="5"/>
        <v>85</v>
      </c>
      <c r="H86" s="139" t="s">
        <v>262</v>
      </c>
      <c r="I86" s="139"/>
    </row>
    <row r="87" spans="7:9" x14ac:dyDescent="0.25">
      <c r="G87" s="9">
        <f t="shared" si="5"/>
        <v>86</v>
      </c>
      <c r="H87" s="139" t="s">
        <v>12</v>
      </c>
      <c r="I87" s="139"/>
    </row>
    <row r="88" spans="7:9" x14ac:dyDescent="0.25">
      <c r="G88" s="9">
        <f t="shared" si="5"/>
        <v>87</v>
      </c>
      <c r="H88" s="139" t="s">
        <v>14</v>
      </c>
      <c r="I88" s="139"/>
    </row>
    <row r="89" spans="7:9" x14ac:dyDescent="0.25">
      <c r="G89" s="9">
        <f t="shared" si="5"/>
        <v>88</v>
      </c>
      <c r="H89" s="139" t="s">
        <v>263</v>
      </c>
      <c r="I89" s="139"/>
    </row>
    <row r="90" spans="7:9" x14ac:dyDescent="0.25">
      <c r="G90" s="9">
        <f t="shared" si="5"/>
        <v>89</v>
      </c>
      <c r="H90" s="139" t="s">
        <v>187</v>
      </c>
      <c r="I90" s="139"/>
    </row>
    <row r="91" spans="7:9" x14ac:dyDescent="0.25">
      <c r="G91" s="9">
        <f t="shared" si="5"/>
        <v>90</v>
      </c>
      <c r="H91" s="139" t="s">
        <v>276</v>
      </c>
      <c r="I91" s="139"/>
    </row>
    <row r="92" spans="7:9" x14ac:dyDescent="0.25">
      <c r="G92" s="9">
        <f>ROW()-1</f>
        <v>91</v>
      </c>
      <c r="H92" s="170" t="s">
        <v>872</v>
      </c>
      <c r="I92" s="170"/>
    </row>
    <row r="93" spans="7:9" x14ac:dyDescent="0.25">
      <c r="G93" s="9">
        <f>ROW()-1</f>
        <v>92</v>
      </c>
      <c r="H93" s="211" t="s">
        <v>1714</v>
      </c>
      <c r="I93" s="211"/>
    </row>
    <row r="94" spans="7:9" x14ac:dyDescent="0.25">
      <c r="G94" s="14">
        <f t="shared" si="0"/>
        <v>93</v>
      </c>
      <c r="H94" s="138"/>
      <c r="I94" s="138"/>
    </row>
    <row r="95" spans="7:9" x14ac:dyDescent="0.25">
      <c r="H95" s="1"/>
      <c r="I95" s="4"/>
    </row>
    <row r="96" spans="7:9" x14ac:dyDescent="0.25">
      <c r="H96" s="1"/>
      <c r="I96" s="4"/>
    </row>
    <row r="97" spans="8:9" x14ac:dyDescent="0.25">
      <c r="H97" s="1"/>
      <c r="I97" s="4"/>
    </row>
    <row r="98" spans="8:9" x14ac:dyDescent="0.25">
      <c r="H98" s="1"/>
      <c r="I98" s="4"/>
    </row>
    <row r="99" spans="8:9" x14ac:dyDescent="0.25">
      <c r="H99" s="1"/>
      <c r="I99" s="4"/>
    </row>
    <row r="100" spans="8:9" x14ac:dyDescent="0.25">
      <c r="H100" s="1"/>
      <c r="I100" s="7"/>
    </row>
    <row r="101" spans="8:9" x14ac:dyDescent="0.25">
      <c r="H101" s="1"/>
      <c r="I101" s="4"/>
    </row>
    <row r="102" spans="8:9" x14ac:dyDescent="0.25">
      <c r="H102" s="1"/>
      <c r="I102" s="4"/>
    </row>
    <row r="103" spans="8:9" x14ac:dyDescent="0.25">
      <c r="H103" s="1"/>
      <c r="I103" s="4"/>
    </row>
    <row r="104" spans="8:9" x14ac:dyDescent="0.25">
      <c r="H104" s="1"/>
      <c r="I104" s="4"/>
    </row>
    <row r="105" spans="8:9" x14ac:dyDescent="0.25">
      <c r="H105" s="1"/>
      <c r="I105" s="4"/>
    </row>
    <row r="106" spans="8:9" x14ac:dyDescent="0.25">
      <c r="H106" s="1"/>
      <c r="I106" s="4"/>
    </row>
    <row r="107" spans="8:9" x14ac:dyDescent="0.25">
      <c r="H107" s="1"/>
      <c r="I107" s="4"/>
    </row>
    <row r="108" spans="8:9" x14ac:dyDescent="0.25">
      <c r="H108" s="1"/>
      <c r="I108" s="4"/>
    </row>
    <row r="109" spans="8:9" x14ac:dyDescent="0.25">
      <c r="H109" s="1"/>
      <c r="I109" s="4"/>
    </row>
    <row r="110" spans="8:9" x14ac:dyDescent="0.25">
      <c r="H110" s="1"/>
      <c r="I110" s="4"/>
    </row>
    <row r="111" spans="8:9" x14ac:dyDescent="0.25">
      <c r="H111" s="1"/>
      <c r="I111" s="4"/>
    </row>
    <row r="112" spans="8:9" x14ac:dyDescent="0.25">
      <c r="H112" s="1"/>
      <c r="I112" s="4"/>
    </row>
    <row r="113" spans="8:9" x14ac:dyDescent="0.25">
      <c r="H113" s="1"/>
      <c r="I113" s="4"/>
    </row>
    <row r="114" spans="8:9" x14ac:dyDescent="0.25">
      <c r="H114" s="1"/>
      <c r="I114" s="4"/>
    </row>
    <row r="115" spans="8:9" x14ac:dyDescent="0.25">
      <c r="H115" s="1"/>
      <c r="I115" s="7"/>
    </row>
    <row r="116" spans="8:9" x14ac:dyDescent="0.25">
      <c r="H116" s="1"/>
      <c r="I116" s="4"/>
    </row>
    <row r="117" spans="8:9" x14ac:dyDescent="0.25">
      <c r="H117" s="7"/>
      <c r="I117" s="4"/>
    </row>
    <row r="118" spans="8:9" x14ac:dyDescent="0.25">
      <c r="H118" s="7"/>
      <c r="I118" s="4"/>
    </row>
    <row r="119" spans="8:9" x14ac:dyDescent="0.25">
      <c r="H119" s="7"/>
      <c r="I119" s="7"/>
    </row>
    <row r="120" spans="8:9" x14ac:dyDescent="0.25">
      <c r="H120" s="7"/>
      <c r="I120" s="7"/>
    </row>
    <row r="121" spans="8:9" x14ac:dyDescent="0.25">
      <c r="H121" s="7"/>
      <c r="I121" s="7"/>
    </row>
    <row r="122" spans="8:9" x14ac:dyDescent="0.25">
      <c r="H122" s="7"/>
      <c r="I122" s="7"/>
    </row>
    <row r="123" spans="8:9" x14ac:dyDescent="0.25">
      <c r="H123" s="7"/>
      <c r="I123" s="7"/>
    </row>
    <row r="124" spans="8:9" x14ac:dyDescent="0.25">
      <c r="H124" s="7"/>
      <c r="I124" s="7"/>
    </row>
    <row r="125" spans="8:9" x14ac:dyDescent="0.25">
      <c r="H125" s="7"/>
      <c r="I125" s="7"/>
    </row>
    <row r="126" spans="8:9" x14ac:dyDescent="0.25">
      <c r="H126" s="7"/>
      <c r="I126" s="7"/>
    </row>
    <row r="127" spans="8:9" x14ac:dyDescent="0.25">
      <c r="H127" s="7"/>
      <c r="I127" s="7"/>
    </row>
    <row r="128" spans="8:9" x14ac:dyDescent="0.25">
      <c r="H128" s="7"/>
      <c r="I128" s="7"/>
    </row>
    <row r="129" spans="8:9" x14ac:dyDescent="0.25">
      <c r="H129" s="7"/>
      <c r="I129" s="7"/>
    </row>
    <row r="130" spans="8:9" x14ac:dyDescent="0.25">
      <c r="H130" s="7"/>
      <c r="I130" s="7"/>
    </row>
    <row r="131" spans="8:9" x14ac:dyDescent="0.25">
      <c r="H131" s="7"/>
      <c r="I131" s="7"/>
    </row>
    <row r="132" spans="8:9" x14ac:dyDescent="0.25">
      <c r="H132" s="7"/>
      <c r="I132" s="7"/>
    </row>
    <row r="133" spans="8:9" x14ac:dyDescent="0.25">
      <c r="H133" s="7"/>
      <c r="I133" s="7"/>
    </row>
    <row r="134" spans="8:9" x14ac:dyDescent="0.25">
      <c r="H134" s="7"/>
      <c r="I134" s="7"/>
    </row>
    <row r="135" spans="8:9" x14ac:dyDescent="0.25">
      <c r="H135" s="7"/>
      <c r="I135" s="7"/>
    </row>
    <row r="136" spans="8:9" x14ac:dyDescent="0.25">
      <c r="H136" s="7"/>
      <c r="I136" s="7"/>
    </row>
    <row r="137" spans="8:9" x14ac:dyDescent="0.25">
      <c r="H137" s="7"/>
      <c r="I137" s="7"/>
    </row>
    <row r="138" spans="8:9" x14ac:dyDescent="0.25">
      <c r="H138" s="7"/>
      <c r="I138" s="7"/>
    </row>
    <row r="139" spans="8:9" x14ac:dyDescent="0.25">
      <c r="H139" s="7"/>
      <c r="I139" s="7"/>
    </row>
    <row r="140" spans="8:9" x14ac:dyDescent="0.25">
      <c r="H140" s="7"/>
      <c r="I140" s="7"/>
    </row>
    <row r="141" spans="8:9" x14ac:dyDescent="0.25">
      <c r="H141" s="7"/>
      <c r="I141" s="7"/>
    </row>
    <row r="142" spans="8:9" x14ac:dyDescent="0.25">
      <c r="H142" s="7"/>
      <c r="I142" s="7"/>
    </row>
    <row r="143" spans="8:9" x14ac:dyDescent="0.25">
      <c r="H143" s="7"/>
      <c r="I143" s="7"/>
    </row>
    <row r="144" spans="8:9" x14ac:dyDescent="0.25">
      <c r="H144" s="7"/>
      <c r="I144" s="7"/>
    </row>
    <row r="145" spans="8:9" x14ac:dyDescent="0.25">
      <c r="H145" s="7"/>
      <c r="I145" s="7"/>
    </row>
    <row r="146" spans="8:9" x14ac:dyDescent="0.25">
      <c r="H146" s="7"/>
      <c r="I146" s="7"/>
    </row>
    <row r="147" spans="8:9" x14ac:dyDescent="0.25">
      <c r="H147" s="7"/>
      <c r="I147" s="7"/>
    </row>
    <row r="148" spans="8:9" x14ac:dyDescent="0.25">
      <c r="H148" s="7"/>
      <c r="I148" s="7"/>
    </row>
    <row r="149" spans="8:9" x14ac:dyDescent="0.25">
      <c r="H149" s="7"/>
      <c r="I149" s="7"/>
    </row>
    <row r="150" spans="8:9" x14ac:dyDescent="0.25">
      <c r="H150" s="7"/>
      <c r="I150" s="7"/>
    </row>
    <row r="151" spans="8:9" x14ac:dyDescent="0.25">
      <c r="H151" s="7"/>
      <c r="I151" s="7"/>
    </row>
    <row r="152" spans="8:9" x14ac:dyDescent="0.25">
      <c r="H152" s="7"/>
      <c r="I152" s="7"/>
    </row>
    <row r="153" spans="8:9" x14ac:dyDescent="0.25">
      <c r="H153" s="7"/>
      <c r="I153" s="7"/>
    </row>
    <row r="154" spans="8:9" x14ac:dyDescent="0.25">
      <c r="H154" s="7"/>
      <c r="I154" s="7"/>
    </row>
    <row r="155" spans="8:9" x14ac:dyDescent="0.25">
      <c r="H155" s="7"/>
      <c r="I155" s="7"/>
    </row>
    <row r="156" spans="8:9" x14ac:dyDescent="0.25">
      <c r="H156" s="7"/>
      <c r="I156" s="7"/>
    </row>
    <row r="157" spans="8:9" x14ac:dyDescent="0.25">
      <c r="H157" s="7"/>
      <c r="I157" s="7"/>
    </row>
    <row r="158" spans="8:9" x14ac:dyDescent="0.25">
      <c r="H158" s="7"/>
      <c r="I158" s="7"/>
    </row>
    <row r="159" spans="8:9" x14ac:dyDescent="0.25">
      <c r="H159" s="7"/>
      <c r="I159" s="7"/>
    </row>
    <row r="160" spans="8:9" x14ac:dyDescent="0.25">
      <c r="H160" s="7"/>
      <c r="I160" s="7"/>
    </row>
    <row r="161" spans="8:9" x14ac:dyDescent="0.25">
      <c r="H161" s="7"/>
      <c r="I161" s="7"/>
    </row>
  </sheetData>
  <pageMargins left="0.7" right="0.7" top="0.75" bottom="0.75" header="0.3" footer="0.3"/>
  <pageSetup orientation="portrait" r:id="rId1"/>
  <legacyDrawing r:id="rId2"/>
  <tableParts count="6">
    <tablePart r:id="rId3"/>
    <tablePart r:id="rId4"/>
    <tablePart r:id="rId5"/>
    <tablePart r:id="rId6"/>
    <tablePart r:id="rId7"/>
    <tablePart r:id="rId8"/>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
  <sheetViews>
    <sheetView showGridLines="0" showRowColHeaders="0" workbookViewId="0">
      <selection activeCell="B29" sqref="B29"/>
    </sheetView>
  </sheetViews>
  <sheetFormatPr defaultRowHeight="15" x14ac:dyDescent="0.25"/>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C1:AJ30"/>
  <sheetViews>
    <sheetView showGridLines="0" showRowColHeaders="0" workbookViewId="0">
      <selection activeCell="H35" sqref="H35"/>
    </sheetView>
  </sheetViews>
  <sheetFormatPr defaultRowHeight="15" x14ac:dyDescent="0.25"/>
  <cols>
    <col min="1" max="1" width="9.140625" customWidth="1"/>
    <col min="3" max="3" width="10.85546875" bestFit="1" customWidth="1"/>
    <col min="4" max="4" width="10.42578125" bestFit="1" customWidth="1"/>
    <col min="5" max="5" width="13.28515625" style="47" hidden="1" customWidth="1"/>
    <col min="6" max="6" width="14.42578125" style="47" hidden="1" customWidth="1"/>
    <col min="7" max="7" width="7" customWidth="1"/>
    <col min="8" max="8" width="10.85546875" bestFit="1" customWidth="1"/>
    <col min="9" max="9" width="10.42578125" bestFit="1" customWidth="1"/>
    <col min="10" max="10" width="13.28515625" hidden="1" customWidth="1"/>
    <col min="11" max="11" width="14.42578125" hidden="1" customWidth="1"/>
    <col min="12" max="12" width="6.42578125" customWidth="1"/>
    <col min="13" max="13" width="10.85546875" bestFit="1" customWidth="1"/>
    <col min="14" max="14" width="10.42578125" bestFit="1" customWidth="1"/>
    <col min="15" max="15" width="9.140625" hidden="1" customWidth="1"/>
    <col min="16" max="16" width="14.42578125" hidden="1" customWidth="1"/>
    <col min="17" max="17" width="6.7109375" customWidth="1"/>
    <col min="18" max="18" width="10.85546875" bestFit="1" customWidth="1"/>
    <col min="19" max="19" width="10.42578125" bestFit="1" customWidth="1"/>
    <col min="20" max="21" width="9.140625" hidden="1" customWidth="1"/>
    <col min="22" max="22" width="6.5703125" customWidth="1"/>
    <col min="23" max="23" width="10.85546875" bestFit="1" customWidth="1"/>
    <col min="25" max="26" width="9.140625" hidden="1" customWidth="1"/>
    <col min="27" max="27" width="6.5703125" customWidth="1"/>
    <col min="28" max="28" width="10.85546875" bestFit="1" customWidth="1"/>
    <col min="30" max="31" width="9.140625" customWidth="1"/>
    <col min="32" max="32" width="6.140625" customWidth="1"/>
    <col min="35" max="36" width="9.140625" customWidth="1"/>
  </cols>
  <sheetData>
    <row r="1" spans="3:36" s="7" customFormat="1" x14ac:dyDescent="0.25">
      <c r="E1" s="47"/>
      <c r="F1" s="47"/>
    </row>
    <row r="2" spans="3:36" s="7" customFormat="1" hidden="1" x14ac:dyDescent="0.25">
      <c r="C2" s="272">
        <v>2009</v>
      </c>
      <c r="D2" s="273"/>
      <c r="E2" s="48"/>
      <c r="F2" s="48"/>
      <c r="H2" s="272">
        <v>2010</v>
      </c>
      <c r="I2" s="273"/>
      <c r="J2" s="48"/>
      <c r="K2" s="48"/>
      <c r="M2" s="272">
        <v>2011</v>
      </c>
      <c r="N2" s="273"/>
      <c r="O2" s="48"/>
      <c r="P2" s="48"/>
      <c r="R2" s="272">
        <v>2012</v>
      </c>
      <c r="S2" s="273"/>
      <c r="T2" s="48"/>
      <c r="U2" s="48"/>
      <c r="W2" s="272">
        <v>2013</v>
      </c>
      <c r="X2" s="273"/>
      <c r="Y2" s="48"/>
      <c r="Z2" s="48"/>
      <c r="AB2" s="272">
        <v>2014</v>
      </c>
      <c r="AC2" s="273"/>
      <c r="AD2" s="48"/>
      <c r="AE2" s="48"/>
      <c r="AG2" s="272">
        <v>2015</v>
      </c>
      <c r="AH2" s="273"/>
      <c r="AI2" s="137"/>
      <c r="AJ2" s="48"/>
    </row>
    <row r="3" spans="3:36" s="7" customFormat="1" hidden="1" x14ac:dyDescent="0.25">
      <c r="C3" s="25" t="s">
        <v>57</v>
      </c>
      <c r="D3" s="44" t="s">
        <v>34</v>
      </c>
      <c r="E3" s="49" t="s">
        <v>111</v>
      </c>
      <c r="F3" s="49" t="s">
        <v>110</v>
      </c>
      <c r="H3" s="25" t="s">
        <v>57</v>
      </c>
      <c r="I3" s="44" t="s">
        <v>34</v>
      </c>
      <c r="J3" s="49" t="s">
        <v>111</v>
      </c>
      <c r="K3" s="49" t="s">
        <v>110</v>
      </c>
      <c r="M3" s="25" t="s">
        <v>57</v>
      </c>
      <c r="N3" s="44" t="s">
        <v>34</v>
      </c>
      <c r="O3" s="49" t="s">
        <v>111</v>
      </c>
      <c r="P3" s="49" t="s">
        <v>110</v>
      </c>
      <c r="R3" s="25" t="s">
        <v>57</v>
      </c>
      <c r="S3" s="44" t="s">
        <v>34</v>
      </c>
      <c r="T3" s="49" t="s">
        <v>111</v>
      </c>
      <c r="U3" s="49" t="s">
        <v>110</v>
      </c>
      <c r="W3" s="25" t="s">
        <v>57</v>
      </c>
      <c r="X3" s="44" t="s">
        <v>34</v>
      </c>
      <c r="Y3" s="49" t="s">
        <v>111</v>
      </c>
      <c r="Z3" s="49" t="s">
        <v>110</v>
      </c>
      <c r="AB3" s="25" t="s">
        <v>57</v>
      </c>
      <c r="AC3" s="44" t="s">
        <v>34</v>
      </c>
      <c r="AD3" s="49" t="s">
        <v>111</v>
      </c>
      <c r="AE3" s="49" t="s">
        <v>110</v>
      </c>
      <c r="AG3" s="25" t="s">
        <v>57</v>
      </c>
      <c r="AH3" s="44" t="s">
        <v>34</v>
      </c>
      <c r="AI3" s="49" t="s">
        <v>111</v>
      </c>
      <c r="AJ3" s="49" t="s">
        <v>110</v>
      </c>
    </row>
    <row r="4" spans="3:36" hidden="1" x14ac:dyDescent="0.25">
      <c r="C4" s="25" t="s">
        <v>56</v>
      </c>
      <c r="D4" s="23">
        <f>Month2009[[#This Row],[LayAmount]]+Month2009[[#This Row],[BackAmount]]</f>
        <v>0</v>
      </c>
      <c r="E4" s="16">
        <f>SUMPRODUCT(--(LEFT(LayTable[Date],2)="09"),--(MID(LayTable[Date],3,2)="01"),LayTable[AR])</f>
        <v>0</v>
      </c>
      <c r="F4" s="23">
        <f>SUMPRODUCT(--(LEFT(BetTable[Date],2)="09"),--(MID(BetTable[Date],3,2)="01"),BetTable[Result])</f>
        <v>0</v>
      </c>
      <c r="H4" s="25" t="s">
        <v>56</v>
      </c>
      <c r="I4" s="23">
        <f>Month2010[[#This Row],[LayAmount]]+Month2010[[#This Row],[BackAmount]]</f>
        <v>0</v>
      </c>
      <c r="J4" s="16">
        <f>SUMPRODUCT(--(LEFT(LayTable[Date],2)="10"),--(MID(LayTable[Date],3,2)="01"),LayTable[AR])</f>
        <v>0</v>
      </c>
      <c r="K4" s="23">
        <f>SUMPRODUCT(--(LEFT(BetTable[Date],2)="10"),--(MID(BetTable[Date],3,2)="01"),BetTable[Result])</f>
        <v>0</v>
      </c>
      <c r="M4" s="25" t="s">
        <v>56</v>
      </c>
      <c r="N4" s="23">
        <f>Month2011[[#This Row],[LayAmount]]+Month2011[[#This Row],[BackAmount]]</f>
        <v>0</v>
      </c>
      <c r="O4" s="16">
        <f>SUMPRODUCT(--(LEFT(LayTable[Date],2)="11"),--(MID(LayTable[Date],3,2)="01"),LayTable[AR])</f>
        <v>0</v>
      </c>
      <c r="P4" s="23">
        <f>SUMPRODUCT(--(LEFT(BetTable[Date],2)="11"),--(MID(BetTable[Date],3,2)="01"),BetTable[Result])</f>
        <v>0</v>
      </c>
      <c r="R4" s="25" t="s">
        <v>56</v>
      </c>
      <c r="S4" s="23">
        <f>Month2012[[#This Row],[LayAmount]]+Month2012[[#This Row],[BackAmount]]</f>
        <v>0</v>
      </c>
      <c r="T4" s="16">
        <f>SUMPRODUCT(--(LEFT(LayTable[Date],2)="12"),--(MID(LayTable[Date],3,2)="01"),LayTable[AR])</f>
        <v>0</v>
      </c>
      <c r="U4" s="23">
        <f>SUMPRODUCT(--(LEFT(BetTable[Date],2)="12"),--(MID(BetTable[Date],3,2)="01"),BetTable[Result])</f>
        <v>0</v>
      </c>
      <c r="W4" s="25" t="s">
        <v>56</v>
      </c>
      <c r="X4" s="23">
        <f>Month20122[[#This Row],[LayAmount]]+Month20122[[#This Row],[BackAmount]]</f>
        <v>0</v>
      </c>
      <c r="Y4" s="16">
        <f>SUMPRODUCT(--(LEFT(LayTable[Date],2)="13"),--(MID(LayTable[Date],3,2)="01"),LayTable[AR])</f>
        <v>0</v>
      </c>
      <c r="Z4" s="23">
        <f>SUMPRODUCT(--(LEFT(BetTable[Date],2)="13"),--(MID(BetTable[Date],3,2)="01"),BetTable[Result])</f>
        <v>0</v>
      </c>
      <c r="AB4" s="25" t="s">
        <v>56</v>
      </c>
      <c r="AC4" s="23">
        <f>Month201223[[#This Row],[LayAmount]]+Month201223[[#This Row],[BackAmount]]</f>
        <v>0</v>
      </c>
      <c r="AD4" s="16">
        <f>SUMPRODUCT(--(LEFT(LayTable[Date],2)="14"),--(MID(LayTable[Date],3,2)="01"),LayTable[AR])</f>
        <v>0</v>
      </c>
      <c r="AE4" s="23">
        <f>SUMPRODUCT(--(LEFT(BetTable[Date],2)="14"),--(MID(BetTable[Date],3,2)="01"),BetTable[Result])</f>
        <v>0</v>
      </c>
      <c r="AG4" s="25" t="s">
        <v>56</v>
      </c>
      <c r="AH4" s="23">
        <f>Month201229[[#This Row],[LayAmount]]+Month201229[[#This Row],[BackAmount]]</f>
        <v>0</v>
      </c>
      <c r="AI4" s="16">
        <f>SUMPRODUCT(--(LEFT(LayTable[Date],2)="15"),--(MID(LayTable[Date],3,2)="01"),LayTable[AR])</f>
        <v>0</v>
      </c>
      <c r="AJ4" s="23">
        <f>SUMPRODUCT(--(LEFT(BetTable[Date],2)="15"),--(MID(BetTable[Date],3,2)="01"),BetTable[Result])</f>
        <v>0</v>
      </c>
    </row>
    <row r="5" spans="3:36" hidden="1" x14ac:dyDescent="0.25">
      <c r="C5" s="25" t="s">
        <v>55</v>
      </c>
      <c r="D5" s="23">
        <f>Month2009[[#This Row],[LayAmount]]+Month2009[[#This Row],[BackAmount]]</f>
        <v>0</v>
      </c>
      <c r="E5" s="16">
        <f>SUMPRODUCT(--(LEFT(LayTable[Date],2)="09"),--(MID(LayTable[Date],3,2)="02"),LayTable[AR])</f>
        <v>0</v>
      </c>
      <c r="F5" s="23">
        <f>SUMPRODUCT(--(LEFT(BetTable[Date],2)="09"),--(MID(BetTable[Date],3,2)="02"),BetTable[Result])</f>
        <v>0</v>
      </c>
      <c r="H5" s="25" t="s">
        <v>55</v>
      </c>
      <c r="I5" s="23">
        <f>Month2010[[#This Row],[LayAmount]]+Month2010[[#This Row],[BackAmount]]</f>
        <v>0</v>
      </c>
      <c r="J5" s="16">
        <f>SUMPRODUCT(--(LEFT(LayTable[Date],2)="10"),--(MID(LayTable[Date],3,2)="02"),LayTable[AR])</f>
        <v>0</v>
      </c>
      <c r="K5" s="23">
        <f>SUMPRODUCT(--(LEFT(BetTable[Date],2)="10"),--(MID(BetTable[Date],3,2)="02"),BetTable[Result])</f>
        <v>0</v>
      </c>
      <c r="M5" s="25" t="s">
        <v>55</v>
      </c>
      <c r="N5" s="23">
        <f>Month2011[[#This Row],[LayAmount]]+Month2011[[#This Row],[BackAmount]]</f>
        <v>0</v>
      </c>
      <c r="O5" s="16">
        <f>SUMPRODUCT(--(LEFT(LayTable[Date],2)="11"),--(MID(LayTable[Date],3,2)="02"),LayTable[AR])</f>
        <v>0</v>
      </c>
      <c r="P5" s="23">
        <f>SUMPRODUCT(--(LEFT(BetTable[Date],2)="11"),--(MID(BetTable[Date],3,2)="02"),BetTable[Result])</f>
        <v>0</v>
      </c>
      <c r="R5" s="25" t="s">
        <v>55</v>
      </c>
      <c r="S5" s="23">
        <f>Month2012[[#This Row],[LayAmount]]+Month2012[[#This Row],[BackAmount]]</f>
        <v>0</v>
      </c>
      <c r="T5" s="16">
        <f>SUMPRODUCT(--(LEFT(LayTable[Date],2)="12"),--(MID(LayTable[Date],3,2)="02"),LayTable[AR])</f>
        <v>0</v>
      </c>
      <c r="U5" s="23">
        <f>SUMPRODUCT(--(LEFT(BetTable[Date],2)="12"),--(MID(BetTable[Date],3,2)="02"),BetTable[Result])</f>
        <v>0</v>
      </c>
      <c r="W5" s="25" t="s">
        <v>55</v>
      </c>
      <c r="X5" s="23">
        <f>Month20122[[#This Row],[LayAmount]]+Month20122[[#This Row],[BackAmount]]</f>
        <v>0</v>
      </c>
      <c r="Y5" s="16">
        <f>SUMPRODUCT(--(LEFT(LayTable[Date],2)="13"),--(MID(LayTable[Date],3,2)="02"),LayTable[AR])</f>
        <v>0</v>
      </c>
      <c r="Z5" s="23">
        <f>SUMPRODUCT(--(LEFT(BetTable[Date],2)="13"),--(MID(BetTable[Date],3,2)="02"),BetTable[Result])</f>
        <v>0</v>
      </c>
      <c r="AB5" s="25" t="s">
        <v>55</v>
      </c>
      <c r="AC5" s="23">
        <f>Month201223[[#This Row],[LayAmount]]+Month201223[[#This Row],[BackAmount]]</f>
        <v>0</v>
      </c>
      <c r="AD5" s="16">
        <f>SUMPRODUCT(--(LEFT(LayTable[Date],2)="14"),--(MID(LayTable[Date],3,2)="02"),LayTable[AR])</f>
        <v>0</v>
      </c>
      <c r="AE5" s="23">
        <f>SUMPRODUCT(--(LEFT(BetTable[Date],2)="14"),--(MID(BetTable[Date],3,2)="02"),BetTable[Result])</f>
        <v>0</v>
      </c>
      <c r="AG5" s="25" t="s">
        <v>55</v>
      </c>
      <c r="AH5" s="23">
        <f>Month201229[[#This Row],[LayAmount]]+Month201229[[#This Row],[BackAmount]]</f>
        <v>0</v>
      </c>
      <c r="AI5" s="16">
        <f>SUMPRODUCT(--(LEFT(LayTable[Date],2)="15"),--(MID(LayTable[Date],3,2)="02"),LayTable[AR])</f>
        <v>0</v>
      </c>
      <c r="AJ5" s="23">
        <f>SUMPRODUCT(--(LEFT(BetTable[Date],2)="15"),--(MID(BetTable[Date],3,2)="02"),BetTable[Result])</f>
        <v>0</v>
      </c>
    </row>
    <row r="6" spans="3:36" hidden="1" x14ac:dyDescent="0.25">
      <c r="C6" s="25" t="s">
        <v>54</v>
      </c>
      <c r="D6" s="23">
        <f>Month2009[[#This Row],[LayAmount]]+Month2009[[#This Row],[BackAmount]]</f>
        <v>0</v>
      </c>
      <c r="E6" s="16">
        <f>SUMPRODUCT(--(LEFT(LayTable[Date],2)="09"),--(MID(LayTable[Date],3,2)="03"),LayTable[AR])</f>
        <v>0</v>
      </c>
      <c r="F6" s="23">
        <f>SUMPRODUCT(--(LEFT(BetTable[Date],2)="09"),--(MID(BetTable[Date],3,2)="03"),BetTable[Result])</f>
        <v>0</v>
      </c>
      <c r="H6" s="25" t="s">
        <v>54</v>
      </c>
      <c r="I6" s="23">
        <f>Month2010[[#This Row],[LayAmount]]+Month2010[[#This Row],[BackAmount]]</f>
        <v>0</v>
      </c>
      <c r="J6" s="16">
        <f>SUMPRODUCT(--(LEFT(LayTable[Date],2)="10"),--(MID(LayTable[Date],3,2)="03"),LayTable[AR])</f>
        <v>0</v>
      </c>
      <c r="K6" s="23">
        <f>SUMPRODUCT(--(LEFT(BetTable[Date],2)="10"),--(MID(BetTable[Date],3,2)="03"),BetTable[Result])</f>
        <v>0</v>
      </c>
      <c r="M6" s="25" t="s">
        <v>54</v>
      </c>
      <c r="N6" s="23">
        <f>Month2011[[#This Row],[LayAmount]]+Month2011[[#This Row],[BackAmount]]</f>
        <v>0</v>
      </c>
      <c r="O6" s="16">
        <f>SUMPRODUCT(--(LEFT(LayTable[Date],2)="11"),--(MID(LayTable[Date],3,2)="03"),LayTable[AR])</f>
        <v>0</v>
      </c>
      <c r="P6" s="23">
        <f>SUMPRODUCT(--(LEFT(BetTable[Date],2)="11"),--(MID(BetTable[Date],3,2)="03"),BetTable[Result])</f>
        <v>0</v>
      </c>
      <c r="R6" s="25" t="s">
        <v>54</v>
      </c>
      <c r="S6" s="23">
        <f>Month2012[[#This Row],[LayAmount]]+Month2012[[#This Row],[BackAmount]]</f>
        <v>0</v>
      </c>
      <c r="T6" s="16">
        <f>SUMPRODUCT(--(LEFT(LayTable[Date],2)="12"),--(MID(LayTable[Date],3,2)="03"),LayTable[AR])</f>
        <v>0</v>
      </c>
      <c r="U6" s="23">
        <f>SUMPRODUCT(--(LEFT(BetTable[Date],2)="12"),--(MID(BetTable[Date],3,2)="03"),BetTable[Result])</f>
        <v>0</v>
      </c>
      <c r="W6" s="25" t="s">
        <v>54</v>
      </c>
      <c r="X6" s="23">
        <f>Month20122[[#This Row],[LayAmount]]+Month20122[[#This Row],[BackAmount]]</f>
        <v>0</v>
      </c>
      <c r="Y6" s="16">
        <f>SUMPRODUCT(--(LEFT(LayTable[Date],2)="13"),--(MID(LayTable[Date],3,2)="03"),LayTable[AR])</f>
        <v>0</v>
      </c>
      <c r="Z6" s="23">
        <f>SUMPRODUCT(--(LEFT(BetTable[Date],2)="13"),--(MID(BetTable[Date],3,2)="03"),BetTable[Result])</f>
        <v>0</v>
      </c>
      <c r="AB6" s="25" t="s">
        <v>54</v>
      </c>
      <c r="AC6" s="23">
        <f>Month201223[[#This Row],[LayAmount]]+Month201223[[#This Row],[BackAmount]]</f>
        <v>0</v>
      </c>
      <c r="AD6" s="16">
        <f>SUMPRODUCT(--(LEFT(LayTable[Date],2)="14"),--(MID(LayTable[Date],3,2)="03"),LayTable[AR])</f>
        <v>0</v>
      </c>
      <c r="AE6" s="23">
        <f>SUMPRODUCT(--(LEFT(BetTable[Date],2)="14"),--(MID(BetTable[Date],3,2)="03"),BetTable[Result])</f>
        <v>0</v>
      </c>
      <c r="AG6" s="25" t="s">
        <v>54</v>
      </c>
      <c r="AH6" s="23">
        <f>Month201229[[#This Row],[LayAmount]]+Month201229[[#This Row],[BackAmount]]</f>
        <v>0</v>
      </c>
      <c r="AI6" s="16">
        <f>SUMPRODUCT(--(LEFT(LayTable[Date],2)="15"),--(MID(LayTable[Date],3,2)="03"),LayTable[AR])</f>
        <v>0</v>
      </c>
      <c r="AJ6" s="23">
        <f>SUMPRODUCT(--(LEFT(BetTable[Date],2)="15"),--(MID(BetTable[Date],3,2)="03"),BetTable[Result])</f>
        <v>0</v>
      </c>
    </row>
    <row r="7" spans="3:36" hidden="1" x14ac:dyDescent="0.25">
      <c r="C7" s="25" t="s">
        <v>53</v>
      </c>
      <c r="D7" s="23">
        <f>Month2009[[#This Row],[LayAmount]]+Month2009[[#This Row],[BackAmount]]</f>
        <v>0</v>
      </c>
      <c r="E7" s="16">
        <f>SUMPRODUCT(--(LEFT(LayTable[Date],2)="09"),--(MID(LayTable[Date],3,2)="04"),LayTable[AR])</f>
        <v>0</v>
      </c>
      <c r="F7" s="23">
        <f>SUMPRODUCT(--(LEFT(BetTable[Date],2)="09"),--(MID(BetTable[Date],3,2)="04"),BetTable[Result])</f>
        <v>0</v>
      </c>
      <c r="H7" s="25" t="s">
        <v>53</v>
      </c>
      <c r="I7" s="23">
        <f>Month2010[[#This Row],[LayAmount]]+Month2010[[#This Row],[BackAmount]]</f>
        <v>0</v>
      </c>
      <c r="J7" s="16">
        <f>SUMPRODUCT(--(LEFT(LayTable[Date],2)="10"),--(MID(LayTable[Date],3,2)="04"),LayTable[AR])</f>
        <v>0</v>
      </c>
      <c r="K7" s="23">
        <f>SUMPRODUCT(--(LEFT(BetTable[Date],2)="10"),--(MID(BetTable[Date],3,2)="04"),BetTable[Result])</f>
        <v>0</v>
      </c>
      <c r="M7" s="25" t="s">
        <v>53</v>
      </c>
      <c r="N7" s="23">
        <f>Month2011[[#This Row],[LayAmount]]+Month2011[[#This Row],[BackAmount]]</f>
        <v>0</v>
      </c>
      <c r="O7" s="16">
        <f>SUMPRODUCT(--(LEFT(LayTable[Date],2)="11"),--(MID(LayTable[Date],3,2)="04"),LayTable[AR])</f>
        <v>0</v>
      </c>
      <c r="P7" s="23">
        <f>SUMPRODUCT(--(LEFT(BetTable[Date],2)="11"),--(MID(BetTable[Date],3,2)="04"),BetTable[Result])</f>
        <v>0</v>
      </c>
      <c r="R7" s="25" t="s">
        <v>53</v>
      </c>
      <c r="S7" s="23">
        <f>Month2012[[#This Row],[LayAmount]]+Month2012[[#This Row],[BackAmount]]</f>
        <v>0</v>
      </c>
      <c r="T7" s="16">
        <f>SUMPRODUCT(--(LEFT(LayTable[Date],2)="12"),--(MID(LayTable[Date],3,2)="04"),LayTable[AR])</f>
        <v>0</v>
      </c>
      <c r="U7" s="23">
        <f>SUMPRODUCT(--(LEFT(BetTable[Date],2)="12"),--(MID(BetTable[Date],3,2)="04"),BetTable[Result])</f>
        <v>0</v>
      </c>
      <c r="W7" s="25" t="s">
        <v>53</v>
      </c>
      <c r="X7" s="23">
        <f>Month20122[[#This Row],[LayAmount]]+Month20122[[#This Row],[BackAmount]]</f>
        <v>0</v>
      </c>
      <c r="Y7" s="16">
        <f>SUMPRODUCT(--(LEFT(LayTable[Date],2)="13"),--(MID(LayTable[Date],3,2)="04"),LayTable[AR])</f>
        <v>0</v>
      </c>
      <c r="Z7" s="23">
        <f>SUMPRODUCT(--(LEFT(BetTable[Date],2)="13"),--(MID(BetTable[Date],3,2)="04"),BetTable[Result])</f>
        <v>0</v>
      </c>
      <c r="AB7" s="25" t="s">
        <v>53</v>
      </c>
      <c r="AC7" s="23">
        <f>Month201223[[#This Row],[LayAmount]]+Month201223[[#This Row],[BackAmount]]</f>
        <v>0</v>
      </c>
      <c r="AD7" s="16">
        <f>SUMPRODUCT(--(LEFT(LayTable[Date],2)="14"),--(MID(LayTable[Date],3,2)="04"),LayTable[AR])</f>
        <v>0</v>
      </c>
      <c r="AE7" s="23">
        <f>SUMPRODUCT(--(LEFT(BetTable[Date],2)="14"),--(MID(BetTable[Date],3,2)="04"),BetTable[Result])</f>
        <v>0</v>
      </c>
      <c r="AG7" s="25" t="s">
        <v>53</v>
      </c>
      <c r="AH7" s="23">
        <f>Month201229[[#This Row],[LayAmount]]+Month201229[[#This Row],[BackAmount]]</f>
        <v>0</v>
      </c>
      <c r="AI7" s="16">
        <f>SUMPRODUCT(--(LEFT(LayTable[Date],2)="15"),--(MID(LayTable[Date],3,2)="04"),LayTable[AR])</f>
        <v>0</v>
      </c>
      <c r="AJ7" s="23">
        <f>SUMPRODUCT(--(LEFT(BetTable[Date],2)="15"),--(MID(BetTable[Date],3,2)="04"),BetTable[Result])</f>
        <v>0</v>
      </c>
    </row>
    <row r="8" spans="3:36" hidden="1" x14ac:dyDescent="0.25">
      <c r="C8" s="25" t="s">
        <v>52</v>
      </c>
      <c r="D8" s="23">
        <f>Month2009[[#This Row],[LayAmount]]+Month2009[[#This Row],[BackAmount]]</f>
        <v>0</v>
      </c>
      <c r="E8" s="16">
        <f>SUMPRODUCT(--(LEFT(LayTable[Date],2)="09"),--(MID(LayTable[Date],3,2)="05"),LayTable[AR])</f>
        <v>0</v>
      </c>
      <c r="F8" s="23">
        <f>SUMPRODUCT(--(LEFT(BetTable[Date],2)="09"),--(MID(BetTable[Date],3,2)="05"),BetTable[Result])</f>
        <v>0</v>
      </c>
      <c r="H8" s="25" t="s">
        <v>52</v>
      </c>
      <c r="I8" s="23">
        <f>Month2010[[#This Row],[LayAmount]]+Month2010[[#This Row],[BackAmount]]</f>
        <v>0</v>
      </c>
      <c r="J8" s="16">
        <f>SUMPRODUCT(--(LEFT(LayTable[Date],2)="10"),--(MID(LayTable[Date],3,2)="05"),LayTable[AR])</f>
        <v>0</v>
      </c>
      <c r="K8" s="23">
        <f>SUMPRODUCT(--(LEFT(BetTable[Date],2)="10"),--(MID(BetTable[Date],3,2)="05"),BetTable[Result])</f>
        <v>0</v>
      </c>
      <c r="M8" s="25" t="s">
        <v>52</v>
      </c>
      <c r="N8" s="23">
        <f>Month2011[[#This Row],[LayAmount]]+Month2011[[#This Row],[BackAmount]]</f>
        <v>0</v>
      </c>
      <c r="O8" s="16">
        <f>SUMPRODUCT(--(LEFT(LayTable[Date],2)="11"),--(MID(LayTable[Date],3,2)="05"),LayTable[AR])</f>
        <v>0</v>
      </c>
      <c r="P8" s="23">
        <f>SUMPRODUCT(--(LEFT(BetTable[Date],2)="11"),--(MID(BetTable[Date],3,2)="05"),BetTable[Result])</f>
        <v>0</v>
      </c>
      <c r="R8" s="25" t="s">
        <v>52</v>
      </c>
      <c r="S8" s="23">
        <f>Month2012[[#This Row],[LayAmount]]+Month2012[[#This Row],[BackAmount]]</f>
        <v>0</v>
      </c>
      <c r="T8" s="16">
        <f>SUMPRODUCT(--(LEFT(LayTable[Date],2)="12"),--(MID(LayTable[Date],3,2)="05"),LayTable[AR])</f>
        <v>0</v>
      </c>
      <c r="U8" s="23">
        <f>SUMPRODUCT(--(LEFT(BetTable[Date],2)="12"),--(MID(BetTable[Date],3,2)="05"),BetTable[Result])</f>
        <v>0</v>
      </c>
      <c r="W8" s="25" t="s">
        <v>52</v>
      </c>
      <c r="X8" s="23">
        <f>Month20122[[#This Row],[LayAmount]]+Month20122[[#This Row],[BackAmount]]</f>
        <v>0</v>
      </c>
      <c r="Y8" s="16">
        <f>SUMPRODUCT(--(LEFT(LayTable[Date],2)="13"),--(MID(LayTable[Date],3,2)="05"),LayTable[AR])</f>
        <v>0</v>
      </c>
      <c r="Z8" s="23">
        <f>SUMPRODUCT(--(LEFT(BetTable[Date],2)="13"),--(MID(BetTable[Date],3,2)="05"),BetTable[Result])</f>
        <v>0</v>
      </c>
      <c r="AB8" s="25" t="s">
        <v>52</v>
      </c>
      <c r="AC8" s="23">
        <f>Month201223[[#This Row],[LayAmount]]+Month201223[[#This Row],[BackAmount]]</f>
        <v>0</v>
      </c>
      <c r="AD8" s="16">
        <f>SUMPRODUCT(--(LEFT(LayTable[Date],2)="14"),--(MID(LayTable[Date],3,2)="05"),LayTable[AR])</f>
        <v>0</v>
      </c>
      <c r="AE8" s="23">
        <f>SUMPRODUCT(--(LEFT(BetTable[Date],2)="14"),--(MID(BetTable[Date],3,2)="05"),BetTable[Result])</f>
        <v>0</v>
      </c>
      <c r="AG8" s="25" t="s">
        <v>52</v>
      </c>
      <c r="AH8" s="23">
        <f>Month201229[[#This Row],[LayAmount]]+Month201229[[#This Row],[BackAmount]]</f>
        <v>0</v>
      </c>
      <c r="AI8" s="16">
        <f>SUMPRODUCT(--(LEFT(LayTable[Date],2)="15"),--(MID(LayTable[Date],3,2)="05"),LayTable[AR])</f>
        <v>0</v>
      </c>
      <c r="AJ8" s="23">
        <f>SUMPRODUCT(--(LEFT(BetTable[Date],2)="15"),--(MID(BetTable[Date],3,2)="05"),BetTable[Result])</f>
        <v>0</v>
      </c>
    </row>
    <row r="9" spans="3:36" hidden="1" x14ac:dyDescent="0.25">
      <c r="C9" s="25" t="s">
        <v>45</v>
      </c>
      <c r="D9" s="23">
        <f>Month2009[[#This Row],[LayAmount]]+Month2009[[#This Row],[BackAmount]]</f>
        <v>0</v>
      </c>
      <c r="E9" s="16">
        <f>SUMPRODUCT(--(LEFT(LayTable[Date],2)="09"),--(MID(LayTable[Date],3,2)="06"),LayTable[AR])</f>
        <v>0</v>
      </c>
      <c r="F9" s="23">
        <f>SUMPRODUCT(--(LEFT(BetTable[Date],2)="09"),--(MID(BetTable[Date],3,2)="06"),BetTable[Result])</f>
        <v>0</v>
      </c>
      <c r="H9" s="25" t="s">
        <v>45</v>
      </c>
      <c r="I9" s="23">
        <f>Month2010[[#This Row],[LayAmount]]+Month2010[[#This Row],[BackAmount]]</f>
        <v>0</v>
      </c>
      <c r="J9" s="16">
        <f>SUMPRODUCT(--(LEFT(LayTable[Date],2)="10"),--(MID(LayTable[Date],3,2)="06"),LayTable[AR])</f>
        <v>0</v>
      </c>
      <c r="K9" s="23">
        <f>SUMPRODUCT(--(LEFT(BetTable[Date],2)="10"),--(MID(BetTable[Date],3,2)="06"),BetTable[Result])</f>
        <v>0</v>
      </c>
      <c r="M9" s="25" t="s">
        <v>45</v>
      </c>
      <c r="N9" s="23">
        <f>Month2011[[#This Row],[LayAmount]]+Month2011[[#This Row],[BackAmount]]</f>
        <v>0</v>
      </c>
      <c r="O9" s="16">
        <f>SUMPRODUCT(--(LEFT(LayTable[Date],2)="11"),--(MID(LayTable[Date],3,2)="06"),LayTable[AR])</f>
        <v>0</v>
      </c>
      <c r="P9" s="23">
        <f>SUMPRODUCT(--(LEFT(BetTable[Date],2)="11"),--(MID(BetTable[Date],3,2)="06"),BetTable[Result])</f>
        <v>0</v>
      </c>
      <c r="R9" s="25" t="s">
        <v>45</v>
      </c>
      <c r="S9" s="23">
        <f>Month2012[[#This Row],[LayAmount]]+Month2012[[#This Row],[BackAmount]]</f>
        <v>0</v>
      </c>
      <c r="T9" s="16">
        <f>SUMPRODUCT(--(LEFT(LayTable[Date],2)="12"),--(MID(LayTable[Date],3,2)="06"),LayTable[AR])</f>
        <v>0</v>
      </c>
      <c r="U9" s="23">
        <f>SUMPRODUCT(--(LEFT(BetTable[Date],2)="12"),--(MID(BetTable[Date],3,2)="06"),BetTable[Result])</f>
        <v>0</v>
      </c>
      <c r="W9" s="25" t="s">
        <v>45</v>
      </c>
      <c r="X9" s="23">
        <f>Month20122[[#This Row],[LayAmount]]+Month20122[[#This Row],[BackAmount]]</f>
        <v>0</v>
      </c>
      <c r="Y9" s="16">
        <f>SUMPRODUCT(--(LEFT(LayTable[Date],2)="13"),--(MID(LayTable[Date],3,2)="06"),LayTable[AR])</f>
        <v>0</v>
      </c>
      <c r="Z9" s="23">
        <f>SUMPRODUCT(--(LEFT(BetTable[Date],2)="13"),--(MID(BetTable[Date],3,2)="06"),BetTable[Result])</f>
        <v>0</v>
      </c>
      <c r="AB9" s="25" t="s">
        <v>45</v>
      </c>
      <c r="AC9" s="23">
        <f>Month201223[[#This Row],[LayAmount]]+Month201223[[#This Row],[BackAmount]]</f>
        <v>0</v>
      </c>
      <c r="AD9" s="16">
        <f>SUMPRODUCT(--(LEFT(LayTable[Date],2)="14"),--(MID(LayTable[Date],3,2)="06"),LayTable[AR])</f>
        <v>0</v>
      </c>
      <c r="AE9" s="23">
        <f>SUMPRODUCT(--(LEFT(BetTable[Date],2)="14"),--(MID(BetTable[Date],3,2)="06"),BetTable[Result])</f>
        <v>0</v>
      </c>
      <c r="AG9" s="25" t="s">
        <v>45</v>
      </c>
      <c r="AH9" s="23">
        <f>Month201229[[#This Row],[LayAmount]]+Month201229[[#This Row],[BackAmount]]</f>
        <v>0</v>
      </c>
      <c r="AI9" s="16">
        <f>SUMPRODUCT(--(LEFT(LayTable[Date],2)="15"),--(MID(LayTable[Date],3,2)="06"),LayTable[AR])</f>
        <v>0</v>
      </c>
      <c r="AJ9" s="23">
        <f>SUMPRODUCT(--(LEFT(BetTable[Date],2)="15"),--(MID(BetTable[Date],3,2)="06"),BetTable[Result])</f>
        <v>0</v>
      </c>
    </row>
    <row r="10" spans="3:36" hidden="1" x14ac:dyDescent="0.25">
      <c r="C10" s="25" t="s">
        <v>46</v>
      </c>
      <c r="D10" s="23">
        <f>Month2009[[#This Row],[LayAmount]]+Month2009[[#This Row],[BackAmount]]</f>
        <v>0</v>
      </c>
      <c r="E10" s="16">
        <f>SUMPRODUCT(--(LEFT(LayTable[Date],2)="09"),--(MID(LayTable[Date],3,2)="07"),LayTable[AR])</f>
        <v>0</v>
      </c>
      <c r="F10" s="23">
        <f>SUMPRODUCT(--(LEFT(BetTable[Date],2)="09"),--(MID(BetTable[Date],3,2)="07"),BetTable[Result])</f>
        <v>0</v>
      </c>
      <c r="H10" s="25" t="s">
        <v>46</v>
      </c>
      <c r="I10" s="23">
        <f>Month2010[[#This Row],[LayAmount]]+Month2010[[#This Row],[BackAmount]]</f>
        <v>0</v>
      </c>
      <c r="J10" s="16">
        <f>SUMPRODUCT(--(LEFT(LayTable[Date],2)="10"),--(MID(LayTable[Date],3,2)="07"),LayTable[AR])</f>
        <v>0</v>
      </c>
      <c r="K10" s="23">
        <f>SUMPRODUCT(--(LEFT(BetTable[Date],2)="10"),--(MID(BetTable[Date],3,2)="07"),BetTable[Result])</f>
        <v>0</v>
      </c>
      <c r="M10" s="25" t="s">
        <v>46</v>
      </c>
      <c r="N10" s="23">
        <f>Month2011[[#This Row],[LayAmount]]+Month2011[[#This Row],[BackAmount]]</f>
        <v>0</v>
      </c>
      <c r="O10" s="16">
        <f>SUMPRODUCT(--(LEFT(LayTable[Date],2)="11"),--(MID(LayTable[Date],3,2)="07"),LayTable[AR])</f>
        <v>0</v>
      </c>
      <c r="P10" s="23">
        <f>SUMPRODUCT(--(LEFT(BetTable[Date],2)="11"),--(MID(BetTable[Date],3,2)="07"),BetTable[Result])</f>
        <v>0</v>
      </c>
      <c r="R10" s="25" t="s">
        <v>46</v>
      </c>
      <c r="S10" s="23">
        <f>Month2012[[#This Row],[LayAmount]]+Month2012[[#This Row],[BackAmount]]</f>
        <v>0</v>
      </c>
      <c r="T10" s="16">
        <f>SUMPRODUCT(--(LEFT(LayTable[Date],2)="12"),--(MID(LayTable[Date],3,2)="07"),LayTable[AR])</f>
        <v>0</v>
      </c>
      <c r="U10" s="23">
        <f>SUMPRODUCT(--(LEFT(BetTable[Date],2)="12"),--(MID(BetTable[Date],3,2)="07"),BetTable[Result])</f>
        <v>0</v>
      </c>
      <c r="W10" s="25" t="s">
        <v>46</v>
      </c>
      <c r="X10" s="23">
        <f>Month20122[[#This Row],[LayAmount]]+Month20122[[#This Row],[BackAmount]]</f>
        <v>0</v>
      </c>
      <c r="Y10" s="16">
        <f>SUMPRODUCT(--(LEFT(LayTable[Date],2)="13"),--(MID(LayTable[Date],3,2)="07"),LayTable[AR])</f>
        <v>0</v>
      </c>
      <c r="Z10" s="23">
        <f>SUMPRODUCT(--(LEFT(BetTable[Date],2)="13"),--(MID(BetTable[Date],3,2)="07"),BetTable[Result])</f>
        <v>0</v>
      </c>
      <c r="AB10" s="25" t="s">
        <v>46</v>
      </c>
      <c r="AC10" s="23">
        <f>Month201223[[#This Row],[LayAmount]]+Month201223[[#This Row],[BackAmount]]</f>
        <v>0</v>
      </c>
      <c r="AD10" s="16">
        <f>SUMPRODUCT(--(LEFT(LayTable[Date],2)="14"),--(MID(LayTable[Date],3,2)="07"),LayTable[AR])</f>
        <v>0</v>
      </c>
      <c r="AE10" s="23">
        <f>SUMPRODUCT(--(LEFT(BetTable[Date],2)="14"),--(MID(BetTable[Date],3,2)="07"),BetTable[Result])</f>
        <v>0</v>
      </c>
      <c r="AG10" s="25" t="s">
        <v>46</v>
      </c>
      <c r="AH10" s="23">
        <f>Month201229[[#This Row],[LayAmount]]+Month201229[[#This Row],[BackAmount]]</f>
        <v>0</v>
      </c>
      <c r="AI10" s="16">
        <f>SUMPRODUCT(--(LEFT(LayTable[Date],2)="15"),--(MID(LayTable[Date],3,2)="07"),LayTable[AR])</f>
        <v>0</v>
      </c>
      <c r="AJ10" s="23">
        <f>SUMPRODUCT(--(LEFT(BetTable[Date],2)="15"),--(MID(BetTable[Date],3,2)="07"),BetTable[Result])</f>
        <v>0</v>
      </c>
    </row>
    <row r="11" spans="3:36" hidden="1" x14ac:dyDescent="0.25">
      <c r="C11" s="25" t="s">
        <v>47</v>
      </c>
      <c r="D11" s="23">
        <f>Month2009[[#This Row],[LayAmount]]+Month2009[[#This Row],[BackAmount]]</f>
        <v>0</v>
      </c>
      <c r="E11" s="16">
        <f>SUMPRODUCT(--(LEFT(LayTable[Date],2)="09"),--(MID(LayTable[Date],3,2)="08"),LayTable[AR])</f>
        <v>0</v>
      </c>
      <c r="F11" s="23">
        <f>SUMPRODUCT(--(LEFT(BetTable[Date],2)="09"),--(MID(BetTable[Date],3,2)="08"),BetTable[Result])</f>
        <v>0</v>
      </c>
      <c r="H11" s="25" t="s">
        <v>47</v>
      </c>
      <c r="I11" s="23">
        <f>Month2010[[#This Row],[LayAmount]]+Month2010[[#This Row],[BackAmount]]</f>
        <v>0</v>
      </c>
      <c r="J11" s="16">
        <f>SUMPRODUCT(--(LEFT(LayTable[Date],2)="10"),--(MID(LayTable[Date],3,2)="08"),LayTable[AR])</f>
        <v>0</v>
      </c>
      <c r="K11" s="23">
        <f>SUMPRODUCT(--(LEFT(BetTable[Date],2)="10"),--(MID(BetTable[Date],3,2)="08"),BetTable[Result])</f>
        <v>0</v>
      </c>
      <c r="M11" s="25" t="s">
        <v>47</v>
      </c>
      <c r="N11" s="23">
        <f>Month2011[[#This Row],[LayAmount]]+Month2011[[#This Row],[BackAmount]]</f>
        <v>0</v>
      </c>
      <c r="O11" s="16">
        <f>SUMPRODUCT(--(LEFT(LayTable[Date],2)="11"),--(MID(LayTable[Date],3,2)="08"),LayTable[AR])</f>
        <v>0</v>
      </c>
      <c r="P11" s="23">
        <f>SUMPRODUCT(--(LEFT(BetTable[Date],2)="11"),--(MID(BetTable[Date],3,2)="08"),BetTable[Result])</f>
        <v>0</v>
      </c>
      <c r="R11" s="25" t="s">
        <v>47</v>
      </c>
      <c r="S11" s="23">
        <f>Month2012[[#This Row],[LayAmount]]+Month2012[[#This Row],[BackAmount]]</f>
        <v>0</v>
      </c>
      <c r="T11" s="16">
        <f>SUMPRODUCT(--(LEFT(LayTable[Date],2)="12"),--(MID(LayTable[Date],3,2)="08"),LayTable[AR])</f>
        <v>0</v>
      </c>
      <c r="U11" s="23">
        <f>SUMPRODUCT(--(LEFT(BetTable[Date],2)="12"),--(MID(BetTable[Date],3,2)="08"),BetTable[Result])</f>
        <v>0</v>
      </c>
      <c r="W11" s="25" t="s">
        <v>47</v>
      </c>
      <c r="X11" s="23">
        <f>Month20122[[#This Row],[LayAmount]]+Month20122[[#This Row],[BackAmount]]</f>
        <v>0</v>
      </c>
      <c r="Y11" s="16">
        <f>SUMPRODUCT(--(LEFT(LayTable[Date],2)="13"),--(MID(LayTable[Date],3,2)="08"),LayTable[AR])</f>
        <v>0</v>
      </c>
      <c r="Z11" s="23">
        <f>SUMPRODUCT(--(LEFT(BetTable[Date],2)="13"),--(MID(BetTable[Date],3,2)="08"),BetTable[Result])</f>
        <v>0</v>
      </c>
      <c r="AB11" s="25" t="s">
        <v>47</v>
      </c>
      <c r="AC11" s="23">
        <f>Month201223[[#This Row],[LayAmount]]+Month201223[[#This Row],[BackAmount]]</f>
        <v>0</v>
      </c>
      <c r="AD11" s="16">
        <f>SUMPRODUCT(--(LEFT(LayTable[Date],2)="14"),--(MID(LayTable[Date],3,2)="08"),LayTable[AR])</f>
        <v>0</v>
      </c>
      <c r="AE11" s="23">
        <f>SUMPRODUCT(--(LEFT(BetTable[Date],2)="14"),--(MID(BetTable[Date],3,2)="08"),BetTable[Result])</f>
        <v>0</v>
      </c>
      <c r="AG11" s="25" t="s">
        <v>47</v>
      </c>
      <c r="AH11" s="23">
        <f>Month201229[[#This Row],[LayAmount]]+Month201229[[#This Row],[BackAmount]]</f>
        <v>0</v>
      </c>
      <c r="AI11" s="16">
        <f>SUMPRODUCT(--(LEFT(LayTable[Date],2)="15"),--(MID(LayTable[Date],3,2)="08"),LayTable[AR])</f>
        <v>0</v>
      </c>
      <c r="AJ11" s="23">
        <f>SUMPRODUCT(--(LEFT(BetTable[Date],2)="15"),--(MID(BetTable[Date],3,2)="08"),BetTable[Result])</f>
        <v>0</v>
      </c>
    </row>
    <row r="12" spans="3:36" hidden="1" x14ac:dyDescent="0.25">
      <c r="C12" s="25" t="s">
        <v>48</v>
      </c>
      <c r="D12" s="23">
        <f>Month2009[[#This Row],[LayAmount]]+Month2009[[#This Row],[BackAmount]]</f>
        <v>0</v>
      </c>
      <c r="E12" s="16">
        <f>SUMPRODUCT(--(LEFT(LayTable[Date],2)="09"),--(MID(LayTable[Date],3,2)="09"),LayTable[AR])</f>
        <v>0</v>
      </c>
      <c r="F12" s="23">
        <f>SUMPRODUCT(--(LEFT(BetTable[Date],2)="09"),--(MID(BetTable[Date],3,2)="09"),BetTable[Result])</f>
        <v>0</v>
      </c>
      <c r="H12" s="25" t="s">
        <v>48</v>
      </c>
      <c r="I12" s="23">
        <f>Month2010[[#This Row],[LayAmount]]+Month2010[[#This Row],[BackAmount]]</f>
        <v>0</v>
      </c>
      <c r="J12" s="16">
        <f>SUMPRODUCT(--(LEFT(LayTable[Date],2)="10"),--(MID(LayTable[Date],3,2)="09"),LayTable[AR])</f>
        <v>0</v>
      </c>
      <c r="K12" s="23">
        <f>SUMPRODUCT(--(LEFT(BetTable[Date],2)="10"),--(MID(BetTable[Date],3,2)="09"),BetTable[Result])</f>
        <v>0</v>
      </c>
      <c r="M12" s="25" t="s">
        <v>48</v>
      </c>
      <c r="N12" s="23">
        <f>Month2011[[#This Row],[LayAmount]]+Month2011[[#This Row],[BackAmount]]</f>
        <v>0</v>
      </c>
      <c r="O12" s="16">
        <f>SUMPRODUCT(--(LEFT(LayTable[Date],2)="11"),--(MID(LayTable[Date],3,2)="09"),LayTable[AR])</f>
        <v>0</v>
      </c>
      <c r="P12" s="23">
        <f>SUMPRODUCT(--(LEFT(BetTable[Date],2)="11"),--(MID(BetTable[Date],3,2)="09"),BetTable[Result])</f>
        <v>0</v>
      </c>
      <c r="R12" s="25" t="s">
        <v>48</v>
      </c>
      <c r="S12" s="23">
        <f>Month2012[[#This Row],[LayAmount]]+Month2012[[#This Row],[BackAmount]]</f>
        <v>0</v>
      </c>
      <c r="T12" s="16">
        <f>SUMPRODUCT(--(LEFT(LayTable[Date],2)="12"),--(MID(LayTable[Date],3,2)="09"),LayTable[AR])</f>
        <v>0</v>
      </c>
      <c r="U12" s="23">
        <f>SUMPRODUCT(--(LEFT(BetTable[Date],2)="12"),--(MID(BetTable[Date],3,2)="09"),BetTable[Result])</f>
        <v>0</v>
      </c>
      <c r="W12" s="25" t="s">
        <v>48</v>
      </c>
      <c r="X12" s="23">
        <f>Month20122[[#This Row],[LayAmount]]+Month20122[[#This Row],[BackAmount]]</f>
        <v>0</v>
      </c>
      <c r="Y12" s="16">
        <f>SUMPRODUCT(--(LEFT(LayTable[Date],2)="13"),--(MID(LayTable[Date],3,2)="09"),LayTable[AR])</f>
        <v>0</v>
      </c>
      <c r="Z12" s="23">
        <f>SUMPRODUCT(--(LEFT(BetTable[Date],2)="13"),--(MID(BetTable[Date],3,2)="09"),BetTable[Result])</f>
        <v>0</v>
      </c>
      <c r="AB12" s="25" t="s">
        <v>48</v>
      </c>
      <c r="AC12" s="23">
        <f>Month201223[[#This Row],[LayAmount]]+Month201223[[#This Row],[BackAmount]]</f>
        <v>0</v>
      </c>
      <c r="AD12" s="16">
        <f>SUMPRODUCT(--(LEFT(LayTable[Date],2)="14"),--(MID(LayTable[Date],3,2)="09"),LayTable[AR])</f>
        <v>0</v>
      </c>
      <c r="AE12" s="23">
        <f>SUMPRODUCT(--(LEFT(BetTable[Date],2)="14"),--(MID(BetTable[Date],3,2)="09"),BetTable[Result])</f>
        <v>0</v>
      </c>
      <c r="AG12" s="25" t="s">
        <v>48</v>
      </c>
      <c r="AH12" s="23">
        <f>Month201229[[#This Row],[LayAmount]]+Month201229[[#This Row],[BackAmount]]</f>
        <v>0</v>
      </c>
      <c r="AI12" s="16">
        <f>SUMPRODUCT(--(LEFT(LayTable[Date],2)="15"),--(MID(LayTable[Date],3,2)="09"),LayTable[AR])</f>
        <v>0</v>
      </c>
      <c r="AJ12" s="23">
        <f>SUMPRODUCT(--(LEFT(BetTable[Date],2)="15"),--(MID(BetTable[Date],3,2)="09"),BetTable[Result])</f>
        <v>0</v>
      </c>
    </row>
    <row r="13" spans="3:36" hidden="1" x14ac:dyDescent="0.25">
      <c r="C13" s="25" t="s">
        <v>49</v>
      </c>
      <c r="D13" s="23">
        <f>Month2009[[#This Row],[LayAmount]]+Month2009[[#This Row],[BackAmount]]</f>
        <v>0</v>
      </c>
      <c r="E13" s="16">
        <f>SUMPRODUCT(--(LEFT(LayTable[Date],2)="09"),--(MID(LayTable[Date],3,2)="10"),LayTable[AR])</f>
        <v>0</v>
      </c>
      <c r="F13" s="23">
        <f>SUMPRODUCT(--(LEFT(BetTable[Date],2)="09"),--(MID(BetTable[Date],3,2)="10"),BetTable[Result])</f>
        <v>0</v>
      </c>
      <c r="H13" s="25" t="s">
        <v>49</v>
      </c>
      <c r="I13" s="23">
        <f>Month2010[[#This Row],[LayAmount]]+Month2010[[#This Row],[BackAmount]]</f>
        <v>0</v>
      </c>
      <c r="J13" s="16">
        <f>SUMPRODUCT(--(LEFT(LayTable[Date],2)="10"),--(MID(LayTable[Date],3,2)="10"),LayTable[AR])</f>
        <v>0</v>
      </c>
      <c r="K13" s="23">
        <f>SUMPRODUCT(--(LEFT(BetTable[Date],2)="10"),--(MID(BetTable[Date],3,2)="10"),BetTable[Result])</f>
        <v>0</v>
      </c>
      <c r="M13" s="25" t="s">
        <v>49</v>
      </c>
      <c r="N13" s="23">
        <f>Month2011[[#This Row],[LayAmount]]+Month2011[[#This Row],[BackAmount]]</f>
        <v>0</v>
      </c>
      <c r="O13" s="16">
        <f>SUMPRODUCT(--(LEFT(LayTable[Date],2)="11"),--(MID(LayTable[Date],3,2)="10"),LayTable[AR])</f>
        <v>0</v>
      </c>
      <c r="P13" s="23">
        <f>SUMPRODUCT(--(LEFT(BetTable[Date],2)="11"),--(MID(BetTable[Date],3,2)="10"),BetTable[Result])</f>
        <v>0</v>
      </c>
      <c r="R13" s="25" t="s">
        <v>49</v>
      </c>
      <c r="S13" s="23">
        <f>Month2012[[#This Row],[LayAmount]]+Month2012[[#This Row],[BackAmount]]</f>
        <v>0</v>
      </c>
      <c r="T13" s="16">
        <f>SUMPRODUCT(--(LEFT(LayTable[Date],2)="12"),--(MID(LayTable[Date],3,2)="10"),LayTable[AR])</f>
        <v>0</v>
      </c>
      <c r="U13" s="23">
        <f>SUMPRODUCT(--(LEFT(BetTable[Date],2)="12"),--(MID(BetTable[Date],3,2)="10"),BetTable[Result])</f>
        <v>0</v>
      </c>
      <c r="W13" s="25" t="s">
        <v>49</v>
      </c>
      <c r="X13" s="23">
        <f>Month20122[[#This Row],[LayAmount]]+Month20122[[#This Row],[BackAmount]]</f>
        <v>0</v>
      </c>
      <c r="Y13" s="16">
        <f>SUMPRODUCT(--(LEFT(LayTable[Date],2)="13"),--(MID(LayTable[Date],3,2)="10"),LayTable[AR])</f>
        <v>0</v>
      </c>
      <c r="Z13" s="23">
        <f>SUMPRODUCT(--(LEFT(BetTable[Date],2)="13"),--(MID(BetTable[Date],3,2)="10"),BetTable[Result])</f>
        <v>0</v>
      </c>
      <c r="AB13" s="25" t="s">
        <v>49</v>
      </c>
      <c r="AC13" s="23">
        <f>Month201223[[#This Row],[LayAmount]]+Month201223[[#This Row],[BackAmount]]</f>
        <v>0</v>
      </c>
      <c r="AD13" s="16">
        <f>SUMPRODUCT(--(LEFT(LayTable[Date],2)="14"),--(MID(LayTable[Date],3,2)="10"),LayTable[AR])</f>
        <v>0</v>
      </c>
      <c r="AE13" s="23">
        <f>SUMPRODUCT(--(LEFT(BetTable[Date],2)="14"),--(MID(BetTable[Date],3,2)="10"),BetTable[Result])</f>
        <v>0</v>
      </c>
      <c r="AG13" s="25" t="s">
        <v>49</v>
      </c>
      <c r="AH13" s="23">
        <f>Month201229[[#This Row],[LayAmount]]+Month201229[[#This Row],[BackAmount]]</f>
        <v>0</v>
      </c>
      <c r="AI13" s="16">
        <f>SUMPRODUCT(--(LEFT(LayTable[Date],2)="15"),--(MID(LayTable[Date],3,2)="10"),LayTable[AR])</f>
        <v>0</v>
      </c>
      <c r="AJ13" s="23">
        <f>SUMPRODUCT(--(LEFT(BetTable[Date],2)="15"),--(MID(BetTable[Date],3,2)="10"),BetTable[Result])</f>
        <v>0</v>
      </c>
    </row>
    <row r="14" spans="3:36" hidden="1" x14ac:dyDescent="0.25">
      <c r="C14" s="25" t="s">
        <v>50</v>
      </c>
      <c r="D14" s="23">
        <f>Month2009[[#This Row],[LayAmount]]+Month2009[[#This Row],[BackAmount]]</f>
        <v>0</v>
      </c>
      <c r="E14" s="16">
        <f>SUMPRODUCT(--(LEFT(LayTable[Date],2)="09"),--(MID(LayTable[Date],3,2)="11"),LayTable[AR])</f>
        <v>0</v>
      </c>
      <c r="F14" s="23">
        <f>SUMPRODUCT(--(LEFT(BetTable[Date],2)="09"),--(MID(BetTable[Date],3,2)="11"),BetTable[Result])</f>
        <v>0</v>
      </c>
      <c r="H14" s="25" t="s">
        <v>50</v>
      </c>
      <c r="I14" s="23">
        <f>Month2010[[#This Row],[LayAmount]]+Month2010[[#This Row],[BackAmount]]</f>
        <v>0</v>
      </c>
      <c r="J14" s="16">
        <f>SUMPRODUCT(--(LEFT(LayTable[Date],2)="10"),--(MID(LayTable[Date],3,2)="11"),LayTable[AR])</f>
        <v>0</v>
      </c>
      <c r="K14" s="23">
        <f>SUMPRODUCT(--(LEFT(BetTable[Date],2)="10"),--(MID(BetTable[Date],3,2)="11"),BetTable[Result])</f>
        <v>0</v>
      </c>
      <c r="M14" s="25" t="s">
        <v>50</v>
      </c>
      <c r="N14" s="23">
        <f>Month2011[[#This Row],[LayAmount]]+Month2011[[#This Row],[BackAmount]]</f>
        <v>0</v>
      </c>
      <c r="O14" s="16">
        <f>SUMPRODUCT(--(LEFT(LayTable[Date],2)="11"),--(MID(LayTable[Date],3,2)="11"),LayTable[AR])</f>
        <v>0</v>
      </c>
      <c r="P14" s="23">
        <f>SUMPRODUCT(--(LEFT(BetTable[Date],2)="11"),--(MID(BetTable[Date],3,2)="11"),BetTable[Result])</f>
        <v>0</v>
      </c>
      <c r="R14" s="25" t="s">
        <v>50</v>
      </c>
      <c r="S14" s="23">
        <f>Month2012[[#This Row],[LayAmount]]+Month2012[[#This Row],[BackAmount]]</f>
        <v>0</v>
      </c>
      <c r="T14" s="16">
        <f>SUMPRODUCT(--(LEFT(LayTable[Date],2)="12"),--(MID(LayTable[Date],3,2)="11"),LayTable[AR])</f>
        <v>0</v>
      </c>
      <c r="U14" s="23">
        <f>SUMPRODUCT(--(LEFT(BetTable[Date],2)="12"),--(MID(BetTable[Date],3,2)="11"),BetTable[Result])</f>
        <v>0</v>
      </c>
      <c r="W14" s="25" t="s">
        <v>50</v>
      </c>
      <c r="X14" s="23">
        <f>Month20122[[#This Row],[LayAmount]]+Month20122[[#This Row],[BackAmount]]</f>
        <v>0</v>
      </c>
      <c r="Y14" s="16">
        <f>SUMPRODUCT(--(LEFT(LayTable[Date],2)="13"),--(MID(LayTable[Date],3,2)="11"),LayTable[AR])</f>
        <v>0</v>
      </c>
      <c r="Z14" s="23">
        <f>SUMPRODUCT(--(LEFT(BetTable[Date],2)="13"),--(MID(BetTable[Date],3,2)="11"),BetTable[Result])</f>
        <v>0</v>
      </c>
      <c r="AB14" s="25" t="s">
        <v>50</v>
      </c>
      <c r="AC14" s="23">
        <f>Month201223[[#This Row],[LayAmount]]+Month201223[[#This Row],[BackAmount]]</f>
        <v>0</v>
      </c>
      <c r="AD14" s="16">
        <f>SUMPRODUCT(--(LEFT(LayTable[Date],2)="14"),--(MID(LayTable[Date],3,2)="11"),LayTable[AR])</f>
        <v>0</v>
      </c>
      <c r="AE14" s="23">
        <f>SUMPRODUCT(--(LEFT(BetTable[Date],2)="14"),--(MID(BetTable[Date],3,2)="11"),BetTable[Result])</f>
        <v>0</v>
      </c>
      <c r="AG14" s="25" t="s">
        <v>50</v>
      </c>
      <c r="AH14" s="23">
        <f>Month201229[[#This Row],[LayAmount]]+Month201229[[#This Row],[BackAmount]]</f>
        <v>0</v>
      </c>
      <c r="AI14" s="16">
        <f>SUMPRODUCT(--(LEFT(LayTable[Date],2)="15"),--(MID(LayTable[Date],3,2)="11"),LayTable[AR])</f>
        <v>0</v>
      </c>
      <c r="AJ14" s="23">
        <f>SUMPRODUCT(--(LEFT(BetTable[Date],2)="15"),--(MID(BetTable[Date],3,2)="11"),BetTable[Result])</f>
        <v>0</v>
      </c>
    </row>
    <row r="15" spans="3:36" ht="15.75" hidden="1" thickBot="1" x14ac:dyDescent="0.3">
      <c r="C15" s="26" t="s">
        <v>51</v>
      </c>
      <c r="D15" s="24">
        <f>Month2009[[#This Row],[LayAmount]]+Month2009[[#This Row],[BackAmount]]</f>
        <v>0</v>
      </c>
      <c r="E15" s="16">
        <f>SUMPRODUCT(--(LEFT(LayTable[Date],2)="09"),--(MID(LayTable[Date],3,2)="12"),LayTable[AR])</f>
        <v>0</v>
      </c>
      <c r="F15" s="24">
        <f>SUMPRODUCT(--(LEFT(BetTable[Date],2)="09"),--(MID(BetTable[Date],3,2)="12"),BetTable[Result])</f>
        <v>0</v>
      </c>
      <c r="H15" s="26" t="s">
        <v>51</v>
      </c>
      <c r="I15" s="24">
        <f>Month2010[[#This Row],[LayAmount]]+Month2010[[#This Row],[BackAmount]]</f>
        <v>0</v>
      </c>
      <c r="J15" s="16">
        <f>SUMPRODUCT(--(LEFT(LayTable[Date],2)="10"),--(MID(LayTable[Date],3,2)="12"),LayTable[AR])</f>
        <v>0</v>
      </c>
      <c r="K15" s="24">
        <f>SUMPRODUCT(--(LEFT(BetTable[Date],2)="10"),--(MID(BetTable[Date],3,2)="12"),BetTable[Result])</f>
        <v>0</v>
      </c>
      <c r="M15" s="26" t="s">
        <v>51</v>
      </c>
      <c r="N15" s="24">
        <f>Month2011[[#This Row],[LayAmount]]+Month2011[[#This Row],[BackAmount]]</f>
        <v>0</v>
      </c>
      <c r="O15" s="16">
        <f>SUMPRODUCT(--(LEFT(LayTable[Date],2)="11"),--(MID(LayTable[Date],3,2)="12"),LayTable[AR])</f>
        <v>0</v>
      </c>
      <c r="P15" s="24">
        <f>SUMPRODUCT(--(LEFT(BetTable[Date],2)="11"),--(MID(BetTable[Date],3,2)="12"),BetTable[Result])</f>
        <v>0</v>
      </c>
      <c r="R15" s="26" t="s">
        <v>51</v>
      </c>
      <c r="S15" s="24">
        <f>Month2012[[#This Row],[LayAmount]]+Month2012[[#This Row],[BackAmount]]</f>
        <v>0</v>
      </c>
      <c r="T15" s="16">
        <f>SUMPRODUCT(--(LEFT(LayTable[Date],2)="12"),--(MID(LayTable[Date],3,2)="12"),LayTable[AR])</f>
        <v>0</v>
      </c>
      <c r="U15" s="24">
        <f>SUMPRODUCT(--(LEFT(BetTable[Date],2)="12"),--(MID(BetTable[Date],3,2)="12"),BetTable[Result])</f>
        <v>0</v>
      </c>
      <c r="W15" s="26" t="s">
        <v>51</v>
      </c>
      <c r="X15" s="24">
        <f>Month20122[[#This Row],[LayAmount]]+Month20122[[#This Row],[BackAmount]]</f>
        <v>0</v>
      </c>
      <c r="Y15" s="16">
        <f>SUMPRODUCT(--(LEFT(LayTable[Date],2)="13"),--(MID(LayTable[Date],3,2)="12"),LayTable[AR])</f>
        <v>0</v>
      </c>
      <c r="Z15" s="24">
        <f>SUMPRODUCT(--(LEFT(BetTable[Date],2)="13"),--(MID(BetTable[Date],3,2)="12"),BetTable[Result])</f>
        <v>0</v>
      </c>
      <c r="AB15" s="26" t="s">
        <v>51</v>
      </c>
      <c r="AC15" s="24">
        <f>Month201223[[#This Row],[LayAmount]]+Month201223[[#This Row],[BackAmount]]</f>
        <v>0</v>
      </c>
      <c r="AD15" s="16">
        <f>SUMPRODUCT(--(LEFT(LayTable[Date],2)="14"),--(MID(LayTable[Date],3,2)="12"),LayTable[AR])</f>
        <v>0</v>
      </c>
      <c r="AE15" s="24">
        <f>SUMPRODUCT(--(LEFT(BetTable[Date],2)="14"),--(MID(BetTable[Date],3,2)="12"),BetTable[Result])</f>
        <v>0</v>
      </c>
      <c r="AG15" s="26" t="s">
        <v>51</v>
      </c>
      <c r="AH15" s="24">
        <f>Month201229[[#This Row],[LayAmount]]+Month201229[[#This Row],[BackAmount]]</f>
        <v>0</v>
      </c>
      <c r="AI15" s="16">
        <f>SUMPRODUCT(--(LEFT(LayTable[Date],2)="15"),--(MID(LayTable[Date],3,2)="12"),LayTable[AR])</f>
        <v>0</v>
      </c>
      <c r="AJ15" s="24">
        <f>SUMPRODUCT(--(LEFT(BetTable[Date],2)="15"),--(MID(BetTable[Date],3,2)="12"),BetTable[Result])</f>
        <v>0</v>
      </c>
    </row>
    <row r="16" spans="3:36" ht="15.75" thickBot="1" x14ac:dyDescent="0.3"/>
    <row r="17" spans="3:29" x14ac:dyDescent="0.25">
      <c r="C17" s="272">
        <v>2018</v>
      </c>
      <c r="D17" s="273"/>
      <c r="E17" s="137" t="s">
        <v>277</v>
      </c>
      <c r="F17" s="48"/>
      <c r="H17" s="272">
        <v>2019</v>
      </c>
      <c r="I17" s="273"/>
      <c r="J17" s="137" t="s">
        <v>191</v>
      </c>
      <c r="K17" s="48"/>
      <c r="M17" s="272">
        <v>2020</v>
      </c>
      <c r="N17" s="273"/>
      <c r="O17" s="137" t="s">
        <v>192</v>
      </c>
      <c r="P17" s="48"/>
      <c r="R17" s="272">
        <v>2021</v>
      </c>
      <c r="S17" s="273"/>
      <c r="T17" s="137" t="s">
        <v>278</v>
      </c>
      <c r="U17" s="48"/>
      <c r="W17" s="272">
        <v>2022</v>
      </c>
      <c r="X17" s="273"/>
      <c r="Y17" s="137" t="s">
        <v>279</v>
      </c>
      <c r="Z17" s="48"/>
    </row>
    <row r="18" spans="3:29" x14ac:dyDescent="0.25">
      <c r="C18" s="25" t="s">
        <v>57</v>
      </c>
      <c r="D18" s="44" t="s">
        <v>34</v>
      </c>
      <c r="E18" s="49" t="s">
        <v>111</v>
      </c>
      <c r="F18" s="49" t="s">
        <v>110</v>
      </c>
      <c r="H18" s="25" t="s">
        <v>57</v>
      </c>
      <c r="I18" s="44" t="s">
        <v>34</v>
      </c>
      <c r="J18" s="49" t="s">
        <v>111</v>
      </c>
      <c r="K18" s="49" t="s">
        <v>110</v>
      </c>
      <c r="M18" s="25" t="s">
        <v>57</v>
      </c>
      <c r="N18" s="44" t="s">
        <v>34</v>
      </c>
      <c r="O18" s="49" t="s">
        <v>111</v>
      </c>
      <c r="P18" s="49" t="s">
        <v>110</v>
      </c>
      <c r="R18" s="25" t="s">
        <v>57</v>
      </c>
      <c r="S18" s="44" t="s">
        <v>34</v>
      </c>
      <c r="T18" s="49" t="s">
        <v>111</v>
      </c>
      <c r="U18" s="49" t="s">
        <v>110</v>
      </c>
      <c r="W18" s="25" t="s">
        <v>57</v>
      </c>
      <c r="X18" s="44" t="s">
        <v>34</v>
      </c>
      <c r="Y18" s="49" t="s">
        <v>111</v>
      </c>
      <c r="Z18" s="49" t="s">
        <v>110</v>
      </c>
      <c r="AC18" t="str">
        <f>IFERROR(asdf,"")</f>
        <v/>
      </c>
    </row>
    <row r="19" spans="3:29" x14ac:dyDescent="0.25">
      <c r="C19" s="25" t="s">
        <v>56</v>
      </c>
      <c r="D19" s="23">
        <f>IFERROR(Month20122911[[#This Row],[LayAmount]]+Month20122911[[#This Row],[BackAmount]],"")</f>
        <v>0</v>
      </c>
      <c r="E19" s="16">
        <f>SUMPRODUCT(--(LEFT(LayTable[Date],2)=E$17),--(MID(LayTable[Date],3,2)="01"),LayTable[AR])</f>
        <v>0</v>
      </c>
      <c r="F19" s="23">
        <f>SUMPRODUCT(--(LEFT(BetTable[Date],2)=E$17),--(MID(BetTable[Date],3,2)="01"),BetTable[Result])</f>
        <v>0</v>
      </c>
      <c r="H19" s="25" t="s">
        <v>56</v>
      </c>
      <c r="I19" s="23">
        <f>IFERROR(Month2012291113[[#This Row],[LayAmount]]+Month2012291113[[#This Row],[BackAmount]],"")</f>
        <v>0</v>
      </c>
      <c r="J19" s="16">
        <f>SUMPRODUCT(--(LEFT(LayTable[Date],2)=J$17),--(MID(LayTable[Date],3,2)="01"),LayTable[AR])</f>
        <v>0</v>
      </c>
      <c r="K19" s="23">
        <f>SUMPRODUCT(--(LEFT(BetTable[Date],2)=J$17),--(MID(BetTable[Date],3,2)="01"),BetTable[Result])</f>
        <v>0</v>
      </c>
      <c r="M19" s="25" t="s">
        <v>56</v>
      </c>
      <c r="N19" s="23">
        <f>IFERROR(Month201229111325[[#This Row],[LayAmount]]+Month201229111325[[#This Row],[BackAmount]],"")</f>
        <v>0</v>
      </c>
      <c r="O19" s="16">
        <f>SUMPRODUCT(--(LEFT(LayTable[Date],2)=O$17),--(MID(LayTable[Date],3,2)="01"),LayTable[AR])</f>
        <v>0</v>
      </c>
      <c r="P19" s="23">
        <f>SUMPRODUCT(--(LEFT(BetTable[Date],2)=O$17),--(MID(BetTable[Date],3,2)="01"),BetTable[Result])</f>
        <v>0</v>
      </c>
      <c r="R19" s="25" t="s">
        <v>56</v>
      </c>
      <c r="S19" s="23">
        <f>IFERROR(Month201229111326[[#This Row],[LayAmount]]+Month201229111326[[#This Row],[BackAmount]],"")</f>
        <v>0</v>
      </c>
      <c r="T19" s="16">
        <f>SUMPRODUCT(--(LEFT(LayTable[Date],2)=T$17),--(MID(LayTable[Date],3,2)="01"),LayTable[AR])</f>
        <v>0</v>
      </c>
      <c r="U19" s="23">
        <f>SUMPRODUCT(--(LEFT(BetTable[Date],2)=T$17),--(MID(BetTable[Date],3,2)="01"),BetTable[Result])</f>
        <v>0</v>
      </c>
      <c r="W19" s="25" t="s">
        <v>56</v>
      </c>
      <c r="X19" s="23">
        <f>IFERROR(Month201229111327[[#This Row],[LayAmount]]+Month201229111327[[#This Row],[BackAmount]],"")</f>
        <v>0</v>
      </c>
      <c r="Y19" s="16">
        <f>SUMPRODUCT(--(LEFT(LayTable[Date],2)=Y$17),--(MID(LayTable[Date],3,2)="01"),LayTable[AR])</f>
        <v>0</v>
      </c>
      <c r="Z19" s="23">
        <f>SUMPRODUCT(--(LEFT(BetTable[Date],2)=Y$17),--(MID(BetTable[Date],3,2)="01"),BetTable[Result])</f>
        <v>0</v>
      </c>
    </row>
    <row r="20" spans="3:29" x14ac:dyDescent="0.25">
      <c r="C20" s="25" t="s">
        <v>55</v>
      </c>
      <c r="D20" s="23">
        <f>IFERROR(Month20122911[[#This Row],[LayAmount]]+Month20122911[[#This Row],[BackAmount]],"")</f>
        <v>0</v>
      </c>
      <c r="E20" s="16">
        <f>SUMPRODUCT(--(LEFT(LayTable[Date],2)=E$17),--(MID(LayTable[Date],3,2)="02"),LayTable[AR])</f>
        <v>0</v>
      </c>
      <c r="F20" s="23">
        <f>SUMPRODUCT(--(LEFT(BetTable[Date],2)=E$17),--(MID(BetTable[Date],3,2)="02"),BetTable[Result])</f>
        <v>0</v>
      </c>
      <c r="H20" s="25" t="s">
        <v>55</v>
      </c>
      <c r="I20" s="23">
        <f>IFERROR(Month2012291113[[#This Row],[LayAmount]]+Month2012291113[[#This Row],[BackAmount]],"")</f>
        <v>0</v>
      </c>
      <c r="J20" s="16">
        <f>SUMPRODUCT(--(LEFT(LayTable[Date],2)=J$17),--(MID(LayTable[Date],3,2)="02"),LayTable[AR])</f>
        <v>0</v>
      </c>
      <c r="K20" s="23">
        <f>SUMPRODUCT(--(LEFT(BetTable[Date],2)=J$17),--(MID(BetTable[Date],3,2)="02"),BetTable[Result])</f>
        <v>0</v>
      </c>
      <c r="M20" s="25" t="s">
        <v>55</v>
      </c>
      <c r="N20" s="23">
        <f>IFERROR(Month201229111325[[#This Row],[LayAmount]]+Month201229111325[[#This Row],[BackAmount]],"")</f>
        <v>0</v>
      </c>
      <c r="O20" s="16">
        <f>SUMPRODUCT(--(LEFT(LayTable[Date],2)=O$17),--(MID(LayTable[Date],3,2)="02"),LayTable[AR])</f>
        <v>0</v>
      </c>
      <c r="P20" s="23">
        <f>SUMPRODUCT(--(LEFT(BetTable[Date],2)=O$17),--(MID(BetTable[Date],3,2)="02"),BetTable[Result])</f>
        <v>0</v>
      </c>
      <c r="R20" s="25" t="s">
        <v>55</v>
      </c>
      <c r="S20" s="23">
        <f>IFERROR(Month201229111326[[#This Row],[LayAmount]]+Month201229111326[[#This Row],[BackAmount]],"")</f>
        <v>0</v>
      </c>
      <c r="T20" s="16">
        <f>SUMPRODUCT(--(LEFT(LayTable[Date],2)=T$17),--(MID(LayTable[Date],3,2)="02"),LayTable[AR])</f>
        <v>0</v>
      </c>
      <c r="U20" s="23">
        <f>SUMPRODUCT(--(LEFT(BetTable[Date],2)=T$17),--(MID(BetTable[Date],3,2)="02"),BetTable[Result])</f>
        <v>0</v>
      </c>
      <c r="W20" s="25" t="s">
        <v>55</v>
      </c>
      <c r="X20" s="23">
        <f>IFERROR(Month201229111327[[#This Row],[LayAmount]]+Month201229111327[[#This Row],[BackAmount]],"")</f>
        <v>0</v>
      </c>
      <c r="Y20" s="16">
        <f>SUMPRODUCT(--(LEFT(LayTable[Date],2)=Y$17),--(MID(LayTable[Date],3,2)="02"),LayTable[AR])</f>
        <v>0</v>
      </c>
      <c r="Z20" s="23">
        <f>SUMPRODUCT(--(LEFT(BetTable[Date],2)=Y$17),--(MID(BetTable[Date],3,2)="02"),BetTable[Result])</f>
        <v>0</v>
      </c>
    </row>
    <row r="21" spans="3:29" x14ac:dyDescent="0.25">
      <c r="C21" s="25" t="s">
        <v>54</v>
      </c>
      <c r="D21" s="23">
        <f>IFERROR(Month20122911[[#This Row],[LayAmount]]+Month20122911[[#This Row],[BackAmount]],"")</f>
        <v>0</v>
      </c>
      <c r="E21" s="16">
        <f>SUMPRODUCT(--(LEFT(LayTable[Date],2)=E$17),--(MID(LayTable[Date],3,2)="03"),LayTable[AR])</f>
        <v>0</v>
      </c>
      <c r="F21" s="23">
        <f>SUMPRODUCT(--(LEFT(BetTable[Date],2)=E$17),--(MID(BetTable[Date],3,2)="03"),BetTable[Result])</f>
        <v>0</v>
      </c>
      <c r="H21" s="25" t="s">
        <v>54</v>
      </c>
      <c r="I21" s="23">
        <f>IFERROR(Month2012291113[[#This Row],[LayAmount]]+Month2012291113[[#This Row],[BackAmount]],"")</f>
        <v>0</v>
      </c>
      <c r="J21" s="16">
        <f>SUMPRODUCT(--(LEFT(LayTable[Date],2)=J$17),--(MID(LayTable[Date],3,2)="03"),LayTable[AR])</f>
        <v>0</v>
      </c>
      <c r="K21" s="23">
        <f>SUMPRODUCT(--(LEFT(BetTable[Date],2)=J$17),--(MID(BetTable[Date],3,2)="03"),BetTable[Result])</f>
        <v>0</v>
      </c>
      <c r="M21" s="25" t="s">
        <v>54</v>
      </c>
      <c r="N21" s="23">
        <f>IFERROR(Month201229111325[[#This Row],[LayAmount]]+Month201229111325[[#This Row],[BackAmount]],"")</f>
        <v>0</v>
      </c>
      <c r="O21" s="16">
        <f>SUMPRODUCT(--(LEFT(LayTable[Date],2)=O$17),--(MID(LayTable[Date],3,2)="03"),LayTable[AR])</f>
        <v>0</v>
      </c>
      <c r="P21" s="23">
        <f>SUMPRODUCT(--(LEFT(BetTable[Date],2)=O$17),--(MID(BetTable[Date],3,2)="03"),BetTable[Result])</f>
        <v>0</v>
      </c>
      <c r="R21" s="25" t="s">
        <v>54</v>
      </c>
      <c r="S21" s="23">
        <f>IFERROR(Month201229111326[[#This Row],[LayAmount]]+Month201229111326[[#This Row],[BackAmount]],"")</f>
        <v>0</v>
      </c>
      <c r="T21" s="16">
        <f>SUMPRODUCT(--(LEFT(LayTable[Date],2)=T$17),--(MID(LayTable[Date],3,2)="03"),LayTable[AR])</f>
        <v>0</v>
      </c>
      <c r="U21" s="23">
        <f>SUMPRODUCT(--(LEFT(BetTable[Date],2)=T$17),--(MID(BetTable[Date],3,2)="03"),BetTable[Result])</f>
        <v>0</v>
      </c>
      <c r="W21" s="25" t="s">
        <v>54</v>
      </c>
      <c r="X21" s="23">
        <f>IFERROR(Month201229111327[[#This Row],[LayAmount]]+Month201229111327[[#This Row],[BackAmount]],"")</f>
        <v>0</v>
      </c>
      <c r="Y21" s="16">
        <f>SUMPRODUCT(--(LEFT(LayTable[Date],2)=Y$17),--(MID(LayTable[Date],3,2)="03"),LayTable[AR])</f>
        <v>0</v>
      </c>
      <c r="Z21" s="23">
        <f>SUMPRODUCT(--(LEFT(BetTable[Date],2)=Y$17),--(MID(BetTable[Date],3,2)="03"),BetTable[Result])</f>
        <v>0</v>
      </c>
    </row>
    <row r="22" spans="3:29" x14ac:dyDescent="0.25">
      <c r="C22" s="25" t="s">
        <v>53</v>
      </c>
      <c r="D22" s="23">
        <f>IFERROR(Month20122911[[#This Row],[LayAmount]]+Month20122911[[#This Row],[BackAmount]],"")</f>
        <v>0</v>
      </c>
      <c r="E22" s="16">
        <f>SUMPRODUCT(--(LEFT(LayTable[Date],2)=E$17),--(MID(LayTable[Date],3,2)="04"),LayTable[AR])</f>
        <v>0</v>
      </c>
      <c r="F22" s="23">
        <f>SUMPRODUCT(--(LEFT(BetTable[Date],2)=E$17),--(MID(BetTable[Date],3,2)="04"),BetTable[Result])</f>
        <v>0</v>
      </c>
      <c r="H22" s="25" t="s">
        <v>53</v>
      </c>
      <c r="I22" s="23">
        <f>IFERROR(Month2012291113[[#This Row],[LayAmount]]+Month2012291113[[#This Row],[BackAmount]],"")</f>
        <v>0</v>
      </c>
      <c r="J22" s="16">
        <f>SUMPRODUCT(--(LEFT(LayTable[Date],2)=J$17),--(MID(LayTable[Date],3,2)="04"),LayTable[AR])</f>
        <v>0</v>
      </c>
      <c r="K22" s="23">
        <f>SUMPRODUCT(--(LEFT(BetTable[Date],2)=J$17),--(MID(BetTable[Date],3,2)="04"),BetTable[Result])</f>
        <v>0</v>
      </c>
      <c r="M22" s="25" t="s">
        <v>53</v>
      </c>
      <c r="N22" s="23">
        <f>IFERROR(Month201229111325[[#This Row],[LayAmount]]+Month201229111325[[#This Row],[BackAmount]],"")</f>
        <v>0</v>
      </c>
      <c r="O22" s="16">
        <f>SUMPRODUCT(--(LEFT(LayTable[Date],2)=O$17),--(MID(LayTable[Date],3,2)="04"),LayTable[AR])</f>
        <v>0</v>
      </c>
      <c r="P22" s="23">
        <f>SUMPRODUCT(--(LEFT(BetTable[Date],2)=O$17),--(MID(BetTable[Date],3,2)="04"),BetTable[Result])</f>
        <v>0</v>
      </c>
      <c r="R22" s="25" t="s">
        <v>53</v>
      </c>
      <c r="S22" s="23">
        <f>IFERROR(Month201229111326[[#This Row],[LayAmount]]+Month201229111326[[#This Row],[BackAmount]],"")</f>
        <v>0</v>
      </c>
      <c r="T22" s="16">
        <f>SUMPRODUCT(--(LEFT(LayTable[Date],2)=T$17),--(MID(LayTable[Date],3,2)="04"),LayTable[AR])</f>
        <v>0</v>
      </c>
      <c r="U22" s="23">
        <f>SUMPRODUCT(--(LEFT(BetTable[Date],2)=T$17),--(MID(BetTable[Date],3,2)="04"),BetTable[Result])</f>
        <v>0</v>
      </c>
      <c r="W22" s="25" t="s">
        <v>53</v>
      </c>
      <c r="X22" s="23">
        <f>IFERROR(Month201229111327[[#This Row],[LayAmount]]+Month201229111327[[#This Row],[BackAmount]],"")</f>
        <v>0</v>
      </c>
      <c r="Y22" s="16">
        <f>SUMPRODUCT(--(LEFT(LayTable[Date],2)=Y$17),--(MID(LayTable[Date],3,2)="04"),LayTable[AR])</f>
        <v>0</v>
      </c>
      <c r="Z22" s="23">
        <f>SUMPRODUCT(--(LEFT(BetTable[Date],2)=Y$17),--(MID(BetTable[Date],3,2)="04"),BetTable[Result])</f>
        <v>0</v>
      </c>
    </row>
    <row r="23" spans="3:29" x14ac:dyDescent="0.25">
      <c r="C23" s="25" t="s">
        <v>52</v>
      </c>
      <c r="D23" s="23">
        <f>IFERROR(Month20122911[[#This Row],[LayAmount]]+Month20122911[[#This Row],[BackAmount]],"")</f>
        <v>0</v>
      </c>
      <c r="E23" s="16">
        <f>SUMPRODUCT(--(LEFT(LayTable[Date],2)=E$17),--(MID(LayTable[Date],3,2)="05"),LayTable[AR])</f>
        <v>0</v>
      </c>
      <c r="F23" s="23">
        <f>SUMPRODUCT(--(LEFT(BetTable[Date],2)=E$17),--(MID(BetTable[Date],3,2)="05"),BetTable[Result])</f>
        <v>0</v>
      </c>
      <c r="H23" s="25" t="s">
        <v>52</v>
      </c>
      <c r="I23" s="23">
        <f>IFERROR(Month2012291113[[#This Row],[LayAmount]]+Month2012291113[[#This Row],[BackAmount]],"")</f>
        <v>0</v>
      </c>
      <c r="J23" s="16">
        <f>SUMPRODUCT(--(LEFT(LayTable[Date],2)=J$17),--(MID(LayTable[Date],3,2)="05"),LayTable[AR])</f>
        <v>0</v>
      </c>
      <c r="K23" s="23">
        <f>SUMPRODUCT(--(LEFT(BetTable[Date],2)=J$17),--(MID(BetTable[Date],3,2)="05"),BetTable[Result])</f>
        <v>0</v>
      </c>
      <c r="M23" s="25" t="s">
        <v>52</v>
      </c>
      <c r="N23" s="23">
        <f>IFERROR(Month201229111325[[#This Row],[LayAmount]]+Month201229111325[[#This Row],[BackAmount]],"")</f>
        <v>0</v>
      </c>
      <c r="O23" s="16">
        <f>SUMPRODUCT(--(LEFT(LayTable[Date],2)=O$17),--(MID(LayTable[Date],3,2)="05"),LayTable[AR])</f>
        <v>0</v>
      </c>
      <c r="P23" s="23">
        <f>SUMPRODUCT(--(LEFT(BetTable[Date],2)=O$17),--(MID(BetTable[Date],3,2)="05"),BetTable[Result])</f>
        <v>0</v>
      </c>
      <c r="R23" s="25" t="s">
        <v>52</v>
      </c>
      <c r="S23" s="23">
        <f>IFERROR(Month201229111326[[#This Row],[LayAmount]]+Month201229111326[[#This Row],[BackAmount]],"")</f>
        <v>0</v>
      </c>
      <c r="T23" s="16">
        <f>SUMPRODUCT(--(LEFT(LayTable[Date],2)=T$17),--(MID(LayTable[Date],3,2)="05"),LayTable[AR])</f>
        <v>0</v>
      </c>
      <c r="U23" s="23">
        <f>SUMPRODUCT(--(LEFT(BetTable[Date],2)=T$17),--(MID(BetTable[Date],3,2)="05"),BetTable[Result])</f>
        <v>0</v>
      </c>
      <c r="W23" s="25" t="s">
        <v>52</v>
      </c>
      <c r="X23" s="23">
        <f>IFERROR(Month201229111327[[#This Row],[LayAmount]]+Month201229111327[[#This Row],[BackAmount]],"")</f>
        <v>0</v>
      </c>
      <c r="Y23" s="16">
        <f>SUMPRODUCT(--(LEFT(LayTable[Date],2)=Y$17),--(MID(LayTable[Date],3,2)="05"),LayTable[AR])</f>
        <v>0</v>
      </c>
      <c r="Z23" s="23">
        <f>SUMPRODUCT(--(LEFT(BetTable[Date],2)=Y$17),--(MID(BetTable[Date],3,2)="05"),BetTable[Result])</f>
        <v>0</v>
      </c>
    </row>
    <row r="24" spans="3:29" x14ac:dyDescent="0.25">
      <c r="C24" s="25" t="s">
        <v>45</v>
      </c>
      <c r="D24" s="23">
        <f>IFERROR(Month20122911[[#This Row],[LayAmount]]+Month20122911[[#This Row],[BackAmount]],"")</f>
        <v>0</v>
      </c>
      <c r="E24" s="16">
        <f>SUMPRODUCT(--(LEFT(LayTable[Date],2)=E$17),--(MID(LayTable[Date],3,2)="06"),LayTable[AR])</f>
        <v>0</v>
      </c>
      <c r="F24" s="23">
        <f>SUMPRODUCT(--(LEFT(BetTable[Date],2)=E$17),--(MID(BetTable[Date],3,2)="06"),BetTable[Result])</f>
        <v>0</v>
      </c>
      <c r="H24" s="25" t="s">
        <v>45</v>
      </c>
      <c r="I24" s="23">
        <f>IFERROR(Month2012291113[[#This Row],[LayAmount]]+Month2012291113[[#This Row],[BackAmount]],"")</f>
        <v>0</v>
      </c>
      <c r="J24" s="16">
        <f>SUMPRODUCT(--(LEFT(LayTable[Date],2)=J$17),--(MID(LayTable[Date],3,2)="06"),LayTable[AR])</f>
        <v>0</v>
      </c>
      <c r="K24" s="23">
        <f>SUMPRODUCT(--(LEFT(BetTable[Date],2)=J$17),--(MID(BetTable[Date],3,2)="06"),BetTable[Result])</f>
        <v>0</v>
      </c>
      <c r="M24" s="25" t="s">
        <v>45</v>
      </c>
      <c r="N24" s="23">
        <f>IFERROR(Month201229111325[[#This Row],[LayAmount]]+Month201229111325[[#This Row],[BackAmount]],"")</f>
        <v>0</v>
      </c>
      <c r="O24" s="16">
        <f>SUMPRODUCT(--(LEFT(LayTable[Date],2)=O$17),--(MID(LayTable[Date],3,2)="06"),LayTable[AR])</f>
        <v>0</v>
      </c>
      <c r="P24" s="23">
        <f>SUMPRODUCT(--(LEFT(BetTable[Date],2)=O$17),--(MID(BetTable[Date],3,2)="06"),BetTable[Result])</f>
        <v>0</v>
      </c>
      <c r="R24" s="25" t="s">
        <v>45</v>
      </c>
      <c r="S24" s="23">
        <f>IFERROR(Month201229111326[[#This Row],[LayAmount]]+Month201229111326[[#This Row],[BackAmount]],"")</f>
        <v>0</v>
      </c>
      <c r="T24" s="16">
        <f>SUMPRODUCT(--(LEFT(LayTable[Date],2)=T$17),--(MID(LayTable[Date],3,2)="06"),LayTable[AR])</f>
        <v>0</v>
      </c>
      <c r="U24" s="23">
        <f>SUMPRODUCT(--(LEFT(BetTable[Date],2)=T$17),--(MID(BetTable[Date],3,2)="06"),BetTable[Result])</f>
        <v>0</v>
      </c>
      <c r="W24" s="25" t="s">
        <v>45</v>
      </c>
      <c r="X24" s="23">
        <f>IFERROR(Month201229111327[[#This Row],[LayAmount]]+Month201229111327[[#This Row],[BackAmount]],"")</f>
        <v>0</v>
      </c>
      <c r="Y24" s="16">
        <f>SUMPRODUCT(--(LEFT(LayTable[Date],2)=Y$17),--(MID(LayTable[Date],3,2)="06"),LayTable[AR])</f>
        <v>0</v>
      </c>
      <c r="Z24" s="23">
        <f>SUMPRODUCT(--(LEFT(BetTable[Date],2)=Y$17),--(MID(BetTable[Date],3,2)="06"),BetTable[Result])</f>
        <v>0</v>
      </c>
    </row>
    <row r="25" spans="3:29" x14ac:dyDescent="0.25">
      <c r="C25" s="25" t="s">
        <v>46</v>
      </c>
      <c r="D25" s="23">
        <f>IFERROR(Month20122911[[#This Row],[LayAmount]]+Month20122911[[#This Row],[BackAmount]],"")</f>
        <v>0</v>
      </c>
      <c r="E25" s="16">
        <f>SUMPRODUCT(--(LEFT(LayTable[Date],2)=E$17),--(MID(LayTable[Date],3,2)="07"),LayTable[AR])</f>
        <v>0</v>
      </c>
      <c r="F25" s="23">
        <f>SUMPRODUCT(--(LEFT(BetTable[Date],2)=E$17),--(MID(BetTable[Date],3,2)="07"),BetTable[Result])</f>
        <v>0</v>
      </c>
      <c r="H25" s="25" t="s">
        <v>46</v>
      </c>
      <c r="I25" s="23">
        <f>IFERROR(Month2012291113[[#This Row],[LayAmount]]+Month2012291113[[#This Row],[BackAmount]],"")</f>
        <v>0</v>
      </c>
      <c r="J25" s="16">
        <f>SUMPRODUCT(--(LEFT(LayTable[Date],2)=J$17),--(MID(LayTable[Date],3,2)="07"),LayTable[AR])</f>
        <v>0</v>
      </c>
      <c r="K25" s="23">
        <f>SUMPRODUCT(--(LEFT(BetTable[Date],2)=J$17),--(MID(BetTable[Date],3,2)="07"),BetTable[Result])</f>
        <v>0</v>
      </c>
      <c r="M25" s="25" t="s">
        <v>46</v>
      </c>
      <c r="N25" s="23">
        <f>IFERROR(Month201229111325[[#This Row],[LayAmount]]+Month201229111325[[#This Row],[BackAmount]],"")</f>
        <v>0</v>
      </c>
      <c r="O25" s="16">
        <f>SUMPRODUCT(--(LEFT(LayTable[Date],2)=O$17),--(MID(LayTable[Date],3,2)="07"),LayTable[AR])</f>
        <v>0</v>
      </c>
      <c r="P25" s="23">
        <f>SUMPRODUCT(--(LEFT(BetTable[Date],2)=O$17),--(MID(BetTable[Date],3,2)="07"),BetTable[Result])</f>
        <v>0</v>
      </c>
      <c r="R25" s="25" t="s">
        <v>46</v>
      </c>
      <c r="S25" s="23">
        <f>IFERROR(Month201229111326[[#This Row],[LayAmount]]+Month201229111326[[#This Row],[BackAmount]],"")</f>
        <v>0</v>
      </c>
      <c r="T25" s="16">
        <f>SUMPRODUCT(--(LEFT(LayTable[Date],2)=T$17),--(MID(LayTable[Date],3,2)="07"),LayTable[AR])</f>
        <v>0</v>
      </c>
      <c r="U25" s="23">
        <f>SUMPRODUCT(--(LEFT(BetTable[Date],2)=T$17),--(MID(BetTable[Date],3,2)="07"),BetTable[Result])</f>
        <v>0</v>
      </c>
      <c r="W25" s="25" t="s">
        <v>46</v>
      </c>
      <c r="X25" s="23">
        <f>IFERROR(Month201229111327[[#This Row],[LayAmount]]+Month201229111327[[#This Row],[BackAmount]],"")</f>
        <v>0</v>
      </c>
      <c r="Y25" s="16">
        <f>SUMPRODUCT(--(LEFT(LayTable[Date],2)=Y$17),--(MID(LayTable[Date],3,2)="07"),LayTable[AR])</f>
        <v>0</v>
      </c>
      <c r="Z25" s="23">
        <f>SUMPRODUCT(--(LEFT(BetTable[Date],2)=Y$17),--(MID(BetTable[Date],3,2)="07"),BetTable[Result])</f>
        <v>0</v>
      </c>
    </row>
    <row r="26" spans="3:29" x14ac:dyDescent="0.25">
      <c r="C26" s="25" t="s">
        <v>47</v>
      </c>
      <c r="D26" s="23">
        <f>IFERROR(Month20122911[[#This Row],[LayAmount]]+Month20122911[[#This Row],[BackAmount]],"")</f>
        <v>0</v>
      </c>
      <c r="E26" s="16">
        <f>SUMPRODUCT(--(LEFT(LayTable[Date],2)=E$17),--(MID(LayTable[Date],3,2)="08"),LayTable[AR])</f>
        <v>0</v>
      </c>
      <c r="F26" s="23">
        <f>SUMPRODUCT(--(LEFT(BetTable[Date],2)=E$17),--(MID(BetTable[Date],3,2)="08"),BetTable[Result])</f>
        <v>0</v>
      </c>
      <c r="H26" s="25" t="s">
        <v>47</v>
      </c>
      <c r="I26" s="23">
        <f>IFERROR(Month2012291113[[#This Row],[LayAmount]]+Month2012291113[[#This Row],[BackAmount]],"")</f>
        <v>0</v>
      </c>
      <c r="J26" s="16">
        <f>SUMPRODUCT(--(LEFT(LayTable[Date],2)=J$17),--(MID(LayTable[Date],3,2)="08"),LayTable[AR])</f>
        <v>0</v>
      </c>
      <c r="K26" s="23">
        <f>SUMPRODUCT(--(LEFT(BetTable[Date],2)=J$17),--(MID(BetTable[Date],3,2)="08"),BetTable[Result])</f>
        <v>0</v>
      </c>
      <c r="M26" s="25" t="s">
        <v>47</v>
      </c>
      <c r="N26" s="23">
        <f>IFERROR(Month201229111325[[#This Row],[LayAmount]]+Month201229111325[[#This Row],[BackAmount]],"")</f>
        <v>0</v>
      </c>
      <c r="O26" s="16">
        <f>SUMPRODUCT(--(LEFT(LayTable[Date],2)=O$17),--(MID(LayTable[Date],3,2)="08"),LayTable[AR])</f>
        <v>0</v>
      </c>
      <c r="P26" s="23">
        <f>SUMPRODUCT(--(LEFT(BetTable[Date],2)=O$17),--(MID(BetTable[Date],3,2)="08"),BetTable[Result])</f>
        <v>0</v>
      </c>
      <c r="R26" s="25" t="s">
        <v>47</v>
      </c>
      <c r="S26" s="23">
        <f>IFERROR(Month201229111326[[#This Row],[LayAmount]]+Month201229111326[[#This Row],[BackAmount]],"")</f>
        <v>0</v>
      </c>
      <c r="T26" s="16">
        <f>SUMPRODUCT(--(LEFT(LayTable[Date],2)=T$17),--(MID(LayTable[Date],3,2)="08"),LayTable[AR])</f>
        <v>0</v>
      </c>
      <c r="U26" s="23">
        <f>SUMPRODUCT(--(LEFT(BetTable[Date],2)=T$17),--(MID(BetTable[Date],3,2)="08"),BetTable[Result])</f>
        <v>0</v>
      </c>
      <c r="W26" s="25" t="s">
        <v>47</v>
      </c>
      <c r="X26" s="23">
        <f>IFERROR(Month201229111327[[#This Row],[LayAmount]]+Month201229111327[[#This Row],[BackAmount]],"")</f>
        <v>0</v>
      </c>
      <c r="Y26" s="16">
        <f>SUMPRODUCT(--(LEFT(LayTable[Date],2)=Y$17),--(MID(LayTable[Date],3,2)="08"),LayTable[AR])</f>
        <v>0</v>
      </c>
      <c r="Z26" s="23">
        <f>SUMPRODUCT(--(LEFT(BetTable[Date],2)=Y$17),--(MID(BetTable[Date],3,2)="08"),BetTable[Result])</f>
        <v>0</v>
      </c>
    </row>
    <row r="27" spans="3:29" x14ac:dyDescent="0.25">
      <c r="C27" s="25" t="s">
        <v>48</v>
      </c>
      <c r="D27" s="23">
        <f>IFERROR(Month20122911[[#This Row],[LayAmount]]+Month20122911[[#This Row],[BackAmount]],"")</f>
        <v>0</v>
      </c>
      <c r="E27" s="16">
        <f>SUMPRODUCT(--(LEFT(LayTable[Date],2)=E$17),--(MID(LayTable[Date],3,2)="09"),LayTable[AR])</f>
        <v>0</v>
      </c>
      <c r="F27" s="23">
        <f>SUMPRODUCT(--(LEFT(BetTable[Date],2)=E$17),--(MID(BetTable[Date],3,2)="09"),BetTable[Result])</f>
        <v>0</v>
      </c>
      <c r="H27" s="25" t="s">
        <v>48</v>
      </c>
      <c r="I27" s="23">
        <f>IFERROR(Month2012291113[[#This Row],[LayAmount]]+Month2012291113[[#This Row],[BackAmount]],"")</f>
        <v>0</v>
      </c>
      <c r="J27" s="16">
        <f>SUMPRODUCT(--(LEFT(LayTable[Date],2)=J$17),--(MID(LayTable[Date],3,2)="09"),LayTable[AR])</f>
        <v>0</v>
      </c>
      <c r="K27" s="23">
        <f>SUMPRODUCT(--(LEFT(BetTable[Date],2)=J$17),--(MID(BetTable[Date],3,2)="09"),BetTable[Result])</f>
        <v>0</v>
      </c>
      <c r="M27" s="25" t="s">
        <v>48</v>
      </c>
      <c r="N27" s="23">
        <f>IFERROR(Month201229111325[[#This Row],[LayAmount]]+Month201229111325[[#This Row],[BackAmount]],"")</f>
        <v>0</v>
      </c>
      <c r="O27" s="16">
        <f>SUMPRODUCT(--(LEFT(LayTable[Date],2)=O$17),--(MID(LayTable[Date],3,2)="09"),LayTable[AR])</f>
        <v>0</v>
      </c>
      <c r="P27" s="23">
        <f>SUMPRODUCT(--(LEFT(BetTable[Date],2)=O$17),--(MID(BetTable[Date],3,2)="09"),BetTable[Result])</f>
        <v>0</v>
      </c>
      <c r="R27" s="25" t="s">
        <v>48</v>
      </c>
      <c r="S27" s="23">
        <f>IFERROR(Month201229111326[[#This Row],[LayAmount]]+Month201229111326[[#This Row],[BackAmount]],"")</f>
        <v>0</v>
      </c>
      <c r="T27" s="16">
        <f>SUMPRODUCT(--(LEFT(LayTable[Date],2)=T$17),--(MID(LayTable[Date],3,2)="09"),LayTable[AR])</f>
        <v>0</v>
      </c>
      <c r="U27" s="23">
        <f>SUMPRODUCT(--(LEFT(BetTable[Date],2)=T$17),--(MID(BetTable[Date],3,2)="09"),BetTable[Result])</f>
        <v>0</v>
      </c>
      <c r="W27" s="25" t="s">
        <v>48</v>
      </c>
      <c r="X27" s="23">
        <f>IFERROR(Month201229111327[[#This Row],[LayAmount]]+Month201229111327[[#This Row],[BackAmount]],"")</f>
        <v>0</v>
      </c>
      <c r="Y27" s="16">
        <f>SUMPRODUCT(--(LEFT(LayTable[Date],2)=Y$17),--(MID(LayTable[Date],3,2)="09"),LayTable[AR])</f>
        <v>0</v>
      </c>
      <c r="Z27" s="23">
        <f>SUMPRODUCT(--(LEFT(BetTable[Date],2)=Y$17),--(MID(BetTable[Date],3,2)="09"),BetTable[Result])</f>
        <v>0</v>
      </c>
    </row>
    <row r="28" spans="3:29" x14ac:dyDescent="0.25">
      <c r="C28" s="25" t="s">
        <v>49</v>
      </c>
      <c r="D28" s="23">
        <f>IFERROR(Month20122911[[#This Row],[LayAmount]]+Month20122911[[#This Row],[BackAmount]],"")</f>
        <v>865.87925000000064</v>
      </c>
      <c r="E28" s="16">
        <f>SUMPRODUCT(--(LEFT(LayTable[Date],2)=E$17),--(MID(LayTable[Date],3,2)="10"),LayTable[AR])</f>
        <v>0</v>
      </c>
      <c r="F28" s="23">
        <f>SUMPRODUCT(--(LEFT(BetTable[Date],2)=E$17),--(MID(BetTable[Date],3,2)="10"),BetTable[Result])</f>
        <v>865.87925000000064</v>
      </c>
      <c r="H28" s="25" t="s">
        <v>49</v>
      </c>
      <c r="I28" s="23">
        <f>IFERROR(Month2012291113[[#This Row],[LayAmount]]+Month2012291113[[#This Row],[BackAmount]],"")</f>
        <v>0</v>
      </c>
      <c r="J28" s="16">
        <f>SUMPRODUCT(--(LEFT(LayTable[Date],2)=J$17),--(MID(LayTable[Date],3,2)="10"),LayTable[AR])</f>
        <v>0</v>
      </c>
      <c r="K28" s="23">
        <f>SUMPRODUCT(--(LEFT(BetTable[Date],2)=J$17),--(MID(BetTable[Date],3,2)="10"),BetTable[Result])</f>
        <v>0</v>
      </c>
      <c r="M28" s="25" t="s">
        <v>49</v>
      </c>
      <c r="N28" s="23">
        <f>IFERROR(Month201229111325[[#This Row],[LayAmount]]+Month201229111325[[#This Row],[BackAmount]],"")</f>
        <v>0</v>
      </c>
      <c r="O28" s="16">
        <f>SUMPRODUCT(--(LEFT(LayTable[Date],2)=O$17),--(MID(LayTable[Date],3,2)="10"),LayTable[AR])</f>
        <v>0</v>
      </c>
      <c r="P28" s="23">
        <f>SUMPRODUCT(--(LEFT(BetTable[Date],2)=O$17),--(MID(BetTable[Date],3,2)="10"),BetTable[Result])</f>
        <v>0</v>
      </c>
      <c r="R28" s="25" t="s">
        <v>49</v>
      </c>
      <c r="S28" s="23">
        <f>IFERROR(Month201229111326[[#This Row],[LayAmount]]+Month201229111326[[#This Row],[BackAmount]],"")</f>
        <v>0</v>
      </c>
      <c r="T28" s="16">
        <f>SUMPRODUCT(--(LEFT(LayTable[Date],2)=T$17),--(MID(LayTable[Date],3,2)="10"),LayTable[AR])</f>
        <v>0</v>
      </c>
      <c r="U28" s="23">
        <f>SUMPRODUCT(--(LEFT(BetTable[Date],2)=T$17),--(MID(BetTable[Date],3,2)="10"),BetTable[Result])</f>
        <v>0</v>
      </c>
      <c r="W28" s="25" t="s">
        <v>49</v>
      </c>
      <c r="X28" s="23">
        <f>IFERROR(Month201229111327[[#This Row],[LayAmount]]+Month201229111327[[#This Row],[BackAmount]],"")</f>
        <v>0</v>
      </c>
      <c r="Y28" s="16">
        <f>SUMPRODUCT(--(LEFT(LayTable[Date],2)=Y$17),--(MID(LayTable[Date],3,2)="10"),LayTable[AR])</f>
        <v>0</v>
      </c>
      <c r="Z28" s="23">
        <f>SUMPRODUCT(--(LEFT(BetTable[Date],2)=Y$17),--(MID(BetTable[Date],3,2)="10"),BetTable[Result])</f>
        <v>0</v>
      </c>
    </row>
    <row r="29" spans="3:29" x14ac:dyDescent="0.25">
      <c r="C29" s="25" t="s">
        <v>50</v>
      </c>
      <c r="D29" s="23">
        <f>IFERROR(Month20122911[[#This Row],[LayAmount]]+Month20122911[[#This Row],[BackAmount]],"")</f>
        <v>1189.5265000000013</v>
      </c>
      <c r="E29" s="16">
        <f>SUMPRODUCT(--(LEFT(LayTable[Date],2)=E$17),--(MID(LayTable[Date],3,2)="11"),LayTable[AR])</f>
        <v>0</v>
      </c>
      <c r="F29" s="23">
        <f>SUMPRODUCT(--(LEFT(BetTable[Date],2)=E$17),--(MID(BetTable[Date],3,2)="11"),BetTable[Result])</f>
        <v>1189.5265000000013</v>
      </c>
      <c r="H29" s="25" t="s">
        <v>50</v>
      </c>
      <c r="I29" s="23">
        <f>IFERROR(Month2012291113[[#This Row],[LayAmount]]+Month2012291113[[#This Row],[BackAmount]],"")</f>
        <v>0</v>
      </c>
      <c r="J29" s="16">
        <f>SUMPRODUCT(--(LEFT(LayTable[Date],2)=J$17),--(MID(LayTable[Date],3,2)="11"),LayTable[AR])</f>
        <v>0</v>
      </c>
      <c r="K29" s="23">
        <f>SUMPRODUCT(--(LEFT(BetTable[Date],2)=J$17),--(MID(BetTable[Date],3,2)="11"),BetTable[Result])</f>
        <v>0</v>
      </c>
      <c r="M29" s="25" t="s">
        <v>50</v>
      </c>
      <c r="N29" s="23">
        <f>IFERROR(Month201229111325[[#This Row],[LayAmount]]+Month201229111325[[#This Row],[BackAmount]],"")</f>
        <v>0</v>
      </c>
      <c r="O29" s="16">
        <f>SUMPRODUCT(--(LEFT(LayTable[Date],2)=O$17),--(MID(LayTable[Date],3,2)="11"),LayTable[AR])</f>
        <v>0</v>
      </c>
      <c r="P29" s="23">
        <f>SUMPRODUCT(--(LEFT(BetTable[Date],2)=O$17),--(MID(BetTable[Date],3,2)="11"),BetTable[Result])</f>
        <v>0</v>
      </c>
      <c r="R29" s="25" t="s">
        <v>50</v>
      </c>
      <c r="S29" s="23">
        <f>IFERROR(Month201229111326[[#This Row],[LayAmount]]+Month201229111326[[#This Row],[BackAmount]],"")</f>
        <v>0</v>
      </c>
      <c r="T29" s="16">
        <f>SUMPRODUCT(--(LEFT(LayTable[Date],2)=T$17),--(MID(LayTable[Date],3,2)="11"),LayTable[AR])</f>
        <v>0</v>
      </c>
      <c r="U29" s="23">
        <f>SUMPRODUCT(--(LEFT(BetTable[Date],2)=T$17),--(MID(BetTable[Date],3,2)="11"),BetTable[Result])</f>
        <v>0</v>
      </c>
      <c r="W29" s="25" t="s">
        <v>50</v>
      </c>
      <c r="X29" s="23">
        <f>IFERROR(Month201229111327[[#This Row],[LayAmount]]+Month201229111327[[#This Row],[BackAmount]],"")</f>
        <v>0</v>
      </c>
      <c r="Y29" s="16">
        <f>SUMPRODUCT(--(LEFT(LayTable[Date],2)=Y$17),--(MID(LayTable[Date],3,2)="11"),LayTable[AR])</f>
        <v>0</v>
      </c>
      <c r="Z29" s="23">
        <f>SUMPRODUCT(--(LEFT(BetTable[Date],2)=Y$17),--(MID(BetTable[Date],3,2)="11"),BetTable[Result])</f>
        <v>0</v>
      </c>
    </row>
    <row r="30" spans="3:29" ht="15.75" thickBot="1" x14ac:dyDescent="0.3">
      <c r="C30" s="26" t="s">
        <v>51</v>
      </c>
      <c r="D30" s="24">
        <f>IFERROR(Month20122911[[#This Row],[LayAmount]]+Month20122911[[#This Row],[BackAmount]],"")</f>
        <v>0</v>
      </c>
      <c r="E30" s="16">
        <f>SUMPRODUCT(--(LEFT(LayTable[Date],2)=E$17),--(MID(LayTable[Date],3,2)="12"),LayTable[AR])</f>
        <v>0</v>
      </c>
      <c r="F30" s="24">
        <f>SUMPRODUCT(--(LEFT(BetTable[Date],2)=E$17),--(MID(BetTable[Date],3,2)="12"),BetTable[Result])</f>
        <v>0</v>
      </c>
      <c r="H30" s="26" t="s">
        <v>51</v>
      </c>
      <c r="I30" s="24">
        <f>IFERROR(Month2012291113[[#This Row],[LayAmount]]+Month2012291113[[#This Row],[BackAmount]],"")</f>
        <v>0</v>
      </c>
      <c r="J30" s="16">
        <f>SUMPRODUCT(--(LEFT(LayTable[Date],2)=J$17),--(MID(LayTable[Date],3,2)="12"),LayTable[AR])</f>
        <v>0</v>
      </c>
      <c r="K30" s="24">
        <f>SUMPRODUCT(--(LEFT(BetTable[Date],2)=J$17),--(MID(BetTable[Date],3,2)="12"),BetTable[Result])</f>
        <v>0</v>
      </c>
      <c r="M30" s="26" t="s">
        <v>51</v>
      </c>
      <c r="N30" s="24">
        <f>IFERROR(Month201229111325[[#This Row],[LayAmount]]+Month201229111325[[#This Row],[BackAmount]],"")</f>
        <v>0</v>
      </c>
      <c r="O30" s="16">
        <f>SUMPRODUCT(--(LEFT(LayTable[Date],2)=O$17),--(MID(LayTable[Date],3,2)="12"),LayTable[AR])</f>
        <v>0</v>
      </c>
      <c r="P30" s="24">
        <f>SUMPRODUCT(--(LEFT(BetTable[Date],2)=O$17),--(MID(BetTable[Date],3,2)="12"),BetTable[Result])</f>
        <v>0</v>
      </c>
      <c r="R30" s="26" t="s">
        <v>51</v>
      </c>
      <c r="S30" s="24">
        <f>IFERROR(Month201229111326[[#This Row],[LayAmount]]+Month201229111326[[#This Row],[BackAmount]],"")</f>
        <v>0</v>
      </c>
      <c r="T30" s="16">
        <f>SUMPRODUCT(--(LEFT(LayTable[Date],2)=T$17),--(MID(LayTable[Date],3,2)="12"),LayTable[AR])</f>
        <v>0</v>
      </c>
      <c r="U30" s="24">
        <f>SUMPRODUCT(--(LEFT(BetTable[Date],2)=T$17),--(MID(BetTable[Date],3,2)="12"),BetTable[Result])</f>
        <v>0</v>
      </c>
      <c r="W30" s="26" t="s">
        <v>51</v>
      </c>
      <c r="X30" s="24">
        <f>IFERROR(Month201229111327[[#This Row],[LayAmount]]+Month201229111327[[#This Row],[BackAmount]],"")</f>
        <v>0</v>
      </c>
      <c r="Y30" s="16">
        <f>SUMPRODUCT(--(LEFT(LayTable[Date],2)=Y$17),--(MID(LayTable[Date],3,2)="12"),LayTable[AR])</f>
        <v>0</v>
      </c>
      <c r="Z30" s="24">
        <f>SUMPRODUCT(--(LEFT(BetTable[Date],2)=Y$17),--(MID(BetTable[Date],3,2)="12"),BetTable[Result])</f>
        <v>0</v>
      </c>
    </row>
  </sheetData>
  <mergeCells count="12">
    <mergeCell ref="AB2:AC2"/>
    <mergeCell ref="AG2:AH2"/>
    <mergeCell ref="C17:D17"/>
    <mergeCell ref="H17:I17"/>
    <mergeCell ref="R2:S2"/>
    <mergeCell ref="C2:D2"/>
    <mergeCell ref="H2:I2"/>
    <mergeCell ref="M2:N2"/>
    <mergeCell ref="W2:X2"/>
    <mergeCell ref="M17:N17"/>
    <mergeCell ref="R17:S17"/>
    <mergeCell ref="W17:X17"/>
  </mergeCells>
  <pageMargins left="0.7" right="0.7" top="0.75" bottom="0.75" header="0.3" footer="0.3"/>
  <pageSetup paperSize="9" orientation="portrait" r:id="rId1"/>
  <tableParts count="12">
    <tablePart r:id="rId2"/>
    <tablePart r:id="rId3"/>
    <tablePart r:id="rId4"/>
    <tablePart r:id="rId5"/>
    <tablePart r:id="rId6"/>
    <tablePart r:id="rId7"/>
    <tablePart r:id="rId8"/>
    <tablePart r:id="rId9"/>
    <tablePart r:id="rId10"/>
    <tablePart r:id="rId11"/>
    <tablePart r:id="rId12"/>
    <tablePart r:id="rId13"/>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0"/>
  <dimension ref="A8:Q138"/>
  <sheetViews>
    <sheetView showGridLines="0" showRowColHeaders="0" topLeftCell="A73" workbookViewId="0"/>
  </sheetViews>
  <sheetFormatPr defaultRowHeight="15" x14ac:dyDescent="0.25"/>
  <cols>
    <col min="1" max="1" width="3.140625" style="52" customWidth="1"/>
    <col min="2" max="2" width="4" customWidth="1"/>
    <col min="7" max="7" width="94.28515625" customWidth="1"/>
    <col min="11" max="11" width="38.5703125" customWidth="1"/>
    <col min="16" max="16" width="3.28515625" customWidth="1"/>
  </cols>
  <sheetData>
    <row r="8" spans="3:11" ht="18" x14ac:dyDescent="0.25">
      <c r="C8" s="280" t="s">
        <v>284</v>
      </c>
      <c r="D8" s="280"/>
      <c r="E8" s="280"/>
      <c r="F8" s="280"/>
      <c r="G8" s="280"/>
      <c r="H8" s="280"/>
      <c r="I8" s="280"/>
    </row>
    <row r="10" spans="3:11" x14ac:dyDescent="0.25">
      <c r="C10" s="274" t="s">
        <v>285</v>
      </c>
      <c r="D10" s="274"/>
      <c r="E10" s="274"/>
      <c r="F10" s="274"/>
      <c r="G10" s="274"/>
      <c r="H10" s="274"/>
      <c r="I10" s="274"/>
      <c r="J10" s="274"/>
      <c r="K10" s="274"/>
    </row>
    <row r="11" spans="3:11" x14ac:dyDescent="0.25">
      <c r="C11" s="274" t="s">
        <v>70</v>
      </c>
      <c r="D11" s="274"/>
      <c r="E11" s="274"/>
      <c r="F11" s="274"/>
      <c r="G11" s="274"/>
      <c r="H11" s="274"/>
      <c r="I11" s="274"/>
    </row>
    <row r="12" spans="3:11" s="153" customFormat="1" x14ac:dyDescent="0.25">
      <c r="C12" s="152" t="s">
        <v>321</v>
      </c>
      <c r="D12" s="152"/>
      <c r="E12" s="152"/>
      <c r="F12" s="152"/>
      <c r="G12" s="152"/>
      <c r="H12" s="152"/>
      <c r="I12" s="152"/>
    </row>
    <row r="14" spans="3:11" x14ac:dyDescent="0.25">
      <c r="C14" s="281" t="s">
        <v>320</v>
      </c>
      <c r="D14" s="281"/>
      <c r="E14" s="281"/>
      <c r="F14" s="281"/>
      <c r="G14" s="281"/>
      <c r="H14" s="281"/>
      <c r="I14" s="281"/>
      <c r="J14" s="281"/>
      <c r="K14" s="281"/>
    </row>
    <row r="15" spans="3:11" x14ac:dyDescent="0.25">
      <c r="C15" s="274" t="s">
        <v>319</v>
      </c>
      <c r="D15" s="274"/>
      <c r="E15" s="274"/>
      <c r="F15" s="274"/>
      <c r="G15" s="274"/>
      <c r="H15" s="274"/>
      <c r="I15" s="274"/>
      <c r="J15" s="274"/>
      <c r="K15" s="274"/>
    </row>
    <row r="16" spans="3:11" x14ac:dyDescent="0.25">
      <c r="C16" s="274" t="s">
        <v>286</v>
      </c>
      <c r="D16" s="274"/>
      <c r="E16" s="274"/>
      <c r="F16" s="274"/>
      <c r="G16" s="274"/>
      <c r="H16" s="274"/>
      <c r="I16" s="274"/>
      <c r="J16" s="274"/>
    </row>
    <row r="17" spans="1:12" x14ac:dyDescent="0.25">
      <c r="C17" s="274" t="s">
        <v>287</v>
      </c>
      <c r="D17" s="274"/>
      <c r="E17" s="274"/>
      <c r="F17" s="274"/>
      <c r="G17" s="274"/>
      <c r="H17" s="274"/>
    </row>
    <row r="19" spans="1:12" x14ac:dyDescent="0.25">
      <c r="C19" s="274" t="s">
        <v>61</v>
      </c>
      <c r="D19" s="274"/>
      <c r="E19" s="274"/>
      <c r="F19" s="274"/>
      <c r="G19" s="274"/>
      <c r="H19" s="274"/>
      <c r="I19" s="274"/>
      <c r="J19" s="274"/>
      <c r="K19" s="274"/>
      <c r="L19" s="274"/>
    </row>
    <row r="20" spans="1:12" s="43" customFormat="1" x14ac:dyDescent="0.25">
      <c r="A20" s="52"/>
      <c r="C20" s="274" t="s">
        <v>94</v>
      </c>
      <c r="D20" s="274"/>
      <c r="E20" s="274"/>
      <c r="F20" s="274"/>
      <c r="G20" s="274"/>
      <c r="H20" s="274"/>
      <c r="I20" s="274"/>
      <c r="J20" s="274"/>
      <c r="K20" s="274"/>
      <c r="L20" s="274"/>
    </row>
    <row r="21" spans="1:12" ht="15.75" thickBot="1" x14ac:dyDescent="0.3">
      <c r="C21" s="27" t="s">
        <v>95</v>
      </c>
      <c r="D21" s="37" t="s">
        <v>63</v>
      </c>
      <c r="E21" s="30"/>
    </row>
    <row r="23" spans="1:12" x14ac:dyDescent="0.25">
      <c r="C23" s="279" t="s">
        <v>288</v>
      </c>
      <c r="D23" s="279"/>
      <c r="E23" s="279"/>
      <c r="F23" s="279"/>
      <c r="G23" s="279"/>
      <c r="H23" s="279"/>
      <c r="I23" s="279"/>
      <c r="J23" s="279"/>
      <c r="K23" s="279"/>
    </row>
    <row r="24" spans="1:12" x14ac:dyDescent="0.25">
      <c r="C24" s="282" t="s">
        <v>289</v>
      </c>
      <c r="D24" s="282"/>
      <c r="E24" s="282"/>
      <c r="F24" s="282"/>
      <c r="G24" s="282"/>
      <c r="H24" s="282"/>
      <c r="I24" s="282"/>
      <c r="J24" s="282"/>
      <c r="K24" s="282"/>
      <c r="L24" s="282"/>
    </row>
    <row r="25" spans="1:12" x14ac:dyDescent="0.25">
      <c r="C25" s="274" t="s">
        <v>71</v>
      </c>
      <c r="D25" s="274"/>
      <c r="E25" s="274"/>
      <c r="F25" s="274"/>
      <c r="G25" s="274"/>
      <c r="H25" s="274"/>
      <c r="I25" s="274"/>
      <c r="J25" s="274"/>
      <c r="K25" s="274"/>
      <c r="L25" s="274"/>
    </row>
    <row r="26" spans="1:12" x14ac:dyDescent="0.25">
      <c r="C26" s="274" t="s">
        <v>72</v>
      </c>
      <c r="D26" s="274"/>
      <c r="E26" s="274"/>
      <c r="F26" s="274"/>
      <c r="G26" s="274"/>
      <c r="H26" s="274"/>
      <c r="I26" s="274"/>
      <c r="J26" s="274"/>
      <c r="K26" s="274"/>
    </row>
    <row r="27" spans="1:12" x14ac:dyDescent="0.25">
      <c r="C27" s="274" t="s">
        <v>73</v>
      </c>
      <c r="D27" s="274"/>
      <c r="E27" s="274"/>
      <c r="F27" s="274"/>
    </row>
    <row r="28" spans="1:12" s="42" customFormat="1" x14ac:dyDescent="0.25">
      <c r="A28" s="52"/>
      <c r="C28" s="41"/>
      <c r="D28" s="41"/>
      <c r="E28" s="41"/>
      <c r="F28" s="41"/>
    </row>
    <row r="29" spans="1:12" s="42" customFormat="1" x14ac:dyDescent="0.25">
      <c r="A29" s="52"/>
      <c r="C29" s="279" t="s">
        <v>123</v>
      </c>
      <c r="D29" s="279"/>
      <c r="E29" s="279"/>
      <c r="F29" s="279"/>
      <c r="G29" s="279"/>
      <c r="H29" s="279"/>
      <c r="I29" s="279"/>
      <c r="J29" s="279"/>
      <c r="K29" s="279"/>
      <c r="L29" s="279"/>
    </row>
    <row r="30" spans="1:12" s="42" customFormat="1" x14ac:dyDescent="0.25">
      <c r="A30" s="52"/>
      <c r="C30" s="284" t="s">
        <v>124</v>
      </c>
      <c r="D30" s="279"/>
      <c r="E30" s="279"/>
      <c r="F30" s="279"/>
      <c r="G30" s="279"/>
      <c r="H30" s="279"/>
      <c r="I30" s="279"/>
      <c r="J30" s="279"/>
      <c r="K30" s="279"/>
    </row>
    <row r="31" spans="1:12" s="42" customFormat="1" x14ac:dyDescent="0.25">
      <c r="A31" s="52"/>
      <c r="C31" s="285" t="s">
        <v>92</v>
      </c>
      <c r="D31" s="286"/>
      <c r="E31" s="286"/>
      <c r="F31" s="286"/>
      <c r="G31" s="286"/>
      <c r="H31" s="286"/>
      <c r="I31" s="286"/>
      <c r="J31" s="286"/>
      <c r="K31" s="286"/>
    </row>
    <row r="32" spans="1:12" s="40" customFormat="1" x14ac:dyDescent="0.25">
      <c r="A32" s="52"/>
      <c r="C32" s="39"/>
      <c r="D32" s="39"/>
      <c r="E32" s="39"/>
      <c r="F32" s="39"/>
    </row>
    <row r="33" spans="1:8" s="40" customFormat="1" x14ac:dyDescent="0.25">
      <c r="A33" s="52"/>
      <c r="C33" s="122" t="s">
        <v>290</v>
      </c>
      <c r="D33" s="39"/>
      <c r="E33" s="39"/>
      <c r="F33" s="39"/>
    </row>
    <row r="34" spans="1:8" s="42" customFormat="1" x14ac:dyDescent="0.25">
      <c r="A34" s="52"/>
      <c r="C34" s="41" t="s">
        <v>93</v>
      </c>
      <c r="D34" s="41"/>
      <c r="E34" s="41"/>
      <c r="F34" s="41"/>
    </row>
    <row r="35" spans="1:8" s="42" customFormat="1" x14ac:dyDescent="0.25">
      <c r="A35" s="52"/>
      <c r="C35" s="41"/>
      <c r="D35" s="41"/>
      <c r="E35" s="41"/>
      <c r="F35" s="41"/>
    </row>
    <row r="36" spans="1:8" s="42" customFormat="1" x14ac:dyDescent="0.25">
      <c r="A36" s="52"/>
      <c r="C36" s="45" t="s">
        <v>291</v>
      </c>
      <c r="D36" s="41"/>
      <c r="E36" s="41"/>
      <c r="F36" s="41"/>
    </row>
    <row r="37" spans="1:8" s="42" customFormat="1" x14ac:dyDescent="0.25">
      <c r="A37" s="52"/>
      <c r="C37" s="45" t="s">
        <v>292</v>
      </c>
      <c r="D37" s="41"/>
      <c r="E37" s="41"/>
      <c r="F37" s="41"/>
    </row>
    <row r="38" spans="1:8" s="55" customFormat="1" x14ac:dyDescent="0.25">
      <c r="C38" s="45"/>
      <c r="D38" s="54"/>
      <c r="E38" s="54"/>
      <c r="F38" s="54"/>
    </row>
    <row r="39" spans="1:8" s="55" customFormat="1" x14ac:dyDescent="0.25">
      <c r="C39" s="56" t="s">
        <v>126</v>
      </c>
      <c r="D39" s="54"/>
      <c r="E39" s="54"/>
      <c r="F39" s="54"/>
    </row>
    <row r="40" spans="1:8" s="143" customFormat="1" x14ac:dyDescent="0.25">
      <c r="C40" s="45" t="s">
        <v>280</v>
      </c>
      <c r="D40" s="142"/>
      <c r="E40" s="142"/>
      <c r="F40" s="142"/>
    </row>
    <row r="41" spans="1:8" x14ac:dyDescent="0.25">
      <c r="B41" s="37"/>
      <c r="C41" s="45" t="s">
        <v>283</v>
      </c>
      <c r="D41" s="37"/>
      <c r="E41" s="37"/>
      <c r="F41" s="37"/>
      <c r="G41" s="37"/>
      <c r="H41" s="37"/>
    </row>
    <row r="42" spans="1:8" s="147" customFormat="1" x14ac:dyDescent="0.25">
      <c r="B42" s="37"/>
      <c r="C42" s="45" t="s">
        <v>293</v>
      </c>
      <c r="D42" s="37"/>
      <c r="E42" s="37"/>
      <c r="F42" s="37"/>
      <c r="G42" s="37"/>
      <c r="H42" s="37"/>
    </row>
    <row r="43" spans="1:8" s="156" customFormat="1" x14ac:dyDescent="0.25">
      <c r="B43" s="37"/>
      <c r="C43" s="45" t="s">
        <v>328</v>
      </c>
      <c r="D43" s="37"/>
      <c r="E43" s="37"/>
      <c r="F43" s="37"/>
      <c r="G43" s="37"/>
      <c r="H43" s="37"/>
    </row>
    <row r="44" spans="1:8" s="157" customFormat="1" x14ac:dyDescent="0.25">
      <c r="B44" s="37"/>
      <c r="C44" s="45" t="s">
        <v>329</v>
      </c>
      <c r="D44" s="37"/>
      <c r="E44" s="37"/>
      <c r="F44" s="37"/>
      <c r="G44" s="37"/>
      <c r="H44" s="37"/>
    </row>
    <row r="45" spans="1:8" s="144" customFormat="1" x14ac:dyDescent="0.25">
      <c r="B45" s="37"/>
      <c r="C45" s="45"/>
      <c r="D45" s="37"/>
      <c r="E45" s="37"/>
      <c r="F45" s="37"/>
      <c r="G45" s="37"/>
      <c r="H45" s="37"/>
    </row>
    <row r="46" spans="1:8" x14ac:dyDescent="0.25">
      <c r="B46" s="10"/>
      <c r="C46" s="149"/>
      <c r="D46" s="149"/>
      <c r="E46" s="149"/>
      <c r="F46" s="149"/>
      <c r="G46" s="149"/>
      <c r="H46" s="10"/>
    </row>
    <row r="47" spans="1:8" ht="18" x14ac:dyDescent="0.25">
      <c r="B47" s="283" t="s">
        <v>64</v>
      </c>
      <c r="C47" s="283"/>
      <c r="D47" s="283"/>
    </row>
    <row r="49" spans="2:11" x14ac:dyDescent="0.25">
      <c r="B49" s="277" t="s">
        <v>162</v>
      </c>
      <c r="C49" s="277"/>
      <c r="D49" s="277"/>
      <c r="E49" s="277"/>
    </row>
    <row r="50" spans="2:11" x14ac:dyDescent="0.25">
      <c r="B50" s="278" t="s">
        <v>294</v>
      </c>
      <c r="C50" s="278"/>
      <c r="D50" s="278"/>
      <c r="E50" s="278"/>
      <c r="F50" s="278"/>
      <c r="G50" s="278"/>
      <c r="H50" s="278"/>
      <c r="I50" s="278"/>
      <c r="J50" s="278"/>
      <c r="K50" s="278"/>
    </row>
    <row r="51" spans="2:11" x14ac:dyDescent="0.25">
      <c r="B51" s="278" t="s">
        <v>295</v>
      </c>
      <c r="C51" s="278"/>
      <c r="D51" s="278"/>
      <c r="E51" s="278"/>
      <c r="F51" s="278"/>
      <c r="G51" s="278"/>
      <c r="H51" s="278"/>
      <c r="I51" s="278"/>
      <c r="J51" s="278"/>
      <c r="K51" s="278"/>
    </row>
    <row r="52" spans="2:11" x14ac:dyDescent="0.25">
      <c r="B52" s="31"/>
    </row>
    <row r="57" spans="2:11" x14ac:dyDescent="0.25">
      <c r="B57" s="287" t="s">
        <v>318</v>
      </c>
      <c r="C57" s="287"/>
      <c r="D57" s="287"/>
      <c r="E57" s="287"/>
      <c r="F57" s="287"/>
      <c r="G57" s="287"/>
      <c r="H57" s="29"/>
      <c r="I57" s="29"/>
      <c r="J57" s="29"/>
      <c r="K57" s="29"/>
    </row>
    <row r="58" spans="2:11" x14ac:dyDescent="0.25">
      <c r="B58" s="287" t="s">
        <v>316</v>
      </c>
      <c r="C58" s="287"/>
      <c r="D58" s="287"/>
      <c r="E58" s="287"/>
      <c r="F58" s="287"/>
      <c r="G58" s="287"/>
      <c r="H58" s="287"/>
      <c r="I58" s="287"/>
      <c r="J58" s="287"/>
      <c r="K58" s="287"/>
    </row>
    <row r="59" spans="2:11" x14ac:dyDescent="0.25">
      <c r="B59" s="287" t="s">
        <v>296</v>
      </c>
      <c r="C59" s="287"/>
      <c r="D59" s="287"/>
      <c r="E59" s="287"/>
      <c r="F59" s="287"/>
      <c r="G59" s="287"/>
      <c r="H59" s="287"/>
      <c r="I59" s="287"/>
      <c r="J59" s="287"/>
      <c r="K59" s="29"/>
    </row>
    <row r="60" spans="2:11" x14ac:dyDescent="0.25">
      <c r="B60" s="287" t="s">
        <v>297</v>
      </c>
      <c r="C60" s="287"/>
      <c r="D60" s="287"/>
      <c r="E60" s="287"/>
      <c r="F60" s="287"/>
      <c r="G60" s="287"/>
      <c r="H60" s="29"/>
      <c r="I60" s="29"/>
      <c r="J60" s="29"/>
      <c r="K60" s="29"/>
    </row>
    <row r="61" spans="2:11" x14ac:dyDescent="0.25">
      <c r="B61" s="287" t="s">
        <v>298</v>
      </c>
      <c r="C61" s="287"/>
      <c r="D61" s="287"/>
      <c r="E61" s="287"/>
      <c r="F61" s="287"/>
      <c r="G61" s="287"/>
      <c r="H61" s="29"/>
      <c r="I61" s="29"/>
      <c r="J61" s="29"/>
      <c r="K61" s="29"/>
    </row>
    <row r="62" spans="2:11" x14ac:dyDescent="0.25">
      <c r="B62" s="287" t="s">
        <v>299</v>
      </c>
      <c r="C62" s="287"/>
      <c r="D62" s="287"/>
      <c r="E62" s="287"/>
      <c r="F62" s="287"/>
      <c r="G62" s="287"/>
      <c r="H62" s="29"/>
      <c r="I62" s="29"/>
      <c r="J62" s="29"/>
      <c r="K62" s="29"/>
    </row>
    <row r="63" spans="2:11" x14ac:dyDescent="0.25">
      <c r="B63" s="287" t="s">
        <v>300</v>
      </c>
      <c r="C63" s="287"/>
      <c r="D63" s="287"/>
      <c r="E63" s="287"/>
      <c r="F63" s="287"/>
      <c r="G63" s="29"/>
      <c r="H63" s="29"/>
      <c r="I63" s="29"/>
      <c r="J63" s="29"/>
      <c r="K63" s="29"/>
    </row>
    <row r="64" spans="2:11" s="147" customFormat="1" x14ac:dyDescent="0.25">
      <c r="B64" s="287" t="s">
        <v>301</v>
      </c>
      <c r="C64" s="287"/>
      <c r="D64" s="287"/>
      <c r="E64" s="287"/>
      <c r="F64" s="287"/>
      <c r="G64" s="29"/>
      <c r="H64" s="29"/>
      <c r="I64" s="29"/>
      <c r="J64" s="29"/>
      <c r="K64" s="29"/>
    </row>
    <row r="65" spans="1:17" s="147" customFormat="1" x14ac:dyDescent="0.25">
      <c r="B65" s="287" t="s">
        <v>302</v>
      </c>
      <c r="C65" s="287"/>
      <c r="D65" s="287"/>
      <c r="E65" s="287"/>
      <c r="F65" s="287"/>
      <c r="G65" s="287"/>
      <c r="H65" s="29"/>
      <c r="I65" s="29"/>
      <c r="J65" s="29"/>
      <c r="K65" s="29"/>
    </row>
    <row r="66" spans="1:17" x14ac:dyDescent="0.25">
      <c r="B66" s="287" t="s">
        <v>303</v>
      </c>
      <c r="C66" s="287"/>
      <c r="D66" s="287"/>
      <c r="E66" s="287"/>
      <c r="F66" s="287"/>
      <c r="G66" s="287"/>
      <c r="H66" s="287"/>
      <c r="I66" s="29"/>
      <c r="J66" s="29"/>
      <c r="K66" s="29"/>
    </row>
    <row r="67" spans="1:17" x14ac:dyDescent="0.25">
      <c r="B67" s="287" t="s">
        <v>304</v>
      </c>
      <c r="C67" s="287"/>
      <c r="D67" s="287"/>
      <c r="E67" s="287"/>
      <c r="F67" s="287"/>
      <c r="G67" s="287"/>
      <c r="H67" s="287"/>
      <c r="I67" s="29"/>
      <c r="J67" s="29"/>
      <c r="K67" s="29"/>
    </row>
    <row r="68" spans="1:17" x14ac:dyDescent="0.25">
      <c r="B68" s="287" t="s">
        <v>317</v>
      </c>
      <c r="C68" s="287"/>
      <c r="D68" s="287"/>
      <c r="E68" s="287"/>
      <c r="F68" s="287"/>
      <c r="G68" s="287"/>
      <c r="H68" s="29"/>
      <c r="I68" s="29"/>
      <c r="J68" s="29"/>
      <c r="K68" s="29"/>
    </row>
    <row r="69" spans="1:17" s="123" customFormat="1" x14ac:dyDescent="0.25">
      <c r="B69" s="287" t="s">
        <v>305</v>
      </c>
      <c r="C69" s="287"/>
      <c r="D69" s="287"/>
      <c r="E69" s="287"/>
      <c r="F69" s="287"/>
      <c r="G69" s="287"/>
      <c r="H69" s="287"/>
      <c r="I69" s="29"/>
      <c r="J69" s="29"/>
      <c r="K69" s="29"/>
    </row>
    <row r="71" spans="1:17" s="147" customFormat="1" x14ac:dyDescent="0.25">
      <c r="B71" s="289" t="s">
        <v>308</v>
      </c>
      <c r="C71" s="288"/>
      <c r="D71" s="288"/>
      <c r="E71" s="288"/>
      <c r="F71" s="288"/>
      <c r="G71" s="288"/>
      <c r="H71" s="288"/>
      <c r="I71" s="288"/>
      <c r="J71" s="288"/>
      <c r="K71" s="288"/>
      <c r="L71" s="288"/>
      <c r="M71" s="288"/>
      <c r="N71" s="288"/>
      <c r="O71" s="288"/>
      <c r="P71" s="288"/>
      <c r="Q71" s="288"/>
    </row>
    <row r="72" spans="1:17" s="147" customFormat="1" x14ac:dyDescent="0.25">
      <c r="B72" s="145"/>
      <c r="C72" s="145" t="s">
        <v>307</v>
      </c>
      <c r="D72" s="146"/>
      <c r="E72" s="146"/>
      <c r="F72" s="146"/>
      <c r="G72" s="146"/>
      <c r="H72" s="146"/>
      <c r="I72" s="146"/>
      <c r="J72" s="146"/>
      <c r="K72" s="146"/>
      <c r="L72" s="146"/>
      <c r="M72" s="146"/>
      <c r="N72" s="146"/>
      <c r="O72" s="146"/>
      <c r="P72" s="146"/>
      <c r="Q72" s="146"/>
    </row>
    <row r="73" spans="1:17" s="147" customFormat="1" x14ac:dyDescent="0.25"/>
    <row r="74" spans="1:17" x14ac:dyDescent="0.25">
      <c r="B74" s="288" t="s">
        <v>306</v>
      </c>
      <c r="C74" s="288"/>
      <c r="D74" s="288"/>
      <c r="E74" s="288"/>
      <c r="F74" s="288"/>
      <c r="G74" s="288"/>
      <c r="H74" s="288"/>
      <c r="I74" s="288"/>
      <c r="J74" s="288"/>
      <c r="K74" s="288"/>
      <c r="L74" s="288"/>
      <c r="M74" s="288"/>
      <c r="N74" s="288"/>
      <c r="O74" s="288"/>
      <c r="P74" s="288"/>
      <c r="Q74" s="288"/>
    </row>
    <row r="75" spans="1:17" x14ac:dyDescent="0.25">
      <c r="B75" s="288" t="s">
        <v>74</v>
      </c>
      <c r="C75" s="288"/>
      <c r="D75" s="288"/>
      <c r="E75" s="288"/>
      <c r="F75" s="288"/>
      <c r="G75" s="288"/>
      <c r="H75" s="288"/>
      <c r="I75" s="288"/>
      <c r="J75" s="288"/>
      <c r="K75" s="288"/>
      <c r="L75" s="288"/>
      <c r="M75" s="288"/>
      <c r="N75" s="288"/>
      <c r="O75" s="288"/>
      <c r="P75" s="288"/>
      <c r="Q75" s="288"/>
    </row>
    <row r="76" spans="1:17" x14ac:dyDescent="0.25">
      <c r="B76" s="289" t="s">
        <v>75</v>
      </c>
      <c r="C76" s="289"/>
      <c r="D76" s="289"/>
      <c r="E76" s="289"/>
      <c r="F76" s="289"/>
      <c r="G76" s="289"/>
      <c r="H76" s="289"/>
      <c r="I76" s="289"/>
      <c r="J76" s="289"/>
      <c r="K76" s="289"/>
      <c r="L76" s="289"/>
      <c r="M76" s="289"/>
      <c r="N76" s="289"/>
      <c r="O76" s="289"/>
      <c r="P76" s="289"/>
      <c r="Q76" s="289"/>
    </row>
    <row r="77" spans="1:17" x14ac:dyDescent="0.25">
      <c r="B77" s="289" t="s">
        <v>76</v>
      </c>
      <c r="C77" s="289"/>
      <c r="D77" s="289"/>
      <c r="E77" s="289"/>
      <c r="F77" s="289"/>
      <c r="G77" s="289"/>
      <c r="H77" s="289"/>
      <c r="I77" s="289"/>
      <c r="J77" s="289"/>
      <c r="K77" s="289"/>
      <c r="L77" s="289"/>
      <c r="M77" s="289"/>
      <c r="N77" s="289"/>
      <c r="O77" s="289"/>
      <c r="P77" s="289"/>
      <c r="Q77" s="289"/>
    </row>
    <row r="78" spans="1:17" s="50" customFormat="1" x14ac:dyDescent="0.25">
      <c r="A78" s="52"/>
      <c r="B78" s="51"/>
      <c r="C78" s="51"/>
      <c r="D78" s="51"/>
      <c r="E78" s="51"/>
      <c r="F78" s="51"/>
      <c r="G78" s="51"/>
      <c r="H78" s="51"/>
      <c r="I78" s="51"/>
      <c r="J78" s="51"/>
      <c r="K78" s="51"/>
      <c r="L78" s="51"/>
      <c r="M78" s="51"/>
      <c r="N78" s="51"/>
      <c r="O78" s="51"/>
      <c r="P78" s="51"/>
      <c r="Q78" s="51"/>
    </row>
    <row r="80" spans="1:17" x14ac:dyDescent="0.25">
      <c r="B80" s="277" t="s">
        <v>116</v>
      </c>
      <c r="C80" s="277"/>
      <c r="D80" s="277"/>
      <c r="E80" s="277"/>
    </row>
    <row r="81" spans="1:17" x14ac:dyDescent="0.25">
      <c r="B81" s="278" t="s">
        <v>62</v>
      </c>
      <c r="C81" s="278"/>
      <c r="D81" s="278"/>
      <c r="E81" s="278"/>
      <c r="F81" s="278"/>
      <c r="G81" s="278"/>
      <c r="H81" s="278"/>
      <c r="I81" s="278"/>
      <c r="J81" s="278"/>
      <c r="K81" s="278"/>
    </row>
    <row r="82" spans="1:17" x14ac:dyDescent="0.25">
      <c r="B82" s="275" t="s">
        <v>77</v>
      </c>
      <c r="C82" s="275"/>
      <c r="D82" s="275"/>
      <c r="E82" s="275"/>
      <c r="F82" s="275"/>
      <c r="G82" s="275"/>
      <c r="H82" s="275"/>
    </row>
    <row r="83" spans="1:17" x14ac:dyDescent="0.25">
      <c r="B83" s="275" t="s">
        <v>78</v>
      </c>
      <c r="C83" s="275"/>
      <c r="D83" s="275"/>
      <c r="E83" s="275"/>
      <c r="F83" s="275"/>
      <c r="G83" s="275"/>
      <c r="H83" s="275"/>
      <c r="I83" s="275"/>
      <c r="J83" s="275"/>
      <c r="K83" s="275"/>
      <c r="L83" s="275"/>
      <c r="M83" s="275"/>
      <c r="N83" s="275"/>
      <c r="O83" s="275"/>
    </row>
    <row r="84" spans="1:17" x14ac:dyDescent="0.25">
      <c r="B84" s="276" t="s">
        <v>79</v>
      </c>
      <c r="C84" s="276"/>
      <c r="D84" s="276"/>
      <c r="E84" s="276"/>
      <c r="F84" s="276"/>
      <c r="G84" s="276"/>
      <c r="H84" s="276"/>
      <c r="I84" s="276"/>
      <c r="J84" s="276"/>
      <c r="K84" s="276"/>
      <c r="L84" s="276"/>
      <c r="M84" s="276"/>
      <c r="N84" s="276"/>
      <c r="O84" s="276"/>
    </row>
    <row r="86" spans="1:17" x14ac:dyDescent="0.25">
      <c r="B86" s="277" t="s">
        <v>117</v>
      </c>
      <c r="C86" s="277"/>
      <c r="D86" s="277"/>
      <c r="E86" s="277"/>
    </row>
    <row r="87" spans="1:17" x14ac:dyDescent="0.25">
      <c r="B87" s="278" t="s">
        <v>80</v>
      </c>
      <c r="C87" s="278"/>
      <c r="D87" s="278"/>
      <c r="E87" s="278"/>
      <c r="F87" s="278"/>
      <c r="G87" s="278"/>
      <c r="H87" s="278"/>
      <c r="I87" s="278"/>
      <c r="J87" s="278"/>
      <c r="K87" s="278"/>
      <c r="L87" s="278"/>
      <c r="M87" s="278"/>
      <c r="N87" s="278"/>
      <c r="O87" s="278"/>
      <c r="P87" s="278"/>
      <c r="Q87" s="278"/>
    </row>
    <row r="88" spans="1:17" x14ac:dyDescent="0.25">
      <c r="B88" s="278" t="s">
        <v>81</v>
      </c>
      <c r="C88" s="278"/>
      <c r="D88" s="278"/>
      <c r="E88" s="278"/>
      <c r="F88" s="278"/>
      <c r="G88" s="278"/>
      <c r="H88" s="278"/>
      <c r="I88" s="278"/>
      <c r="J88" s="278"/>
      <c r="K88" s="278"/>
      <c r="L88" s="278"/>
      <c r="M88" s="278"/>
      <c r="N88" s="278"/>
      <c r="O88" s="278"/>
      <c r="P88" s="278"/>
      <c r="Q88" s="278"/>
    </row>
    <row r="89" spans="1:17" x14ac:dyDescent="0.25">
      <c r="B89" s="278" t="s">
        <v>82</v>
      </c>
      <c r="C89" s="278"/>
      <c r="D89" s="278"/>
      <c r="E89" s="278"/>
      <c r="F89" s="278"/>
      <c r="G89" s="278"/>
      <c r="H89" s="278"/>
      <c r="I89" s="278"/>
      <c r="J89" s="278"/>
      <c r="K89" s="278"/>
      <c r="L89" s="278"/>
      <c r="M89" s="278"/>
      <c r="N89" s="278"/>
      <c r="O89" s="278"/>
      <c r="P89" s="278"/>
      <c r="Q89" s="278"/>
    </row>
    <row r="90" spans="1:17" s="7" customFormat="1" x14ac:dyDescent="0.25">
      <c r="A90" s="52"/>
      <c r="B90" s="35"/>
      <c r="C90" s="35"/>
      <c r="D90" s="35"/>
      <c r="E90" s="35"/>
      <c r="F90" s="35"/>
      <c r="G90" s="35"/>
      <c r="H90" s="35"/>
      <c r="I90" s="35"/>
      <c r="J90" s="35"/>
      <c r="K90" s="35"/>
      <c r="L90" s="35"/>
      <c r="M90" s="35"/>
      <c r="N90" s="35"/>
      <c r="O90" s="35"/>
      <c r="P90" s="35"/>
      <c r="Q90" s="35"/>
    </row>
    <row r="91" spans="1:17" x14ac:dyDescent="0.25">
      <c r="B91" s="275" t="s">
        <v>83</v>
      </c>
      <c r="C91" s="275"/>
      <c r="D91" s="275"/>
      <c r="E91" s="275"/>
      <c r="F91" s="275"/>
      <c r="G91" s="275"/>
      <c r="H91" s="275"/>
      <c r="I91" s="275"/>
      <c r="J91" s="275"/>
    </row>
    <row r="92" spans="1:17" x14ac:dyDescent="0.25">
      <c r="B92" s="275" t="s">
        <v>84</v>
      </c>
      <c r="C92" s="275"/>
      <c r="D92" s="275"/>
      <c r="E92" s="275"/>
      <c r="F92" s="275"/>
      <c r="G92" s="275"/>
      <c r="H92" s="275"/>
      <c r="I92" s="275"/>
      <c r="J92" s="275"/>
      <c r="K92" s="275"/>
    </row>
    <row r="93" spans="1:17" x14ac:dyDescent="0.25">
      <c r="B93" s="275" t="s">
        <v>85</v>
      </c>
      <c r="C93" s="275"/>
      <c r="D93" s="275"/>
      <c r="E93" s="275"/>
      <c r="F93" s="275"/>
      <c r="G93" s="275"/>
      <c r="H93" s="275"/>
      <c r="I93" s="275"/>
      <c r="J93" s="275"/>
    </row>
    <row r="95" spans="1:17" x14ac:dyDescent="0.25">
      <c r="B95" s="277" t="s">
        <v>118</v>
      </c>
      <c r="C95" s="277"/>
      <c r="D95" s="277"/>
      <c r="E95" s="277"/>
      <c r="F95" s="277"/>
    </row>
    <row r="96" spans="1:17" x14ac:dyDescent="0.25">
      <c r="B96" s="278" t="s">
        <v>309</v>
      </c>
      <c r="C96" s="278"/>
      <c r="D96" s="278"/>
      <c r="E96" s="278"/>
      <c r="F96" s="278"/>
      <c r="G96" s="278"/>
      <c r="H96" s="278"/>
      <c r="I96" s="278"/>
      <c r="J96" s="278"/>
      <c r="K96" s="278"/>
      <c r="L96" s="278"/>
      <c r="M96" s="278"/>
      <c r="N96" s="278"/>
      <c r="O96" s="278"/>
      <c r="P96" s="278"/>
    </row>
    <row r="98" spans="1:14" x14ac:dyDescent="0.25">
      <c r="B98" s="277" t="s">
        <v>119</v>
      </c>
      <c r="C98" s="277"/>
      <c r="D98" s="277"/>
      <c r="E98" s="277"/>
    </row>
    <row r="99" spans="1:14" x14ac:dyDescent="0.25">
      <c r="B99" s="278" t="s">
        <v>310</v>
      </c>
      <c r="C99" s="278"/>
      <c r="D99" s="278"/>
      <c r="E99" s="278"/>
      <c r="F99" s="278"/>
      <c r="G99" s="278"/>
    </row>
    <row r="101" spans="1:14" x14ac:dyDescent="0.25">
      <c r="B101" s="277" t="s">
        <v>120</v>
      </c>
      <c r="C101" s="277"/>
      <c r="D101" s="277"/>
      <c r="E101" s="277"/>
    </row>
    <row r="102" spans="1:14" x14ac:dyDescent="0.25">
      <c r="B102" s="278" t="s">
        <v>311</v>
      </c>
      <c r="C102" s="278"/>
      <c r="D102" s="278"/>
      <c r="E102" s="278"/>
      <c r="F102" s="278"/>
      <c r="G102" s="278"/>
    </row>
    <row r="103" spans="1:14" ht="15.75" thickBot="1" x14ac:dyDescent="0.3"/>
    <row r="104" spans="1:14" x14ac:dyDescent="0.25">
      <c r="B104" s="33"/>
      <c r="C104" s="34"/>
      <c r="D104" s="34"/>
      <c r="E104" s="34"/>
      <c r="F104" s="34"/>
      <c r="G104" s="34"/>
      <c r="H104" s="34"/>
    </row>
    <row r="105" spans="1:14" ht="18" x14ac:dyDescent="0.25">
      <c r="B105" s="283" t="s">
        <v>68</v>
      </c>
      <c r="C105" s="283"/>
      <c r="D105" s="283"/>
      <c r="E105" s="283"/>
      <c r="F105" s="283"/>
      <c r="G105" s="283"/>
      <c r="H105" s="283"/>
    </row>
    <row r="108" spans="1:14" x14ac:dyDescent="0.25">
      <c r="B108" s="293" t="s">
        <v>67</v>
      </c>
      <c r="C108" s="293"/>
      <c r="D108" s="293"/>
      <c r="E108" s="293"/>
    </row>
    <row r="109" spans="1:14" x14ac:dyDescent="0.25">
      <c r="B109" s="289" t="s">
        <v>88</v>
      </c>
      <c r="C109" s="289"/>
      <c r="D109" s="289"/>
      <c r="E109" s="289"/>
      <c r="F109" s="289"/>
      <c r="G109" s="289"/>
      <c r="H109" s="289"/>
      <c r="I109" s="29"/>
      <c r="J109" s="29"/>
      <c r="K109" s="29"/>
      <c r="L109" s="29"/>
      <c r="M109" s="29"/>
      <c r="N109" s="29"/>
    </row>
    <row r="110" spans="1:14" x14ac:dyDescent="0.25">
      <c r="B110" s="287" t="s">
        <v>65</v>
      </c>
      <c r="C110" s="287"/>
      <c r="D110" s="287"/>
      <c r="E110" s="287"/>
      <c r="F110" s="287"/>
      <c r="G110" s="287"/>
      <c r="H110" s="287"/>
      <c r="I110" s="287"/>
      <c r="J110" s="29"/>
      <c r="K110" s="29"/>
      <c r="L110" s="29"/>
      <c r="M110" s="29"/>
      <c r="N110" s="29"/>
    </row>
    <row r="111" spans="1:14" s="7" customFormat="1" x14ac:dyDescent="0.25">
      <c r="A111" s="52"/>
      <c r="B111" s="32"/>
      <c r="C111" s="32"/>
      <c r="D111" s="32"/>
      <c r="E111" s="32"/>
      <c r="F111" s="32"/>
      <c r="G111" s="32"/>
      <c r="H111" s="32"/>
      <c r="I111" s="32"/>
      <c r="J111" s="29"/>
      <c r="K111" s="29"/>
      <c r="L111" s="29"/>
      <c r="M111" s="29"/>
      <c r="N111" s="29"/>
    </row>
    <row r="112" spans="1:14" x14ac:dyDescent="0.25">
      <c r="B112" s="289" t="s">
        <v>89</v>
      </c>
      <c r="C112" s="289"/>
      <c r="D112" s="289"/>
      <c r="E112" s="289"/>
      <c r="F112" s="289"/>
      <c r="G112" s="289"/>
      <c r="H112" s="29"/>
      <c r="I112" s="29"/>
      <c r="J112" s="29"/>
      <c r="K112" s="29"/>
      <c r="L112" s="29"/>
      <c r="M112" s="29"/>
      <c r="N112" s="29"/>
    </row>
    <row r="113" spans="2:17" x14ac:dyDescent="0.25">
      <c r="B113" s="287" t="s">
        <v>86</v>
      </c>
      <c r="C113" s="287"/>
      <c r="D113" s="287"/>
      <c r="E113" s="287"/>
      <c r="F113" s="287"/>
      <c r="G113" s="287"/>
      <c r="H113" s="287"/>
      <c r="I113" s="287"/>
      <c r="J113" s="287"/>
      <c r="K113" s="287"/>
      <c r="L113" s="287"/>
      <c r="M113" s="287"/>
      <c r="N113" s="287"/>
    </row>
    <row r="114" spans="2:17" x14ac:dyDescent="0.25">
      <c r="B114" s="287" t="s">
        <v>87</v>
      </c>
      <c r="C114" s="287"/>
      <c r="D114" s="287"/>
      <c r="E114" s="287"/>
      <c r="F114" s="287"/>
      <c r="G114" s="287"/>
      <c r="H114" s="287"/>
      <c r="I114" s="287"/>
      <c r="J114" s="287"/>
      <c r="K114" s="287"/>
      <c r="L114" s="287"/>
      <c r="M114" s="287"/>
      <c r="N114" s="287"/>
    </row>
    <row r="115" spans="2:17" x14ac:dyDescent="0.25">
      <c r="B115" s="287" t="s">
        <v>66</v>
      </c>
      <c r="C115" s="287"/>
      <c r="D115" s="287"/>
      <c r="E115" s="287"/>
      <c r="F115" s="287"/>
      <c r="G115" s="287"/>
      <c r="H115" s="287"/>
      <c r="I115" s="287"/>
      <c r="J115" s="287"/>
      <c r="K115" s="28"/>
      <c r="L115" s="28"/>
      <c r="M115" s="28"/>
      <c r="N115" s="28"/>
    </row>
    <row r="116" spans="2:17" ht="15.75" thickBot="1" x14ac:dyDescent="0.3"/>
    <row r="117" spans="2:17" x14ac:dyDescent="0.25">
      <c r="B117" s="34"/>
      <c r="C117" s="34"/>
      <c r="D117" s="34"/>
      <c r="E117" s="34"/>
      <c r="F117" s="34"/>
      <c r="G117" s="34"/>
      <c r="H117" s="34"/>
    </row>
    <row r="118" spans="2:17" ht="18" x14ac:dyDescent="0.25">
      <c r="B118" s="283" t="s">
        <v>69</v>
      </c>
      <c r="C118" s="283"/>
      <c r="D118" s="283"/>
      <c r="E118" s="283"/>
      <c r="F118" s="283"/>
    </row>
    <row r="120" spans="2:17" s="153" customFormat="1" x14ac:dyDescent="0.25">
      <c r="C120" s="155" t="s">
        <v>322</v>
      </c>
    </row>
    <row r="121" spans="2:17" s="153" customFormat="1" x14ac:dyDescent="0.25"/>
    <row r="122" spans="2:17" x14ac:dyDescent="0.25">
      <c r="B122" s="292" t="s">
        <v>312</v>
      </c>
      <c r="C122" s="292"/>
      <c r="D122" s="292"/>
      <c r="E122" s="292"/>
      <c r="F122" s="292"/>
      <c r="G122" s="292"/>
      <c r="H122" s="292"/>
      <c r="I122" s="292"/>
      <c r="J122" s="292"/>
      <c r="K122" s="292"/>
      <c r="L122" s="292"/>
    </row>
    <row r="123" spans="2:17" x14ac:dyDescent="0.25">
      <c r="B123" s="292" t="s">
        <v>90</v>
      </c>
      <c r="C123" s="292"/>
      <c r="D123" s="292"/>
      <c r="E123" s="292"/>
      <c r="F123" s="292"/>
      <c r="G123" s="292"/>
      <c r="H123" s="292"/>
      <c r="I123" s="292"/>
      <c r="J123" s="292"/>
      <c r="K123" s="292"/>
      <c r="L123" s="292"/>
      <c r="M123" s="292"/>
    </row>
    <row r="125" spans="2:17" x14ac:dyDescent="0.25">
      <c r="B125" s="289" t="s">
        <v>313</v>
      </c>
      <c r="C125" s="288"/>
      <c r="D125" s="288"/>
      <c r="E125" s="288"/>
      <c r="F125" s="288"/>
      <c r="G125" s="288"/>
      <c r="H125" s="288"/>
      <c r="I125" s="288"/>
      <c r="J125" s="288"/>
      <c r="K125" s="288"/>
      <c r="L125" s="288"/>
      <c r="M125" s="288"/>
      <c r="N125" s="288"/>
      <c r="O125" s="288"/>
      <c r="P125" s="288"/>
      <c r="Q125" s="288"/>
    </row>
    <row r="126" spans="2:17" x14ac:dyDescent="0.25">
      <c r="B126" s="145"/>
      <c r="C126" s="145" t="s">
        <v>307</v>
      </c>
      <c r="D126" s="146"/>
      <c r="E126" s="146"/>
      <c r="F126" s="146"/>
      <c r="G126" s="146"/>
      <c r="H126" s="146"/>
      <c r="I126" s="146"/>
      <c r="J126" s="146"/>
      <c r="K126" s="146"/>
      <c r="L126" s="146"/>
      <c r="M126" s="146"/>
      <c r="N126" s="146"/>
      <c r="O126" s="146"/>
      <c r="P126" s="146"/>
      <c r="Q126" s="146"/>
    </row>
    <row r="127" spans="2:17" x14ac:dyDescent="0.25">
      <c r="B127" s="289" t="s">
        <v>314</v>
      </c>
      <c r="C127" s="289"/>
      <c r="D127" s="289"/>
      <c r="E127" s="289"/>
      <c r="F127" s="289"/>
      <c r="G127" s="289"/>
      <c r="H127" s="289"/>
      <c r="I127" s="289"/>
      <c r="J127" s="289"/>
      <c r="K127" s="289"/>
      <c r="L127" s="289"/>
      <c r="M127" s="289"/>
      <c r="N127" s="29"/>
      <c r="O127" s="29"/>
    </row>
    <row r="128" spans="2:17" x14ac:dyDescent="0.25">
      <c r="B128" s="289"/>
      <c r="C128" s="289"/>
      <c r="D128" s="289"/>
      <c r="E128" s="289"/>
      <c r="F128" s="289"/>
      <c r="G128" s="29"/>
      <c r="H128" s="29"/>
      <c r="I128" s="29"/>
      <c r="J128" s="29"/>
      <c r="K128" s="29"/>
      <c r="L128" s="29"/>
      <c r="M128" s="29"/>
      <c r="N128" s="29"/>
      <c r="O128" s="29"/>
    </row>
    <row r="129" spans="1:15" x14ac:dyDescent="0.25">
      <c r="B129" s="291" t="s">
        <v>163</v>
      </c>
      <c r="C129" s="291"/>
      <c r="D129" s="291"/>
      <c r="E129" s="291"/>
      <c r="F129" s="291"/>
      <c r="G129" s="291"/>
      <c r="H129" s="291"/>
      <c r="I129" s="291"/>
      <c r="J129" s="291"/>
      <c r="K129" s="291"/>
      <c r="L129" s="291"/>
      <c r="M129" s="291"/>
      <c r="N129" s="291"/>
      <c r="O129" s="29"/>
    </row>
    <row r="130" spans="1:15" s="123" customFormat="1" x14ac:dyDescent="0.25">
      <c r="B130" s="290" t="s">
        <v>164</v>
      </c>
      <c r="C130" s="290"/>
      <c r="D130" s="290"/>
      <c r="E130" s="290"/>
      <c r="F130" s="290"/>
      <c r="G130" s="290"/>
      <c r="H130" s="290"/>
      <c r="I130" s="290"/>
      <c r="J130" s="290"/>
      <c r="K130" s="290"/>
      <c r="L130" s="290"/>
      <c r="M130" s="290"/>
      <c r="N130" s="290"/>
      <c r="O130" s="29"/>
    </row>
    <row r="131" spans="1:15" s="123" customFormat="1" x14ac:dyDescent="0.25">
      <c r="B131" s="290" t="s">
        <v>166</v>
      </c>
      <c r="C131" s="290"/>
      <c r="D131" s="290"/>
      <c r="E131" s="290"/>
      <c r="F131" s="290"/>
      <c r="G131" s="290"/>
      <c r="H131" s="290"/>
      <c r="I131" s="290"/>
      <c r="J131" s="290"/>
      <c r="K131" s="290"/>
      <c r="L131" s="290"/>
      <c r="M131" s="290"/>
      <c r="N131" s="290"/>
      <c r="O131" s="29"/>
    </row>
    <row r="132" spans="1:15" s="123" customFormat="1" x14ac:dyDescent="0.25">
      <c r="B132" s="121"/>
      <c r="C132" s="121"/>
      <c r="D132" s="120" t="s">
        <v>315</v>
      </c>
      <c r="F132" s="121"/>
      <c r="G132" s="121"/>
      <c r="H132" s="121"/>
      <c r="I132" s="121"/>
      <c r="J132" s="121"/>
      <c r="K132" s="121"/>
      <c r="L132" s="121"/>
      <c r="M132" s="121"/>
      <c r="N132" s="121"/>
      <c r="O132" s="29"/>
    </row>
    <row r="133" spans="1:15" x14ac:dyDescent="0.25">
      <c r="B133" s="290" t="s">
        <v>168</v>
      </c>
      <c r="C133" s="290"/>
      <c r="D133" s="290"/>
      <c r="E133" s="290"/>
      <c r="F133" s="290"/>
      <c r="G133" s="290"/>
      <c r="H133" s="290"/>
      <c r="I133" s="290"/>
      <c r="J133" s="290"/>
      <c r="K133" s="290"/>
      <c r="L133" s="290"/>
      <c r="M133" s="290"/>
      <c r="N133" s="290"/>
      <c r="O133" s="29"/>
    </row>
    <row r="134" spans="1:15" s="123" customFormat="1" x14ac:dyDescent="0.25">
      <c r="B134" s="290" t="s">
        <v>165</v>
      </c>
      <c r="C134" s="290"/>
      <c r="D134" s="290"/>
      <c r="E134" s="290"/>
      <c r="F134" s="290"/>
      <c r="G134" s="290"/>
      <c r="H134" s="290"/>
      <c r="I134" s="290"/>
      <c r="J134" s="290"/>
      <c r="K134" s="290"/>
      <c r="L134" s="290"/>
      <c r="M134" s="290"/>
      <c r="N134" s="290"/>
      <c r="O134" s="29"/>
    </row>
    <row r="135" spans="1:15" s="123" customFormat="1" x14ac:dyDescent="0.25">
      <c r="B135" s="290" t="s">
        <v>167</v>
      </c>
      <c r="C135" s="290"/>
      <c r="D135" s="290"/>
      <c r="E135" s="290"/>
      <c r="F135" s="290"/>
      <c r="G135" s="290"/>
      <c r="H135" s="290"/>
      <c r="I135" s="290"/>
      <c r="J135" s="290"/>
      <c r="K135" s="290"/>
      <c r="L135" s="290"/>
      <c r="M135" s="290"/>
      <c r="N135" s="290"/>
      <c r="O135" s="29"/>
    </row>
    <row r="136" spans="1:15" s="52" customFormat="1" x14ac:dyDescent="0.25">
      <c r="B136" s="38"/>
      <c r="C136" s="53"/>
      <c r="D136" s="53"/>
      <c r="E136" s="53"/>
      <c r="F136" s="53"/>
      <c r="G136" s="53"/>
      <c r="H136" s="53"/>
      <c r="I136" s="53"/>
      <c r="J136" s="53"/>
      <c r="K136" s="28"/>
      <c r="L136" s="28"/>
      <c r="M136" s="28"/>
      <c r="N136" s="28"/>
      <c r="O136" s="28"/>
    </row>
    <row r="137" spans="1:15" s="36" customFormat="1" ht="15.75" thickBot="1" x14ac:dyDescent="0.3">
      <c r="A137" s="52"/>
    </row>
    <row r="138" spans="1:15" s="36" customFormat="1" x14ac:dyDescent="0.25">
      <c r="A138" s="52"/>
      <c r="B138" s="34"/>
      <c r="C138" s="34"/>
      <c r="D138" s="34"/>
      <c r="E138" s="34"/>
      <c r="F138" s="34"/>
      <c r="G138" s="34"/>
      <c r="H138" s="34"/>
    </row>
  </sheetData>
  <mergeCells count="77">
    <mergeCell ref="B125:Q125"/>
    <mergeCell ref="B69:H69"/>
    <mergeCell ref="B130:N130"/>
    <mergeCell ref="B131:N131"/>
    <mergeCell ref="B115:J115"/>
    <mergeCell ref="B118:F118"/>
    <mergeCell ref="B122:L122"/>
    <mergeCell ref="B123:M123"/>
    <mergeCell ref="B108:E108"/>
    <mergeCell ref="B109:H109"/>
    <mergeCell ref="B110:I110"/>
    <mergeCell ref="B112:G112"/>
    <mergeCell ref="B113:N113"/>
    <mergeCell ref="B114:N114"/>
    <mergeCell ref="B98:E98"/>
    <mergeCell ref="B99:G99"/>
    <mergeCell ref="B134:N134"/>
    <mergeCell ref="B127:M127"/>
    <mergeCell ref="B128:F128"/>
    <mergeCell ref="B133:N133"/>
    <mergeCell ref="B135:N135"/>
    <mergeCell ref="B129:N129"/>
    <mergeCell ref="B101:E101"/>
    <mergeCell ref="B102:G102"/>
    <mergeCell ref="B105:H105"/>
    <mergeCell ref="B75:Q75"/>
    <mergeCell ref="B76:Q76"/>
    <mergeCell ref="B77:Q77"/>
    <mergeCell ref="B80:E80"/>
    <mergeCell ref="B81:K81"/>
    <mergeCell ref="B82:H82"/>
    <mergeCell ref="B95:F95"/>
    <mergeCell ref="B96:P96"/>
    <mergeCell ref="B67:H67"/>
    <mergeCell ref="B68:G68"/>
    <mergeCell ref="B74:Q74"/>
    <mergeCell ref="B63:F63"/>
    <mergeCell ref="B66:H66"/>
    <mergeCell ref="B71:Q71"/>
    <mergeCell ref="B62:G62"/>
    <mergeCell ref="B64:F64"/>
    <mergeCell ref="B65:G65"/>
    <mergeCell ref="B57:G57"/>
    <mergeCell ref="B58:K58"/>
    <mergeCell ref="B59:J59"/>
    <mergeCell ref="B60:G60"/>
    <mergeCell ref="B49:E49"/>
    <mergeCell ref="B50:K50"/>
    <mergeCell ref="C30:K30"/>
    <mergeCell ref="C31:K31"/>
    <mergeCell ref="B61:G61"/>
    <mergeCell ref="C24:L24"/>
    <mergeCell ref="C25:L25"/>
    <mergeCell ref="C26:K26"/>
    <mergeCell ref="C27:F27"/>
    <mergeCell ref="B47:D47"/>
    <mergeCell ref="C8:I8"/>
    <mergeCell ref="C10:K10"/>
    <mergeCell ref="C11:I11"/>
    <mergeCell ref="C14:K14"/>
    <mergeCell ref="C15:K15"/>
    <mergeCell ref="C16:J16"/>
    <mergeCell ref="C20:L20"/>
    <mergeCell ref="B91:J91"/>
    <mergeCell ref="B92:K92"/>
    <mergeCell ref="B93:J93"/>
    <mergeCell ref="B83:O83"/>
    <mergeCell ref="B84:O84"/>
    <mergeCell ref="B86:E86"/>
    <mergeCell ref="B87:Q87"/>
    <mergeCell ref="B88:Q88"/>
    <mergeCell ref="B89:Q89"/>
    <mergeCell ref="B51:K51"/>
    <mergeCell ref="C29:L29"/>
    <mergeCell ref="C17:H17"/>
    <mergeCell ref="C19:L19"/>
    <mergeCell ref="C23:K23"/>
  </mergeCells>
  <pageMargins left="0.7" right="0.7" top="0.75" bottom="0.75" header="0.3" footer="0.3"/>
  <pageSetup paperSize="9"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U123"/>
  <sheetViews>
    <sheetView topLeftCell="A91" workbookViewId="0">
      <selection activeCell="E40" sqref="E40"/>
    </sheetView>
  </sheetViews>
  <sheetFormatPr defaultRowHeight="15" x14ac:dyDescent="0.25"/>
  <cols>
    <col min="1" max="1" width="6.5703125" bestFit="1" customWidth="1"/>
    <col min="2" max="2" width="19.28515625" bestFit="1" customWidth="1"/>
    <col min="5" max="7" width="15.5703125" bestFit="1" customWidth="1"/>
    <col min="8" max="10" width="25.5703125" bestFit="1" customWidth="1"/>
    <col min="11" max="11" width="17.5703125" style="57" bestFit="1" customWidth="1"/>
    <col min="12" max="12" width="16.42578125" style="57" bestFit="1" customWidth="1"/>
    <col min="13" max="13" width="28.7109375" style="57" bestFit="1" customWidth="1"/>
    <col min="14" max="14" width="28.7109375" style="57" customWidth="1"/>
    <col min="15" max="15" width="24.5703125" bestFit="1" customWidth="1"/>
  </cols>
  <sheetData>
    <row r="3" spans="1:21" x14ac:dyDescent="0.25">
      <c r="A3" s="58" t="s">
        <v>29</v>
      </c>
      <c r="B3" s="58" t="s">
        <v>20</v>
      </c>
      <c r="C3" s="64" t="s">
        <v>28</v>
      </c>
      <c r="D3" s="65" t="s">
        <v>25</v>
      </c>
      <c r="E3" s="66" t="s">
        <v>140</v>
      </c>
      <c r="F3" s="66" t="s">
        <v>141</v>
      </c>
      <c r="G3" s="66" t="s">
        <v>142</v>
      </c>
      <c r="H3" s="65" t="s">
        <v>143</v>
      </c>
      <c r="I3" s="65" t="s">
        <v>144</v>
      </c>
      <c r="J3" s="65" t="s">
        <v>145</v>
      </c>
      <c r="K3" s="67" t="s">
        <v>151</v>
      </c>
      <c r="L3" s="67" t="s">
        <v>152</v>
      </c>
      <c r="M3" s="67" t="s">
        <v>153</v>
      </c>
      <c r="N3" s="67" t="s">
        <v>154</v>
      </c>
      <c r="O3" s="58" t="s">
        <v>146</v>
      </c>
      <c r="P3" s="130" t="s">
        <v>169</v>
      </c>
      <c r="Q3" s="130" t="s">
        <v>170</v>
      </c>
      <c r="R3" s="130" t="s">
        <v>171</v>
      </c>
      <c r="S3" s="130" t="s">
        <v>172</v>
      </c>
      <c r="T3" s="130" t="s">
        <v>173</v>
      </c>
      <c r="U3" s="130" t="s">
        <v>174</v>
      </c>
    </row>
    <row r="4" spans="1:21" x14ac:dyDescent="0.25">
      <c r="A4" s="59">
        <f t="shared" ref="A4:A35" si="0">ROW()-3</f>
        <v>1</v>
      </c>
      <c r="B4" s="60" t="str">
        <f>IFERROR(VLOOKUP(ROW()-3,BookieName[],2,FALSE),"")</f>
        <v>10Bet</v>
      </c>
      <c r="C4" s="61">
        <f>IF(Data[Bookie]="","",SUM(Data[[#This Row],[D/W]:[Bonus and Adjustments]],))</f>
        <v>0</v>
      </c>
      <c r="D4" s="61">
        <f>IF(Data[Bookie]="","",SUMIF(DWbooks[Bookie],(VLOOKUP(ROW()-3,BookieName[],2,FALSE)),DWbooks[Amount]))</f>
        <v>0</v>
      </c>
      <c r="E4" s="62">
        <f>IF(Data[Bookie]="","",SUMIF(BetTable[Bookie],(VLOOKUP(ROW()-3,BookieName[],2,FALSE)),BetTable[Stake])*-1)</f>
        <v>0</v>
      </c>
      <c r="F4" s="62">
        <f>IF(Data[Bookie]="","",SUMIF(BetTable[B2],(VLOOKUP(ROW()-3,BookieName[],2,FALSE)),BetTable[S2])*-1)</f>
        <v>0</v>
      </c>
      <c r="G4" s="62">
        <f>IF(Data[Bookie]="","",SUMIF(BetTable[B3],(VLOOKUP(ROW()-3,BookieName[],2,FALSE)),BetTable[S3])*-1)</f>
        <v>0</v>
      </c>
      <c r="H4" s="62">
        <f>IF(Data[Bookie]="","",SUMIF(BetTable[Bookie],(VLOOKUP(ROW()-3,BookieName[],2,FALSE)),BetTable[WBA1]))</f>
        <v>0</v>
      </c>
      <c r="I4" s="62">
        <f>IF(Data[Bookie]="","",SUMIF(BetTable[B2],(VLOOKUP(ROW()-3,BookieName[],2,FALSE)),BetTable[WBA2]))</f>
        <v>0</v>
      </c>
      <c r="J4" s="62">
        <f>IF(Data[Bookie]="","",SUMIF(BetTable[B3],(VLOOKUP(ROW()-3,BookieName[],2,FALSE)),BetTable[WBA3]))</f>
        <v>0</v>
      </c>
      <c r="K4" s="63">
        <f>IF(Data[Bookie]="","",SUMIF(LayTable[BackBook],(VLOOKUP(ROW()-3,BookieName[],2,FALSE)),LayTable[BackStake])*-1)</f>
        <v>0</v>
      </c>
      <c r="L4" s="63">
        <f>IF(Data[Bookie]="","",SUMIF(LayTable[LayBook],(VLOOKUP(ROW()-3,BookieName[],2,FALSE)),LayTable[LayLiability])*-1)</f>
        <v>0</v>
      </c>
      <c r="M4" s="63">
        <f>IF(Data[Bookie]="","",SUMIF(LayTable[BackBook],(VLOOKUP(ROW()-3,BookieName[],2,FALSE)),LayTable[WBABack]))</f>
        <v>0</v>
      </c>
      <c r="N4" s="63">
        <f>IF(Data[Bookie]="","",SUMIF(LayTable[LayBook],(VLOOKUP(ROW()-3,BookieName[],2,FALSE)),LayTable[WBALay]))</f>
        <v>0</v>
      </c>
      <c r="O4" s="63">
        <f>IF(Data[Bookie]="","",SUMIF(DWbonus[Bookie],(VLOOKUP(ROW()-3,BookieName[],2,FALSE)),DWbonus[Amount]))</f>
        <v>0</v>
      </c>
      <c r="P4" s="131">
        <f>IF(Data[Bookie]="","",SUM(Data[[#This Row],[Pending 1]:[PendingL2]]))</f>
        <v>0</v>
      </c>
      <c r="Q4" s="63">
        <f>IF(Data[Bookie]="","",SUMIFS(BetTable[Stake],BetTable[Bookie],(VLOOKUP(ROW()-3,BookieName[],2,FALSE)),BetTable[Result],""))</f>
        <v>0</v>
      </c>
      <c r="R4" s="63">
        <f>IF(Data[Bookie]="","",SUMIFS(BetTable[S2],BetTable[B2],(VLOOKUP(ROW()-3,BookieName[],2,FALSE)),BetTable[Result],""))</f>
        <v>0</v>
      </c>
      <c r="S4" s="63">
        <f>IF(Data[Bookie]="","",SUMIFS(BetTable[S3],BetTable[B3],(VLOOKUP(ROW()-3,BookieName[],2,FALSE)),BetTable[Result],""))</f>
        <v>0</v>
      </c>
      <c r="T4" s="63">
        <f>IF(Data[Bookie]="","",SUMIFS(LayTable[BackStake],LayTable[BackBook],(VLOOKUP(ROW()-3,BookieName[],2,FALSE)),LayTable[AR],""))</f>
        <v>0</v>
      </c>
      <c r="U4" s="63">
        <f>IF(Data[Bookie]="","",SUMIFS(LayTable[LayLiability],LayTable[LayBook],(VLOOKUP(ROW()-3,BookieName[],2,FALSE)),LayTable[AR],""))</f>
        <v>0</v>
      </c>
    </row>
    <row r="5" spans="1:21" x14ac:dyDescent="0.25">
      <c r="A5" s="59">
        <f t="shared" si="0"/>
        <v>2</v>
      </c>
      <c r="B5" s="60" t="str">
        <f>IFERROR(VLOOKUP(ROW()-3,BookieName[],2,FALSE),"")</f>
        <v>12Bet</v>
      </c>
      <c r="C5" s="61">
        <f>IF(Data[Bookie]="","",SUM(Data[[#This Row],[D/W]:[Bonus and Adjustments]],))</f>
        <v>0</v>
      </c>
      <c r="D5" s="61">
        <f>IF(Data[Bookie]="","",SUMIF(DWbooks[Bookie],(VLOOKUP(ROW()-3,BookieName[],2,FALSE)),DWbooks[Amount]))</f>
        <v>0</v>
      </c>
      <c r="E5" s="59">
        <f>IF(Data[Bookie]="","",SUMIF(BetTable[Bookie],(VLOOKUP(ROW()-3,BookieName[],2,FALSE)),BetTable[Stake])*-1)</f>
        <v>0</v>
      </c>
      <c r="F5" s="59">
        <f>IF(Data[Bookie]="","",SUMIF(BetTable[B2],(VLOOKUP(ROW()-3,BookieName[],2,FALSE)),BetTable[S2])*-1)</f>
        <v>0</v>
      </c>
      <c r="G5" s="59">
        <f>IF(Data[Bookie]="","",SUMIF(BetTable[B3],(VLOOKUP(ROW()-3,BookieName[],2,FALSE)),BetTable[S3])*-1)</f>
        <v>0</v>
      </c>
      <c r="H5" s="59">
        <f>IF(Data[Bookie]="","",SUMIF(BetTable[Bookie],(VLOOKUP(ROW()-3,BookieName[],2,FALSE)),BetTable[WBA1]))</f>
        <v>0</v>
      </c>
      <c r="I5" s="59">
        <f>IF(Data[Bookie]="","",SUMIF(BetTable[B2],(VLOOKUP(ROW()-3,BookieName[],2,FALSE)),BetTable[WBA2]))</f>
        <v>0</v>
      </c>
      <c r="J5" s="59">
        <f>IF(Data[Bookie]="","",SUMIF(BetTable[B3],(VLOOKUP(ROW()-3,BookieName[],2,FALSE)),BetTable[WBA3]))</f>
        <v>0</v>
      </c>
      <c r="K5" s="60">
        <f>IF(Data[Bookie]="","",SUMIF(LayTable[BackBook],(VLOOKUP(ROW()-3,BookieName[],2,FALSE)),LayTable[BackStake])*-1)</f>
        <v>0</v>
      </c>
      <c r="L5" s="60">
        <f>IF(Data[Bookie]="","",SUMIF(LayTable[LayBook],(VLOOKUP(ROW()-3,BookieName[],2,FALSE)),LayTable[LayLiability])*-1)</f>
        <v>0</v>
      </c>
      <c r="M5" s="60">
        <f>IF(Data[Bookie]="","",SUMIF(LayTable[BackBook],(VLOOKUP(ROW()-3,BookieName[],2,FALSE)),LayTable[WBABack]))</f>
        <v>0</v>
      </c>
      <c r="N5" s="60">
        <f>IF(Data[Bookie]="","",SUMIF(LayTable[LayBook],(VLOOKUP(ROW()-3,BookieName[],2,FALSE)),LayTable[WBALay]))</f>
        <v>0</v>
      </c>
      <c r="O5" s="63">
        <f>IF(Data[Bookie]="","",SUMIF(DWbonus[Bookie],(VLOOKUP(ROW()-3,BookieName[],2,FALSE)),DWbonus[Amount]))</f>
        <v>0</v>
      </c>
      <c r="P5" s="63">
        <f>IF(Data[Bookie]="","",SUM(Data[[#This Row],[Pending 1]:[PendingL2]]))</f>
        <v>0</v>
      </c>
      <c r="Q5" s="63">
        <f>IF(Data[Bookie]="","",SUMIFS(BetTable[Stake],BetTable[Bookie],(VLOOKUP(ROW()-3,BookieName[],2,FALSE)),BetTable[Result],""))</f>
        <v>0</v>
      </c>
      <c r="R5" s="63">
        <f>IF(Data[Bookie]="","",SUMIFS(BetTable[S2],BetTable[B2],(VLOOKUP(ROW()-3,BookieName[],2,FALSE)),BetTable[Result],""))</f>
        <v>0</v>
      </c>
      <c r="S5" s="63">
        <f>IF(Data[Bookie]="","",SUMIFS(BetTable[S3],BetTable[B3],(VLOOKUP(ROW()-3,BookieName[],2,FALSE)),BetTable[Result],""))</f>
        <v>0</v>
      </c>
      <c r="T5" s="63">
        <f>IF(Data[Bookie]="","",SUMIFS(LayTable[BackStake],LayTable[BackBook],(VLOOKUP(ROW()-3,BookieName[],2,FALSE)),LayTable[AR],""))</f>
        <v>0</v>
      </c>
      <c r="U5" s="63">
        <f>IF(Data[Bookie]="","",SUMIFS(LayTable[LayLiability],LayTable[LayBook],(VLOOKUP(ROW()-3,BookieName[],2,FALSE)),LayTable[AR],""))</f>
        <v>0</v>
      </c>
    </row>
    <row r="6" spans="1:21" x14ac:dyDescent="0.25">
      <c r="A6" s="59">
        <f t="shared" si="0"/>
        <v>3</v>
      </c>
      <c r="B6" s="60" t="str">
        <f>IFERROR(VLOOKUP(ROW()-3,BookieName[],2,FALSE),"")</f>
        <v>12BetUK</v>
      </c>
      <c r="C6" s="61">
        <f>IF(Data[Bookie]="","",SUM(Data[[#This Row],[D/W]:[Bonus and Adjustments]],))</f>
        <v>0</v>
      </c>
      <c r="D6" s="61">
        <f>IF(Data[Bookie]="","",SUMIF(DWbooks[Bookie],(VLOOKUP(ROW()-3,BookieName[],2,FALSE)),DWbooks[Amount]))</f>
        <v>0</v>
      </c>
      <c r="E6" s="59">
        <f>IF(Data[Bookie]="","",SUMIF(BetTable[Bookie],(VLOOKUP(ROW()-3,BookieName[],2,FALSE)),BetTable[Stake])*-1)</f>
        <v>0</v>
      </c>
      <c r="F6" s="59">
        <f>IF(Data[Bookie]="","",SUMIF(BetTable[B2],(VLOOKUP(ROW()-3,BookieName[],2,FALSE)),BetTable[S2])*-1)</f>
        <v>0</v>
      </c>
      <c r="G6" s="59">
        <f>IF(Data[Bookie]="","",SUMIF(BetTable[B3],(VLOOKUP(ROW()-3,BookieName[],2,FALSE)),BetTable[S3])*-1)</f>
        <v>0</v>
      </c>
      <c r="H6" s="59">
        <f>IF(Data[Bookie]="","",SUMIF(BetTable[Bookie],(VLOOKUP(ROW()-3,BookieName[],2,FALSE)),BetTable[WBA1]))</f>
        <v>0</v>
      </c>
      <c r="I6" s="59">
        <f>IF(Data[Bookie]="","",SUMIF(BetTable[B2],(VLOOKUP(ROW()-3,BookieName[],2,FALSE)),BetTable[WBA2]))</f>
        <v>0</v>
      </c>
      <c r="J6" s="59">
        <f>IF(Data[Bookie]="","",SUMIF(BetTable[B3],(VLOOKUP(ROW()-3,BookieName[],2,FALSE)),BetTable[WBA3]))</f>
        <v>0</v>
      </c>
      <c r="K6" s="60">
        <f>IF(Data[Bookie]="","",SUMIF(LayTable[BackBook],(VLOOKUP(ROW()-3,BookieName[],2,FALSE)),LayTable[BackStake])*-1)</f>
        <v>0</v>
      </c>
      <c r="L6" s="60">
        <f>IF(Data[Bookie]="","",SUMIF(LayTable[LayBook],(VLOOKUP(ROW()-3,BookieName[],2,FALSE)),LayTable[LayLiability])*-1)</f>
        <v>0</v>
      </c>
      <c r="M6" s="60">
        <f>IF(Data[Bookie]="","",SUMIF(LayTable[BackBook],(VLOOKUP(ROW()-3,BookieName[],2,FALSE)),LayTable[WBABack]))</f>
        <v>0</v>
      </c>
      <c r="N6" s="60">
        <f>IF(Data[Bookie]="","",SUMIF(LayTable[LayBook],(VLOOKUP(ROW()-3,BookieName[],2,FALSE)),LayTable[WBALay]))</f>
        <v>0</v>
      </c>
      <c r="O6" s="60">
        <f>IF(Data[Bookie]="","",SUMIF(DWbonus[Bookie],(VLOOKUP(ROW()-3,BookieName[],2,FALSE)),DWbonus[Amount]))</f>
        <v>0</v>
      </c>
      <c r="P6" s="63">
        <f>IF(Data[Bookie]="","",SUM(Data[[#This Row],[Pending 1]:[PendingL2]]))</f>
        <v>0</v>
      </c>
      <c r="Q6" s="63">
        <f>IF(Data[Bookie]="","",SUMIFS(BetTable[Stake],BetTable[Bookie],(VLOOKUP(ROW()-3,BookieName[],2,FALSE)),BetTable[Result],""))</f>
        <v>0</v>
      </c>
      <c r="R6" s="63">
        <f>IF(Data[Bookie]="","",SUMIFS(BetTable[S2],BetTable[B2],(VLOOKUP(ROW()-3,BookieName[],2,FALSE)),BetTable[Result],""))</f>
        <v>0</v>
      </c>
      <c r="S6" s="63">
        <f>IF(Data[Bookie]="","",SUMIFS(BetTable[S3],BetTable[B3],(VLOOKUP(ROW()-3,BookieName[],2,FALSE)),BetTable[Result],""))</f>
        <v>0</v>
      </c>
      <c r="T6" s="63">
        <f>IF(Data[Bookie]="","",SUMIFS(LayTable[BackStake],LayTable[BackBook],(VLOOKUP(ROW()-3,BookieName[],2,FALSE)),LayTable[AR],""))</f>
        <v>0</v>
      </c>
      <c r="U6" s="63">
        <f>IF(Data[Bookie]="","",SUMIFS(LayTable[LayLiability],LayTable[LayBook],(VLOOKUP(ROW()-3,BookieName[],2,FALSE)),LayTable[AR],""))</f>
        <v>0</v>
      </c>
    </row>
    <row r="7" spans="1:21" x14ac:dyDescent="0.25">
      <c r="A7" s="59">
        <f t="shared" si="0"/>
        <v>4</v>
      </c>
      <c r="B7" s="60">
        <f>IFERROR(VLOOKUP(ROW()-3,BookieName[],2,FALSE),"")</f>
        <v>138</v>
      </c>
      <c r="C7" s="61">
        <f>IF(Data[Bookie]="","",SUM(Data[[#This Row],[D/W]:[Bonus and Adjustments]],))</f>
        <v>0</v>
      </c>
      <c r="D7" s="61">
        <f>IF(Data[Bookie]="","",SUMIF(DWbooks[Bookie],(VLOOKUP(ROW()-3,BookieName[],2,FALSE)),DWbooks[Amount]))</f>
        <v>0</v>
      </c>
      <c r="E7" s="59">
        <f>IF(Data[Bookie]="","",SUMIF(BetTable[Bookie],(VLOOKUP(ROW()-3,BookieName[],2,FALSE)),BetTable[Stake])*-1)</f>
        <v>0</v>
      </c>
      <c r="F7" s="59">
        <f>IF(Data[Bookie]="","",SUMIF(BetTable[B2],(VLOOKUP(ROW()-3,BookieName[],2,FALSE)),BetTable[S2])*-1)</f>
        <v>0</v>
      </c>
      <c r="G7" s="59">
        <f>IF(Data[Bookie]="","",SUMIF(BetTable[B3],(VLOOKUP(ROW()-3,BookieName[],2,FALSE)),BetTable[S3])*-1)</f>
        <v>0</v>
      </c>
      <c r="H7" s="59">
        <f>IF(Data[Bookie]="","",SUMIF(BetTable[Bookie],(VLOOKUP(ROW()-3,BookieName[],2,FALSE)),BetTable[WBA1]))</f>
        <v>0</v>
      </c>
      <c r="I7" s="59">
        <f>IF(Data[Bookie]="","",SUMIF(BetTable[B2],(VLOOKUP(ROW()-3,BookieName[],2,FALSE)),BetTable[WBA2]))</f>
        <v>0</v>
      </c>
      <c r="J7" s="59">
        <f>IF(Data[Bookie]="","",SUMIF(BetTable[B3],(VLOOKUP(ROW()-3,BookieName[],2,FALSE)),BetTable[WBA3]))</f>
        <v>0</v>
      </c>
      <c r="K7" s="60">
        <f>IF(Data[Bookie]="","",SUMIF(LayTable[BackBook],(VLOOKUP(ROW()-3,BookieName[],2,FALSE)),LayTable[BackStake])*-1)</f>
        <v>0</v>
      </c>
      <c r="L7" s="60">
        <f>IF(Data[Bookie]="","",SUMIF(LayTable[LayBook],(VLOOKUP(ROW()-3,BookieName[],2,FALSE)),LayTable[LayLiability])*-1)</f>
        <v>0</v>
      </c>
      <c r="M7" s="60">
        <f>IF(Data[Bookie]="","",SUMIF(LayTable[BackBook],(VLOOKUP(ROW()-3,BookieName[],2,FALSE)),LayTable[WBABack]))</f>
        <v>0</v>
      </c>
      <c r="N7" s="60">
        <f>IF(Data[Bookie]="","",SUMIF(LayTable[LayBook],(VLOOKUP(ROW()-3,BookieName[],2,FALSE)),LayTable[WBALay]))</f>
        <v>0</v>
      </c>
      <c r="O7" s="60">
        <f>IF(Data[Bookie]="","",SUMIF(DWbonus[Bookie],(VLOOKUP(ROW()-3,BookieName[],2,FALSE)),DWbonus[Amount]))</f>
        <v>0</v>
      </c>
      <c r="P7" s="63">
        <f>IF(Data[Bookie]="","",SUM(Data[[#This Row],[Pending 1]:[PendingL2]]))</f>
        <v>0</v>
      </c>
      <c r="Q7" s="63">
        <f>IF(Data[Bookie]="","",SUMIFS(BetTable[Stake],BetTable[Bookie],(VLOOKUP(ROW()-3,BookieName[],2,FALSE)),BetTable[Result],""))</f>
        <v>0</v>
      </c>
      <c r="R7" s="63">
        <f>IF(Data[Bookie]="","",SUMIFS(BetTable[S2],BetTable[B2],(VLOOKUP(ROW()-3,BookieName[],2,FALSE)),BetTable[Result],""))</f>
        <v>0</v>
      </c>
      <c r="S7" s="63">
        <f>IF(Data[Bookie]="","",SUMIFS(BetTable[S3],BetTable[B3],(VLOOKUP(ROW()-3,BookieName[],2,FALSE)),BetTable[Result],""))</f>
        <v>0</v>
      </c>
      <c r="T7" s="63">
        <f>IF(Data[Bookie]="","",SUMIFS(LayTable[BackStake],LayTable[BackBook],(VLOOKUP(ROW()-3,BookieName[],2,FALSE)),LayTable[AR],""))</f>
        <v>0</v>
      </c>
      <c r="U7" s="63">
        <f>IF(Data[Bookie]="","",SUMIFS(LayTable[LayLiability],LayTable[LayBook],(VLOOKUP(ROW()-3,BookieName[],2,FALSE)),LayTable[AR],""))</f>
        <v>0</v>
      </c>
    </row>
    <row r="8" spans="1:21" x14ac:dyDescent="0.25">
      <c r="A8" s="59">
        <f t="shared" si="0"/>
        <v>5</v>
      </c>
      <c r="B8" s="60" t="str">
        <f>IFERROR(VLOOKUP(ROW()-3,BookieName[],2,FALSE),"")</f>
        <v>188Bet</v>
      </c>
      <c r="C8" s="61">
        <f>IF(Data[Bookie]="","",SUM(Data[[#This Row],[D/W]:[Bonus and Adjustments]],))</f>
        <v>0</v>
      </c>
      <c r="D8" s="61">
        <f>IF(Data[Bookie]="","",SUMIF(DWbooks[Bookie],(VLOOKUP(ROW()-3,BookieName[],2,FALSE)),DWbooks[Amount]))</f>
        <v>0</v>
      </c>
      <c r="E8" s="59">
        <f>IF(Data[Bookie]="","",SUMIF(BetTable[Bookie],(VLOOKUP(ROW()-3,BookieName[],2,FALSE)),BetTable[Stake])*-1)</f>
        <v>0</v>
      </c>
      <c r="F8" s="59">
        <f>IF(Data[Bookie]="","",SUMIF(BetTable[B2],(VLOOKUP(ROW()-3,BookieName[],2,FALSE)),BetTable[S2])*-1)</f>
        <v>0</v>
      </c>
      <c r="G8" s="59">
        <f>IF(Data[Bookie]="","",SUMIF(BetTable[B3],(VLOOKUP(ROW()-3,BookieName[],2,FALSE)),BetTable[S3])*-1)</f>
        <v>0</v>
      </c>
      <c r="H8" s="59">
        <f>IF(Data[Bookie]="","",SUMIF(BetTable[Bookie],(VLOOKUP(ROW()-3,BookieName[],2,FALSE)),BetTable[WBA1]))</f>
        <v>0</v>
      </c>
      <c r="I8" s="59">
        <f>IF(Data[Bookie]="","",SUMIF(BetTable[B2],(VLOOKUP(ROW()-3,BookieName[],2,FALSE)),BetTable[WBA2]))</f>
        <v>0</v>
      </c>
      <c r="J8" s="59">
        <f>IF(Data[Bookie]="","",SUMIF(BetTable[B3],(VLOOKUP(ROW()-3,BookieName[],2,FALSE)),BetTable[WBA3]))</f>
        <v>0</v>
      </c>
      <c r="K8" s="60">
        <f>IF(Data[Bookie]="","",SUMIF(LayTable[BackBook],(VLOOKUP(ROW()-3,BookieName[],2,FALSE)),LayTable[BackStake])*-1)</f>
        <v>0</v>
      </c>
      <c r="L8" s="60">
        <f>IF(Data[Bookie]="","",SUMIF(LayTable[LayBook],(VLOOKUP(ROW()-3,BookieName[],2,FALSE)),LayTable[LayLiability])*-1)</f>
        <v>0</v>
      </c>
      <c r="M8" s="60">
        <f>IF(Data[Bookie]="","",SUMIF(LayTable[BackBook],(VLOOKUP(ROW()-3,BookieName[],2,FALSE)),LayTable[WBABack]))</f>
        <v>0</v>
      </c>
      <c r="N8" s="60">
        <f>IF(Data[Bookie]="","",SUMIF(LayTable[LayBook],(VLOOKUP(ROW()-3,BookieName[],2,FALSE)),LayTable[WBALay]))</f>
        <v>0</v>
      </c>
      <c r="O8" s="60">
        <f>IF(Data[Bookie]="","",SUMIF(DWbonus[Bookie],(VLOOKUP(ROW()-3,BookieName[],2,FALSE)),DWbonus[Amount]))</f>
        <v>0</v>
      </c>
      <c r="P8" s="63">
        <f>IF(Data[Bookie]="","",SUM(Data[[#This Row],[Pending 1]:[PendingL2]]))</f>
        <v>0</v>
      </c>
      <c r="Q8" s="63">
        <f>IF(Data[Bookie]="","",SUMIFS(BetTable[Stake],BetTable[Bookie],(VLOOKUP(ROW()-3,BookieName[],2,FALSE)),BetTable[Result],""))</f>
        <v>0</v>
      </c>
      <c r="R8" s="63">
        <f>IF(Data[Bookie]="","",SUMIFS(BetTable[S2],BetTable[B2],(VLOOKUP(ROW()-3,BookieName[],2,FALSE)),BetTable[Result],""))</f>
        <v>0</v>
      </c>
      <c r="S8" s="63">
        <f>IF(Data[Bookie]="","",SUMIFS(BetTable[S3],BetTable[B3],(VLOOKUP(ROW()-3,BookieName[],2,FALSE)),BetTable[Result],""))</f>
        <v>0</v>
      </c>
      <c r="T8" s="63">
        <f>IF(Data[Bookie]="","",SUMIFS(LayTable[BackStake],LayTable[BackBook],(VLOOKUP(ROW()-3,BookieName[],2,FALSE)),LayTable[AR],""))</f>
        <v>0</v>
      </c>
      <c r="U8" s="63">
        <f>IF(Data[Bookie]="","",SUMIFS(LayTable[LayLiability],LayTable[LayBook],(VLOOKUP(ROW()-3,BookieName[],2,FALSE)),LayTable[AR],""))</f>
        <v>0</v>
      </c>
    </row>
    <row r="9" spans="1:21" x14ac:dyDescent="0.25">
      <c r="A9" s="59">
        <f t="shared" si="0"/>
        <v>6</v>
      </c>
      <c r="B9" s="60" t="str">
        <f>IFERROR(VLOOKUP(ROW()-3,BookieName[],2,FALSE),"")</f>
        <v>18bet</v>
      </c>
      <c r="C9" s="61">
        <f>IF(Data[Bookie]="","",SUM(Data[[#This Row],[D/W]:[Bonus and Adjustments]],))</f>
        <v>0</v>
      </c>
      <c r="D9" s="61">
        <f>IF(Data[Bookie]="","",SUMIF(DWbooks[Bookie],(VLOOKUP(ROW()-3,BookieName[],2,FALSE)),DWbooks[Amount]))</f>
        <v>0</v>
      </c>
      <c r="E9" s="59">
        <f>IF(Data[Bookie]="","",SUMIF(BetTable[Bookie],(VLOOKUP(ROW()-3,BookieName[],2,FALSE)),BetTable[Stake])*-1)</f>
        <v>0</v>
      </c>
      <c r="F9" s="59">
        <f>IF(Data[Bookie]="","",SUMIF(BetTable[B2],(VLOOKUP(ROW()-3,BookieName[],2,FALSE)),BetTable[S2])*-1)</f>
        <v>0</v>
      </c>
      <c r="G9" s="59">
        <f>IF(Data[Bookie]="","",SUMIF(BetTable[B3],(VLOOKUP(ROW()-3,BookieName[],2,FALSE)),BetTable[S3])*-1)</f>
        <v>0</v>
      </c>
      <c r="H9" s="59">
        <f>IF(Data[Bookie]="","",SUMIF(BetTable[Bookie],(VLOOKUP(ROW()-3,BookieName[],2,FALSE)),BetTable[WBA1]))</f>
        <v>0</v>
      </c>
      <c r="I9" s="59">
        <f>IF(Data[Bookie]="","",SUMIF(BetTable[B2],(VLOOKUP(ROW()-3,BookieName[],2,FALSE)),BetTable[WBA2]))</f>
        <v>0</v>
      </c>
      <c r="J9" s="59">
        <f>IF(Data[Bookie]="","",SUMIF(BetTable[B3],(VLOOKUP(ROW()-3,BookieName[],2,FALSE)),BetTable[WBA3]))</f>
        <v>0</v>
      </c>
      <c r="K9" s="60">
        <f>IF(Data[Bookie]="","",SUMIF(LayTable[BackBook],(VLOOKUP(ROW()-3,BookieName[],2,FALSE)),LayTable[BackStake])*-1)</f>
        <v>0</v>
      </c>
      <c r="L9" s="60">
        <f>IF(Data[Bookie]="","",SUMIF(LayTable[LayBook],(VLOOKUP(ROW()-3,BookieName[],2,FALSE)),LayTable[LayLiability])*-1)</f>
        <v>0</v>
      </c>
      <c r="M9" s="60">
        <f>IF(Data[Bookie]="","",SUMIF(LayTable[BackBook],(VLOOKUP(ROW()-3,BookieName[],2,FALSE)),LayTable[WBABack]))</f>
        <v>0</v>
      </c>
      <c r="N9" s="60">
        <f>IF(Data[Bookie]="","",SUMIF(LayTable[LayBook],(VLOOKUP(ROW()-3,BookieName[],2,FALSE)),LayTable[WBALay]))</f>
        <v>0</v>
      </c>
      <c r="O9" s="60">
        <f>IF(Data[Bookie]="","",SUMIF(DWbonus[Bookie],(VLOOKUP(ROW()-3,BookieName[],2,FALSE)),DWbonus[Amount]))</f>
        <v>0</v>
      </c>
      <c r="P9" s="63">
        <f>IF(Data[Bookie]="","",SUM(Data[[#This Row],[Pending 1]:[PendingL2]]))</f>
        <v>0</v>
      </c>
      <c r="Q9" s="63">
        <f>IF(Data[Bookie]="","",SUMIFS(BetTable[Stake],BetTable[Bookie],(VLOOKUP(ROW()-3,BookieName[],2,FALSE)),BetTable[Result],""))</f>
        <v>0</v>
      </c>
      <c r="R9" s="63">
        <f>IF(Data[Bookie]="","",SUMIFS(BetTable[S2],BetTable[B2],(VLOOKUP(ROW()-3,BookieName[],2,FALSE)),BetTable[Result],""))</f>
        <v>0</v>
      </c>
      <c r="S9" s="63">
        <f>IF(Data[Bookie]="","",SUMIFS(BetTable[S3],BetTable[B3],(VLOOKUP(ROW()-3,BookieName[],2,FALSE)),BetTable[Result],""))</f>
        <v>0</v>
      </c>
      <c r="T9" s="63">
        <f>IF(Data[Bookie]="","",SUMIFS(LayTable[BackStake],LayTable[BackBook],(VLOOKUP(ROW()-3,BookieName[],2,FALSE)),LayTable[AR],""))</f>
        <v>0</v>
      </c>
      <c r="U9" s="63">
        <f>IF(Data[Bookie]="","",SUMIFS(LayTable[LayLiability],LayTable[LayBook],(VLOOKUP(ROW()-3,BookieName[],2,FALSE)),LayTable[AR],""))</f>
        <v>0</v>
      </c>
    </row>
    <row r="10" spans="1:21" x14ac:dyDescent="0.25">
      <c r="A10" s="59">
        <f t="shared" si="0"/>
        <v>7</v>
      </c>
      <c r="B10" s="60" t="str">
        <f>IFERROR(VLOOKUP(ROW()-3,BookieName[],2,FALSE),"")</f>
        <v>1xBet</v>
      </c>
      <c r="C10" s="61">
        <f>IF(Data[Bookie]="","",SUM(Data[[#This Row],[D/W]:[Bonus and Adjustments]],))</f>
        <v>0</v>
      </c>
      <c r="D10" s="61">
        <f>IF(Data[Bookie]="","",SUMIF(DWbooks[Bookie],(VLOOKUP(ROW()-3,BookieName[],2,FALSE)),DWbooks[Amount]))</f>
        <v>0</v>
      </c>
      <c r="E10" s="59">
        <f>IF(Data[Bookie]="","",SUMIF(BetTable[Bookie],(VLOOKUP(ROW()-3,BookieName[],2,FALSE)),BetTable[Stake])*-1)</f>
        <v>0</v>
      </c>
      <c r="F10" s="59">
        <f>IF(Data[Bookie]="","",SUMIF(BetTable[B2],(VLOOKUP(ROW()-3,BookieName[],2,FALSE)),BetTable[S2])*-1)</f>
        <v>0</v>
      </c>
      <c r="G10" s="59">
        <f>IF(Data[Bookie]="","",SUMIF(BetTable[B3],(VLOOKUP(ROW()-3,BookieName[],2,FALSE)),BetTable[S3])*-1)</f>
        <v>0</v>
      </c>
      <c r="H10" s="59">
        <f>IF(Data[Bookie]="","",SUMIF(BetTable[Bookie],(VLOOKUP(ROW()-3,BookieName[],2,FALSE)),BetTable[WBA1]))</f>
        <v>0</v>
      </c>
      <c r="I10" s="59">
        <f>IF(Data[Bookie]="","",SUMIF(BetTable[B2],(VLOOKUP(ROW()-3,BookieName[],2,FALSE)),BetTable[WBA2]))</f>
        <v>0</v>
      </c>
      <c r="J10" s="59">
        <f>IF(Data[Bookie]="","",SUMIF(BetTable[B3],(VLOOKUP(ROW()-3,BookieName[],2,FALSE)),BetTable[WBA3]))</f>
        <v>0</v>
      </c>
      <c r="K10" s="60">
        <f>IF(Data[Bookie]="","",SUMIF(LayTable[BackBook],(VLOOKUP(ROW()-3,BookieName[],2,FALSE)),LayTable[BackStake])*-1)</f>
        <v>0</v>
      </c>
      <c r="L10" s="60">
        <f>IF(Data[Bookie]="","",SUMIF(LayTable[LayBook],(VLOOKUP(ROW()-3,BookieName[],2,FALSE)),LayTable[LayLiability])*-1)</f>
        <v>0</v>
      </c>
      <c r="M10" s="60">
        <f>IF(Data[Bookie]="","",SUMIF(LayTable[BackBook],(VLOOKUP(ROW()-3,BookieName[],2,FALSE)),LayTable[WBABack]))</f>
        <v>0</v>
      </c>
      <c r="N10" s="60">
        <f>IF(Data[Bookie]="","",SUMIF(LayTable[LayBook],(VLOOKUP(ROW()-3,BookieName[],2,FALSE)),LayTable[WBALay]))</f>
        <v>0</v>
      </c>
      <c r="O10" s="60">
        <f>IF(Data[Bookie]="","",SUMIF(DWbonus[Bookie],(VLOOKUP(ROW()-3,BookieName[],2,FALSE)),DWbonus[Amount]))</f>
        <v>0</v>
      </c>
      <c r="P10" s="63">
        <f>IF(Data[Bookie]="","",SUM(Data[[#This Row],[Pending 1]:[PendingL2]]))</f>
        <v>0</v>
      </c>
      <c r="Q10" s="63">
        <f>IF(Data[Bookie]="","",SUMIFS(BetTable[Stake],BetTable[Bookie],(VLOOKUP(ROW()-3,BookieName[],2,FALSE)),BetTable[Result],""))</f>
        <v>0</v>
      </c>
      <c r="R10" s="63">
        <f>IF(Data[Bookie]="","",SUMIFS(BetTable[S2],BetTable[B2],(VLOOKUP(ROW()-3,BookieName[],2,FALSE)),BetTable[Result],""))</f>
        <v>0</v>
      </c>
      <c r="S10" s="63">
        <f>IF(Data[Bookie]="","",SUMIFS(BetTable[S3],BetTable[B3],(VLOOKUP(ROW()-3,BookieName[],2,FALSE)),BetTable[Result],""))</f>
        <v>0</v>
      </c>
      <c r="T10" s="63">
        <f>IF(Data[Bookie]="","",SUMIFS(LayTable[BackStake],LayTable[BackBook],(VLOOKUP(ROW()-3,BookieName[],2,FALSE)),LayTable[AR],""))</f>
        <v>0</v>
      </c>
      <c r="U10" s="63">
        <f>IF(Data[Bookie]="","",SUMIFS(LayTable[LayLiability],LayTable[LayBook],(VLOOKUP(ROW()-3,BookieName[],2,FALSE)),LayTable[AR],""))</f>
        <v>0</v>
      </c>
    </row>
    <row r="11" spans="1:21" x14ac:dyDescent="0.25">
      <c r="A11" s="59">
        <f t="shared" si="0"/>
        <v>8</v>
      </c>
      <c r="B11" s="60" t="str">
        <f>IFERROR(VLOOKUP(ROW()-3,BookieName[],2,FALSE),"")</f>
        <v>21Bet</v>
      </c>
      <c r="C11" s="61">
        <f>IF(Data[Bookie]="","",SUM(Data[[#This Row],[D/W]:[Bonus and Adjustments]],))</f>
        <v>0</v>
      </c>
      <c r="D11" s="61">
        <f>IF(Data[Bookie]="","",SUMIF(DWbooks[Bookie],(VLOOKUP(ROW()-3,BookieName[],2,FALSE)),DWbooks[Amount]))</f>
        <v>0</v>
      </c>
      <c r="E11" s="59">
        <f>IF(Data[Bookie]="","",SUMIF(BetTable[Bookie],(VLOOKUP(ROW()-3,BookieName[],2,FALSE)),BetTable[Stake])*-1)</f>
        <v>0</v>
      </c>
      <c r="F11" s="59">
        <f>IF(Data[Bookie]="","",SUMIF(BetTable[B2],(VLOOKUP(ROW()-3,BookieName[],2,FALSE)),BetTable[S2])*-1)</f>
        <v>0</v>
      </c>
      <c r="G11" s="59">
        <f>IF(Data[Bookie]="","",SUMIF(BetTable[B3],(VLOOKUP(ROW()-3,BookieName[],2,FALSE)),BetTable[S3])*-1)</f>
        <v>0</v>
      </c>
      <c r="H11" s="59">
        <f>IF(Data[Bookie]="","",SUMIF(BetTable[Bookie],(VLOOKUP(ROW()-3,BookieName[],2,FALSE)),BetTable[WBA1]))</f>
        <v>0</v>
      </c>
      <c r="I11" s="59">
        <f>IF(Data[Bookie]="","",SUMIF(BetTable[B2],(VLOOKUP(ROW()-3,BookieName[],2,FALSE)),BetTable[WBA2]))</f>
        <v>0</v>
      </c>
      <c r="J11" s="59">
        <f>IF(Data[Bookie]="","",SUMIF(BetTable[B3],(VLOOKUP(ROW()-3,BookieName[],2,FALSE)),BetTable[WBA3]))</f>
        <v>0</v>
      </c>
      <c r="K11" s="60">
        <f>IF(Data[Bookie]="","",SUMIF(LayTable[BackBook],(VLOOKUP(ROW()-3,BookieName[],2,FALSE)),LayTable[BackStake])*-1)</f>
        <v>0</v>
      </c>
      <c r="L11" s="60">
        <f>IF(Data[Bookie]="","",SUMIF(LayTable[LayBook],(VLOOKUP(ROW()-3,BookieName[],2,FALSE)),LayTable[LayLiability])*-1)</f>
        <v>0</v>
      </c>
      <c r="M11" s="60">
        <f>IF(Data[Bookie]="","",SUMIF(LayTable[BackBook],(VLOOKUP(ROW()-3,BookieName[],2,FALSE)),LayTable[WBABack]))</f>
        <v>0</v>
      </c>
      <c r="N11" s="60">
        <f>IF(Data[Bookie]="","",SUMIF(LayTable[LayBook],(VLOOKUP(ROW()-3,BookieName[],2,FALSE)),LayTable[WBALay]))</f>
        <v>0</v>
      </c>
      <c r="O11" s="60">
        <f>IF(Data[Bookie]="","",SUMIF(DWbonus[Bookie],(VLOOKUP(ROW()-3,BookieName[],2,FALSE)),DWbonus[Amount]))</f>
        <v>0</v>
      </c>
      <c r="P11" s="63">
        <f>IF(Data[Bookie]="","",SUM(Data[[#This Row],[Pending 1]:[PendingL2]]))</f>
        <v>0</v>
      </c>
      <c r="Q11" s="63">
        <f>IF(Data[Bookie]="","",SUMIFS(BetTable[Stake],BetTable[Bookie],(VLOOKUP(ROW()-3,BookieName[],2,FALSE)),BetTable[Result],""))</f>
        <v>0</v>
      </c>
      <c r="R11" s="63">
        <f>IF(Data[Bookie]="","",SUMIFS(BetTable[S2],BetTable[B2],(VLOOKUP(ROW()-3,BookieName[],2,FALSE)),BetTable[Result],""))</f>
        <v>0</v>
      </c>
      <c r="S11" s="63">
        <f>IF(Data[Bookie]="","",SUMIFS(BetTable[S3],BetTable[B3],(VLOOKUP(ROW()-3,BookieName[],2,FALSE)),BetTable[Result],""))</f>
        <v>0</v>
      </c>
      <c r="T11" s="63">
        <f>IF(Data[Bookie]="","",SUMIFS(LayTable[BackStake],LayTable[BackBook],(VLOOKUP(ROW()-3,BookieName[],2,FALSE)),LayTable[AR],""))</f>
        <v>0</v>
      </c>
      <c r="U11" s="63">
        <f>IF(Data[Bookie]="","",SUMIFS(LayTable[LayLiability],LayTable[LayBook],(VLOOKUP(ROW()-3,BookieName[],2,FALSE)),LayTable[AR],""))</f>
        <v>0</v>
      </c>
    </row>
    <row r="12" spans="1:21" x14ac:dyDescent="0.25">
      <c r="A12" s="59">
        <f t="shared" si="0"/>
        <v>9</v>
      </c>
      <c r="B12" s="60" t="str">
        <f>IFERROR(VLOOKUP(ROW()-3,BookieName[],2,FALSE),"")</f>
        <v>32Red</v>
      </c>
      <c r="C12" s="61">
        <f>IF(Data[Bookie]="","",SUM(Data[[#This Row],[D/W]:[Bonus and Adjustments]],))</f>
        <v>0</v>
      </c>
      <c r="D12" s="61">
        <f>IF(Data[Bookie]="","",SUMIF(DWbooks[Bookie],(VLOOKUP(ROW()-3,BookieName[],2,FALSE)),DWbooks[Amount]))</f>
        <v>0</v>
      </c>
      <c r="E12" s="59">
        <f>IF(Data[Bookie]="","",SUMIF(BetTable[Bookie],(VLOOKUP(ROW()-3,BookieName[],2,FALSE)),BetTable[Stake])*-1)</f>
        <v>0</v>
      </c>
      <c r="F12" s="59">
        <f>IF(Data[Bookie]="","",SUMIF(BetTable[B2],(VLOOKUP(ROW()-3,BookieName[],2,FALSE)),BetTable[S2])*-1)</f>
        <v>0</v>
      </c>
      <c r="G12" s="59">
        <f>IF(Data[Bookie]="","",SUMIF(BetTable[B3],(VLOOKUP(ROW()-3,BookieName[],2,FALSE)),BetTable[S3])*-1)</f>
        <v>0</v>
      </c>
      <c r="H12" s="59">
        <f>IF(Data[Bookie]="","",SUMIF(BetTable[Bookie],(VLOOKUP(ROW()-3,BookieName[],2,FALSE)),BetTable[WBA1]))</f>
        <v>0</v>
      </c>
      <c r="I12" s="59">
        <f>IF(Data[Bookie]="","",SUMIF(BetTable[B2],(VLOOKUP(ROW()-3,BookieName[],2,FALSE)),BetTable[WBA2]))</f>
        <v>0</v>
      </c>
      <c r="J12" s="59">
        <f>IF(Data[Bookie]="","",SUMIF(BetTable[B3],(VLOOKUP(ROW()-3,BookieName[],2,FALSE)),BetTable[WBA3]))</f>
        <v>0</v>
      </c>
      <c r="K12" s="60">
        <f>IF(Data[Bookie]="","",SUMIF(LayTable[BackBook],(VLOOKUP(ROW()-3,BookieName[],2,FALSE)),LayTable[BackStake])*-1)</f>
        <v>0</v>
      </c>
      <c r="L12" s="60">
        <f>IF(Data[Bookie]="","",SUMIF(LayTable[LayBook],(VLOOKUP(ROW()-3,BookieName[],2,FALSE)),LayTable[LayLiability])*-1)</f>
        <v>0</v>
      </c>
      <c r="M12" s="60">
        <f>IF(Data[Bookie]="","",SUMIF(LayTable[BackBook],(VLOOKUP(ROW()-3,BookieName[],2,FALSE)),LayTable[WBABack]))</f>
        <v>0</v>
      </c>
      <c r="N12" s="60">
        <f>IF(Data[Bookie]="","",SUMIF(LayTable[LayBook],(VLOOKUP(ROW()-3,BookieName[],2,FALSE)),LayTable[WBALay]))</f>
        <v>0</v>
      </c>
      <c r="O12" s="60">
        <f>IF(Data[Bookie]="","",SUMIF(DWbonus[Bookie],(VLOOKUP(ROW()-3,BookieName[],2,FALSE)),DWbonus[Amount]))</f>
        <v>0</v>
      </c>
      <c r="P12" s="63">
        <f>IF(Data[Bookie]="","",SUM(Data[[#This Row],[Pending 1]:[PendingL2]]))</f>
        <v>0</v>
      </c>
      <c r="Q12" s="63">
        <f>IF(Data[Bookie]="","",SUMIFS(BetTable[Stake],BetTable[Bookie],(VLOOKUP(ROW()-3,BookieName[],2,FALSE)),BetTable[Result],""))</f>
        <v>0</v>
      </c>
      <c r="R12" s="63">
        <f>IF(Data[Bookie]="","",SUMIFS(BetTable[S2],BetTable[B2],(VLOOKUP(ROW()-3,BookieName[],2,FALSE)),BetTable[Result],""))</f>
        <v>0</v>
      </c>
      <c r="S12" s="63">
        <f>IF(Data[Bookie]="","",SUMIFS(BetTable[S3],BetTable[B3],(VLOOKUP(ROW()-3,BookieName[],2,FALSE)),BetTable[Result],""))</f>
        <v>0</v>
      </c>
      <c r="T12" s="63">
        <f>IF(Data[Bookie]="","",SUMIFS(LayTable[BackStake],LayTable[BackBook],(VLOOKUP(ROW()-3,BookieName[],2,FALSE)),LayTable[AR],""))</f>
        <v>0</v>
      </c>
      <c r="U12" s="63">
        <f>IF(Data[Bookie]="","",SUMIFS(LayTable[LayLiability],LayTable[LayBook],(VLOOKUP(ROW()-3,BookieName[],2,FALSE)),LayTable[AR],""))</f>
        <v>0</v>
      </c>
    </row>
    <row r="13" spans="1:21" x14ac:dyDescent="0.25">
      <c r="A13" s="59">
        <f t="shared" si="0"/>
        <v>10</v>
      </c>
      <c r="B13" s="60" t="str">
        <f>IFERROR(VLOOKUP(ROW()-3,BookieName[],2,FALSE),"")</f>
        <v>3et</v>
      </c>
      <c r="C13" s="61">
        <f>IF(Data[Bookie]="","",SUM(Data[[#This Row],[D/W]:[Bonus and Adjustments]],))</f>
        <v>0</v>
      </c>
      <c r="D13" s="61">
        <f>IF(Data[Bookie]="","",SUMIF(DWbooks[Bookie],(VLOOKUP(ROW()-3,BookieName[],2,FALSE)),DWbooks[Amount]))</f>
        <v>0</v>
      </c>
      <c r="E13" s="59">
        <f>IF(Data[Bookie]="","",SUMIF(BetTable[Bookie],(VLOOKUP(ROW()-3,BookieName[],2,FALSE)),BetTable[Stake])*-1)</f>
        <v>0</v>
      </c>
      <c r="F13" s="59">
        <f>IF(Data[Bookie]="","",SUMIF(BetTable[B2],(VLOOKUP(ROW()-3,BookieName[],2,FALSE)),BetTable[S2])*-1)</f>
        <v>0</v>
      </c>
      <c r="G13" s="59">
        <f>IF(Data[Bookie]="","",SUMIF(BetTable[B3],(VLOOKUP(ROW()-3,BookieName[],2,FALSE)),BetTable[S3])*-1)</f>
        <v>0</v>
      </c>
      <c r="H13" s="59">
        <f>IF(Data[Bookie]="","",SUMIF(BetTable[Bookie],(VLOOKUP(ROW()-3,BookieName[],2,FALSE)),BetTable[WBA1]))</f>
        <v>0</v>
      </c>
      <c r="I13" s="59">
        <f>IF(Data[Bookie]="","",SUMIF(BetTable[B2],(VLOOKUP(ROW()-3,BookieName[],2,FALSE)),BetTable[WBA2]))</f>
        <v>0</v>
      </c>
      <c r="J13" s="59">
        <f>IF(Data[Bookie]="","",SUMIF(BetTable[B3],(VLOOKUP(ROW()-3,BookieName[],2,FALSE)),BetTable[WBA3]))</f>
        <v>0</v>
      </c>
      <c r="K13" s="60">
        <f>IF(Data[Bookie]="","",SUMIF(LayTable[BackBook],(VLOOKUP(ROW()-3,BookieName[],2,FALSE)),LayTable[BackStake])*-1)</f>
        <v>0</v>
      </c>
      <c r="L13" s="60">
        <f>IF(Data[Bookie]="","",SUMIF(LayTable[LayBook],(VLOOKUP(ROW()-3,BookieName[],2,FALSE)),LayTable[LayLiability])*-1)</f>
        <v>0</v>
      </c>
      <c r="M13" s="60">
        <f>IF(Data[Bookie]="","",SUMIF(LayTable[BackBook],(VLOOKUP(ROW()-3,BookieName[],2,FALSE)),LayTable[WBABack]))</f>
        <v>0</v>
      </c>
      <c r="N13" s="60">
        <f>IF(Data[Bookie]="","",SUMIF(LayTable[LayBook],(VLOOKUP(ROW()-3,BookieName[],2,FALSE)),LayTable[WBALay]))</f>
        <v>0</v>
      </c>
      <c r="O13" s="60">
        <f>IF(Data[Bookie]="","",SUMIF(DWbonus[Bookie],(VLOOKUP(ROW()-3,BookieName[],2,FALSE)),DWbonus[Amount]))</f>
        <v>0</v>
      </c>
      <c r="P13" s="63">
        <f>IF(Data[Bookie]="","",SUM(Data[[#This Row],[Pending 1]:[PendingL2]]))</f>
        <v>0</v>
      </c>
      <c r="Q13" s="63">
        <f>IF(Data[Bookie]="","",SUMIFS(BetTable[Stake],BetTable[Bookie],(VLOOKUP(ROW()-3,BookieName[],2,FALSE)),BetTable[Result],""))</f>
        <v>0</v>
      </c>
      <c r="R13" s="63">
        <f>IF(Data[Bookie]="","",SUMIFS(BetTable[S2],BetTable[B2],(VLOOKUP(ROW()-3,BookieName[],2,FALSE)),BetTable[Result],""))</f>
        <v>0</v>
      </c>
      <c r="S13" s="63">
        <f>IF(Data[Bookie]="","",SUMIFS(BetTable[S3],BetTable[B3],(VLOOKUP(ROW()-3,BookieName[],2,FALSE)),BetTable[Result],""))</f>
        <v>0</v>
      </c>
      <c r="T13" s="63">
        <f>IF(Data[Bookie]="","",SUMIFS(LayTable[BackStake],LayTable[BackBook],(VLOOKUP(ROW()-3,BookieName[],2,FALSE)),LayTable[AR],""))</f>
        <v>0</v>
      </c>
      <c r="U13" s="63">
        <f>IF(Data[Bookie]="","",SUMIFS(LayTable[LayLiability],LayTable[LayBook],(VLOOKUP(ROW()-3,BookieName[],2,FALSE)),LayTable[AR],""))</f>
        <v>0</v>
      </c>
    </row>
    <row r="14" spans="1:21" x14ac:dyDescent="0.25">
      <c r="A14" s="59">
        <f t="shared" si="0"/>
        <v>11</v>
      </c>
      <c r="B14" s="60" t="str">
        <f>IFERROR(VLOOKUP(ROW()-3,BookieName[],2,FALSE),"")</f>
        <v>5Dimes</v>
      </c>
      <c r="C14" s="61">
        <f>IF(Data[Bookie]="","",SUM(Data[[#This Row],[D/W]:[Bonus and Adjustments]],))</f>
        <v>-66.015999999997803</v>
      </c>
      <c r="D14" s="61">
        <f>IF(Data[Bookie]="","",SUMIF(DWbooks[Bookie],(VLOOKUP(ROW()-3,BookieName[],2,FALSE)),DWbooks[Amount]))</f>
        <v>0</v>
      </c>
      <c r="E14" s="59">
        <f>IF(Data[Bookie]="","",SUMIF(BetTable[Bookie],(VLOOKUP(ROW()-3,BookieName[],2,FALSE)),BetTable[Stake])*-1)</f>
        <v>-8885.5</v>
      </c>
      <c r="F14" s="59">
        <f>IF(Data[Bookie]="","",SUMIF(BetTable[B2],(VLOOKUP(ROW()-3,BookieName[],2,FALSE)),BetTable[S2])*-1)</f>
        <v>0</v>
      </c>
      <c r="G14" s="59">
        <f>IF(Data[Bookie]="","",SUMIF(BetTable[B3],(VLOOKUP(ROW()-3,BookieName[],2,FALSE)),BetTable[S3])*-1)</f>
        <v>0</v>
      </c>
      <c r="H14" s="59">
        <f>IF(Data[Bookie]="","",SUMIF(BetTable[Bookie],(VLOOKUP(ROW()-3,BookieName[],2,FALSE)),BetTable[WBA1]))</f>
        <v>8819.4840000000022</v>
      </c>
      <c r="I14" s="59">
        <f>IF(Data[Bookie]="","",SUMIF(BetTable[B2],(VLOOKUP(ROW()-3,BookieName[],2,FALSE)),BetTable[WBA2]))</f>
        <v>0</v>
      </c>
      <c r="J14" s="59">
        <f>IF(Data[Bookie]="","",SUMIF(BetTable[B3],(VLOOKUP(ROW()-3,BookieName[],2,FALSE)),BetTable[WBA3]))</f>
        <v>0</v>
      </c>
      <c r="K14" s="60">
        <f>IF(Data[Bookie]="","",SUMIF(LayTable[BackBook],(VLOOKUP(ROW()-3,BookieName[],2,FALSE)),LayTable[BackStake])*-1)</f>
        <v>0</v>
      </c>
      <c r="L14" s="60">
        <f>IF(Data[Bookie]="","",SUMIF(LayTable[LayBook],(VLOOKUP(ROW()-3,BookieName[],2,FALSE)),LayTable[LayLiability])*-1)</f>
        <v>0</v>
      </c>
      <c r="M14" s="60">
        <f>IF(Data[Bookie]="","",SUMIF(LayTable[BackBook],(VLOOKUP(ROW()-3,BookieName[],2,FALSE)),LayTable[WBABack]))</f>
        <v>0</v>
      </c>
      <c r="N14" s="60">
        <f>IF(Data[Bookie]="","",SUMIF(LayTable[LayBook],(VLOOKUP(ROW()-3,BookieName[],2,FALSE)),LayTable[WBALay]))</f>
        <v>0</v>
      </c>
      <c r="O14" s="60">
        <f>IF(Data[Bookie]="","",SUMIF(DWbonus[Bookie],(VLOOKUP(ROW()-3,BookieName[],2,FALSE)),DWbonus[Amount]))</f>
        <v>0</v>
      </c>
      <c r="P14" s="63">
        <f>IF(Data[Bookie]="","",SUM(Data[[#This Row],[Pending 1]:[PendingL2]]))</f>
        <v>0</v>
      </c>
      <c r="Q14" s="63">
        <f>IF(Data[Bookie]="","",SUMIFS(BetTable[Stake],BetTable[Bookie],(VLOOKUP(ROW()-3,BookieName[],2,FALSE)),BetTable[Result],""))</f>
        <v>0</v>
      </c>
      <c r="R14" s="63">
        <f>IF(Data[Bookie]="","",SUMIFS(BetTable[S2],BetTable[B2],(VLOOKUP(ROW()-3,BookieName[],2,FALSE)),BetTable[Result],""))</f>
        <v>0</v>
      </c>
      <c r="S14" s="63">
        <f>IF(Data[Bookie]="","",SUMIFS(BetTable[S3],BetTable[B3],(VLOOKUP(ROW()-3,BookieName[],2,FALSE)),BetTable[Result],""))</f>
        <v>0</v>
      </c>
      <c r="T14" s="63">
        <f>IF(Data[Bookie]="","",SUMIFS(LayTable[BackStake],LayTable[BackBook],(VLOOKUP(ROW()-3,BookieName[],2,FALSE)),LayTable[AR],""))</f>
        <v>0</v>
      </c>
      <c r="U14" s="63">
        <f>IF(Data[Bookie]="","",SUMIFS(LayTable[LayLiability],LayTable[LayBook],(VLOOKUP(ROW()-3,BookieName[],2,FALSE)),LayTable[AR],""))</f>
        <v>0</v>
      </c>
    </row>
    <row r="15" spans="1:21" x14ac:dyDescent="0.25">
      <c r="A15" s="59">
        <f t="shared" si="0"/>
        <v>12</v>
      </c>
      <c r="B15" s="60" t="str">
        <f>IFERROR(VLOOKUP(ROW()-3,BookieName[],2,FALSE),"")</f>
        <v>888sport</v>
      </c>
      <c r="C15" s="61">
        <f>IF(Data[Bookie]="","",SUM(Data[[#This Row],[D/W]:[Bonus and Adjustments]],))</f>
        <v>41.78</v>
      </c>
      <c r="D15" s="61">
        <f>IF(Data[Bookie]="","",SUMIF(DWbooks[Bookie],(VLOOKUP(ROW()-3,BookieName[],2,FALSE)),DWbooks[Amount]))</f>
        <v>0</v>
      </c>
      <c r="E15" s="59">
        <f>IF(Data[Bookie]="","",SUMIF(BetTable[Bookie],(VLOOKUP(ROW()-3,BookieName[],2,FALSE)),BetTable[Stake])*-1)</f>
        <v>-44</v>
      </c>
      <c r="F15" s="59">
        <f>IF(Data[Bookie]="","",SUMIF(BetTable[B2],(VLOOKUP(ROW()-3,BookieName[],2,FALSE)),BetTable[S2])*-1)</f>
        <v>0</v>
      </c>
      <c r="G15" s="59">
        <f>IF(Data[Bookie]="","",SUMIF(BetTable[B3],(VLOOKUP(ROW()-3,BookieName[],2,FALSE)),BetTable[S3])*-1)</f>
        <v>0</v>
      </c>
      <c r="H15" s="59">
        <f>IF(Data[Bookie]="","",SUMIF(BetTable[Bookie],(VLOOKUP(ROW()-3,BookieName[],2,FALSE)),BetTable[WBA1]))</f>
        <v>85.78</v>
      </c>
      <c r="I15" s="59">
        <f>IF(Data[Bookie]="","",SUMIF(BetTable[B2],(VLOOKUP(ROW()-3,BookieName[],2,FALSE)),BetTable[WBA2]))</f>
        <v>0</v>
      </c>
      <c r="J15" s="59">
        <f>IF(Data[Bookie]="","",SUMIF(BetTable[B3],(VLOOKUP(ROW()-3,BookieName[],2,FALSE)),BetTable[WBA3]))</f>
        <v>0</v>
      </c>
      <c r="K15" s="60">
        <f>IF(Data[Bookie]="","",SUMIF(LayTable[BackBook],(VLOOKUP(ROW()-3,BookieName[],2,FALSE)),LayTable[BackStake])*-1)</f>
        <v>0</v>
      </c>
      <c r="L15" s="60">
        <f>IF(Data[Bookie]="","",SUMIF(LayTable[LayBook],(VLOOKUP(ROW()-3,BookieName[],2,FALSE)),LayTable[LayLiability])*-1)</f>
        <v>0</v>
      </c>
      <c r="M15" s="60">
        <f>IF(Data[Bookie]="","",SUMIF(LayTable[BackBook],(VLOOKUP(ROW()-3,BookieName[],2,FALSE)),LayTable[WBABack]))</f>
        <v>0</v>
      </c>
      <c r="N15" s="60">
        <f>IF(Data[Bookie]="","",SUMIF(LayTable[LayBook],(VLOOKUP(ROW()-3,BookieName[],2,FALSE)),LayTable[WBALay]))</f>
        <v>0</v>
      </c>
      <c r="O15" s="60">
        <f>IF(Data[Bookie]="","",SUMIF(DWbonus[Bookie],(VLOOKUP(ROW()-3,BookieName[],2,FALSE)),DWbonus[Amount]))</f>
        <v>0</v>
      </c>
      <c r="P15" s="63">
        <f>IF(Data[Bookie]="","",SUM(Data[[#This Row],[Pending 1]:[PendingL2]]))</f>
        <v>0</v>
      </c>
      <c r="Q15" s="63">
        <f>IF(Data[Bookie]="","",SUMIFS(BetTable[Stake],BetTable[Bookie],(VLOOKUP(ROW()-3,BookieName[],2,FALSE)),BetTable[Result],""))</f>
        <v>0</v>
      </c>
      <c r="R15" s="63">
        <f>IF(Data[Bookie]="","",SUMIFS(BetTable[S2],BetTable[B2],(VLOOKUP(ROW()-3,BookieName[],2,FALSE)),BetTable[Result],""))</f>
        <v>0</v>
      </c>
      <c r="S15" s="63">
        <f>IF(Data[Bookie]="","",SUMIFS(BetTable[S3],BetTable[B3],(VLOOKUP(ROW()-3,BookieName[],2,FALSE)),BetTable[Result],""))</f>
        <v>0</v>
      </c>
      <c r="T15" s="63">
        <f>IF(Data[Bookie]="","",SUMIFS(LayTable[BackStake],LayTable[BackBook],(VLOOKUP(ROW()-3,BookieName[],2,FALSE)),LayTable[AR],""))</f>
        <v>0</v>
      </c>
      <c r="U15" s="63">
        <f>IF(Data[Bookie]="","",SUMIFS(LayTable[LayLiability],LayTable[LayBook],(VLOOKUP(ROW()-3,BookieName[],2,FALSE)),LayTable[AR],""))</f>
        <v>0</v>
      </c>
    </row>
    <row r="16" spans="1:21" x14ac:dyDescent="0.25">
      <c r="A16" s="59">
        <f t="shared" si="0"/>
        <v>13</v>
      </c>
      <c r="B16" s="60" t="str">
        <f>IFERROR(VLOOKUP(ROW()-3,BookieName[],2,FALSE),"")</f>
        <v>AdmiralAt</v>
      </c>
      <c r="C16" s="61">
        <f>IF(Data[Bookie]="","",SUM(Data[[#This Row],[D/W]:[Bonus and Adjustments]],))</f>
        <v>0</v>
      </c>
      <c r="D16" s="61">
        <f>IF(Data[Bookie]="","",SUMIF(DWbooks[Bookie],(VLOOKUP(ROW()-3,BookieName[],2,FALSE)),DWbooks[Amount]))</f>
        <v>0</v>
      </c>
      <c r="E16" s="59">
        <f>IF(Data[Bookie]="","",SUMIF(BetTable[Bookie],(VLOOKUP(ROW()-3,BookieName[],2,FALSE)),BetTable[Stake])*-1)</f>
        <v>0</v>
      </c>
      <c r="F16" s="59">
        <f>IF(Data[Bookie]="","",SUMIF(BetTable[B2],(VLOOKUP(ROW()-3,BookieName[],2,FALSE)),BetTable[S2])*-1)</f>
        <v>0</v>
      </c>
      <c r="G16" s="59">
        <f>IF(Data[Bookie]="","",SUMIF(BetTable[B3],(VLOOKUP(ROW()-3,BookieName[],2,FALSE)),BetTable[S3])*-1)</f>
        <v>0</v>
      </c>
      <c r="H16" s="59">
        <f>IF(Data[Bookie]="","",SUMIF(BetTable[Bookie],(VLOOKUP(ROW()-3,BookieName[],2,FALSE)),BetTable[WBA1]))</f>
        <v>0</v>
      </c>
      <c r="I16" s="59">
        <f>IF(Data[Bookie]="","",SUMIF(BetTable[B2],(VLOOKUP(ROW()-3,BookieName[],2,FALSE)),BetTable[WBA2]))</f>
        <v>0</v>
      </c>
      <c r="J16" s="59">
        <f>IF(Data[Bookie]="","",SUMIF(BetTable[B3],(VLOOKUP(ROW()-3,BookieName[],2,FALSE)),BetTable[WBA3]))</f>
        <v>0</v>
      </c>
      <c r="K16" s="60">
        <f>IF(Data[Bookie]="","",SUMIF(LayTable[BackBook],(VLOOKUP(ROW()-3,BookieName[],2,FALSE)),LayTable[BackStake])*-1)</f>
        <v>0</v>
      </c>
      <c r="L16" s="60">
        <f>IF(Data[Bookie]="","",SUMIF(LayTable[LayBook],(VLOOKUP(ROW()-3,BookieName[],2,FALSE)),LayTable[LayLiability])*-1)</f>
        <v>0</v>
      </c>
      <c r="M16" s="60">
        <f>IF(Data[Bookie]="","",SUMIF(LayTable[BackBook],(VLOOKUP(ROW()-3,BookieName[],2,FALSE)),LayTable[WBABack]))</f>
        <v>0</v>
      </c>
      <c r="N16" s="60">
        <f>IF(Data[Bookie]="","",SUMIF(LayTable[LayBook],(VLOOKUP(ROW()-3,BookieName[],2,FALSE)),LayTable[WBALay]))</f>
        <v>0</v>
      </c>
      <c r="O16" s="60">
        <f>IF(Data[Bookie]="","",SUMIF(DWbonus[Bookie],(VLOOKUP(ROW()-3,BookieName[],2,FALSE)),DWbonus[Amount]))</f>
        <v>0</v>
      </c>
      <c r="P16" s="63">
        <f>IF(Data[Bookie]="","",SUM(Data[[#This Row],[Pending 1]:[PendingL2]]))</f>
        <v>0</v>
      </c>
      <c r="Q16" s="63">
        <f>IF(Data[Bookie]="","",SUMIFS(BetTable[Stake],BetTable[Bookie],(VLOOKUP(ROW()-3,BookieName[],2,FALSE)),BetTable[Result],""))</f>
        <v>0</v>
      </c>
      <c r="R16" s="63">
        <f>IF(Data[Bookie]="","",SUMIFS(BetTable[S2],BetTable[B2],(VLOOKUP(ROW()-3,BookieName[],2,FALSE)),BetTable[Result],""))</f>
        <v>0</v>
      </c>
      <c r="S16" s="63">
        <f>IF(Data[Bookie]="","",SUMIFS(BetTable[S3],BetTable[B3],(VLOOKUP(ROW()-3,BookieName[],2,FALSE)),BetTable[Result],""))</f>
        <v>0</v>
      </c>
      <c r="T16" s="63">
        <f>IF(Data[Bookie]="","",SUMIFS(LayTable[BackStake],LayTable[BackBook],(VLOOKUP(ROW()-3,BookieName[],2,FALSE)),LayTable[AR],""))</f>
        <v>0</v>
      </c>
      <c r="U16" s="63">
        <f>IF(Data[Bookie]="","",SUMIFS(LayTable[LayLiability],LayTable[LayBook],(VLOOKUP(ROW()-3,BookieName[],2,FALSE)),LayTable[AR],""))</f>
        <v>0</v>
      </c>
    </row>
    <row r="17" spans="1:21" x14ac:dyDescent="0.25">
      <c r="A17" s="59">
        <f t="shared" si="0"/>
        <v>14</v>
      </c>
      <c r="B17" s="60" t="str">
        <f>IFERROR(VLOOKUP(ROW()-3,BookieName[],2,FALSE),"")</f>
        <v>Bet365</v>
      </c>
      <c r="C17" s="61">
        <f>IF(Data[Bookie]="","",SUM(Data[[#This Row],[D/W]:[Bonus and Adjustments]],))</f>
        <v>211.7002500000001</v>
      </c>
      <c r="D17" s="61">
        <f>IF(Data[Bookie]="","",SUMIF(DWbooks[Bookie],(VLOOKUP(ROW()-3,BookieName[],2,FALSE)),DWbooks[Amount]))</f>
        <v>0</v>
      </c>
      <c r="E17" s="59">
        <f>IF(Data[Bookie]="","",SUMIF(BetTable[Bookie],(VLOOKUP(ROW()-3,BookieName[],2,FALSE)),BetTable[Stake])*-1)</f>
        <v>-591.09</v>
      </c>
      <c r="F17" s="59">
        <f>IF(Data[Bookie]="","",SUMIF(BetTable[B2],(VLOOKUP(ROW()-3,BookieName[],2,FALSE)),BetTable[S2])*-1)</f>
        <v>0</v>
      </c>
      <c r="G17" s="59">
        <f>IF(Data[Bookie]="","",SUMIF(BetTable[B3],(VLOOKUP(ROW()-3,BookieName[],2,FALSE)),BetTable[S3])*-1)</f>
        <v>0</v>
      </c>
      <c r="H17" s="59">
        <f>IF(Data[Bookie]="","",SUMIF(BetTable[Bookie],(VLOOKUP(ROW()-3,BookieName[],2,FALSE)),BetTable[WBA1]))</f>
        <v>802.79025000000013</v>
      </c>
      <c r="I17" s="59">
        <f>IF(Data[Bookie]="","",SUMIF(BetTable[B2],(VLOOKUP(ROW()-3,BookieName[],2,FALSE)),BetTable[WBA2]))</f>
        <v>0</v>
      </c>
      <c r="J17" s="59">
        <f>IF(Data[Bookie]="","",SUMIF(BetTable[B3],(VLOOKUP(ROW()-3,BookieName[],2,FALSE)),BetTable[WBA3]))</f>
        <v>0</v>
      </c>
      <c r="K17" s="60">
        <f>IF(Data[Bookie]="","",SUMIF(LayTable[BackBook],(VLOOKUP(ROW()-3,BookieName[],2,FALSE)),LayTable[BackStake])*-1)</f>
        <v>0</v>
      </c>
      <c r="L17" s="60">
        <f>IF(Data[Bookie]="","",SUMIF(LayTable[LayBook],(VLOOKUP(ROW()-3,BookieName[],2,FALSE)),LayTable[LayLiability])*-1)</f>
        <v>0</v>
      </c>
      <c r="M17" s="60">
        <f>IF(Data[Bookie]="","",SUMIF(LayTable[BackBook],(VLOOKUP(ROW()-3,BookieName[],2,FALSE)),LayTable[WBABack]))</f>
        <v>0</v>
      </c>
      <c r="N17" s="60">
        <f>IF(Data[Bookie]="","",SUMIF(LayTable[LayBook],(VLOOKUP(ROW()-3,BookieName[],2,FALSE)),LayTable[WBALay]))</f>
        <v>0</v>
      </c>
      <c r="O17" s="60">
        <f>IF(Data[Bookie]="","",SUMIF(DWbonus[Bookie],(VLOOKUP(ROW()-3,BookieName[],2,FALSE)),DWbonus[Amount]))</f>
        <v>0</v>
      </c>
      <c r="P17" s="63">
        <f>IF(Data[Bookie]="","",SUM(Data[[#This Row],[Pending 1]:[PendingL2]]))</f>
        <v>0</v>
      </c>
      <c r="Q17" s="63">
        <f>IF(Data[Bookie]="","",SUMIFS(BetTable[Stake],BetTable[Bookie],(VLOOKUP(ROW()-3,BookieName[],2,FALSE)),BetTable[Result],""))</f>
        <v>0</v>
      </c>
      <c r="R17" s="63">
        <f>IF(Data[Bookie]="","",SUMIFS(BetTable[S2],BetTable[B2],(VLOOKUP(ROW()-3,BookieName[],2,FALSE)),BetTable[Result],""))</f>
        <v>0</v>
      </c>
      <c r="S17" s="63">
        <f>IF(Data[Bookie]="","",SUMIFS(BetTable[S3],BetTable[B3],(VLOOKUP(ROW()-3,BookieName[],2,FALSE)),BetTable[Result],""))</f>
        <v>0</v>
      </c>
      <c r="T17" s="63">
        <f>IF(Data[Bookie]="","",SUMIFS(LayTable[BackStake],LayTable[BackBook],(VLOOKUP(ROW()-3,BookieName[],2,FALSE)),LayTable[AR],""))</f>
        <v>0</v>
      </c>
      <c r="U17" s="63">
        <f>IF(Data[Bookie]="","",SUMIFS(LayTable[LayLiability],LayTable[LayBook],(VLOOKUP(ROW()-3,BookieName[],2,FALSE)),LayTable[AR],""))</f>
        <v>0</v>
      </c>
    </row>
    <row r="18" spans="1:21" x14ac:dyDescent="0.25">
      <c r="A18" s="59">
        <f t="shared" si="0"/>
        <v>15</v>
      </c>
      <c r="B18" s="60" t="str">
        <f>IFERROR(VLOOKUP(ROW()-3,BookieName[],2,FALSE),"")</f>
        <v>Bet9ja</v>
      </c>
      <c r="C18" s="61">
        <f>IF(Data[Bookie]="","",SUM(Data[[#This Row],[D/W]:[Bonus and Adjustments]],))</f>
        <v>0</v>
      </c>
      <c r="D18" s="61">
        <f>IF(Data[Bookie]="","",SUMIF(DWbooks[Bookie],(VLOOKUP(ROW()-3,BookieName[],2,FALSE)),DWbooks[Amount]))</f>
        <v>0</v>
      </c>
      <c r="E18" s="59">
        <f>IF(Data[Bookie]="","",SUMIF(BetTable[Bookie],(VLOOKUP(ROW()-3,BookieName[],2,FALSE)),BetTable[Stake])*-1)</f>
        <v>0</v>
      </c>
      <c r="F18" s="59">
        <f>IF(Data[Bookie]="","",SUMIF(BetTable[B2],(VLOOKUP(ROW()-3,BookieName[],2,FALSE)),BetTable[S2])*-1)</f>
        <v>0</v>
      </c>
      <c r="G18" s="59">
        <f>IF(Data[Bookie]="","",SUMIF(BetTable[B3],(VLOOKUP(ROW()-3,BookieName[],2,FALSE)),BetTable[S3])*-1)</f>
        <v>0</v>
      </c>
      <c r="H18" s="59">
        <f>IF(Data[Bookie]="","",SUMIF(BetTable[Bookie],(VLOOKUP(ROW()-3,BookieName[],2,FALSE)),BetTable[WBA1]))</f>
        <v>0</v>
      </c>
      <c r="I18" s="59">
        <f>IF(Data[Bookie]="","",SUMIF(BetTable[B2],(VLOOKUP(ROW()-3,BookieName[],2,FALSE)),BetTable[WBA2]))</f>
        <v>0</v>
      </c>
      <c r="J18" s="59">
        <f>IF(Data[Bookie]="","",SUMIF(BetTable[B3],(VLOOKUP(ROW()-3,BookieName[],2,FALSE)),BetTable[WBA3]))</f>
        <v>0</v>
      </c>
      <c r="K18" s="60">
        <f>IF(Data[Bookie]="","",SUMIF(LayTable[BackBook],(VLOOKUP(ROW()-3,BookieName[],2,FALSE)),LayTable[BackStake])*-1)</f>
        <v>0</v>
      </c>
      <c r="L18" s="60">
        <f>IF(Data[Bookie]="","",SUMIF(LayTable[LayBook],(VLOOKUP(ROW()-3,BookieName[],2,FALSE)),LayTable[LayLiability])*-1)</f>
        <v>0</v>
      </c>
      <c r="M18" s="60">
        <f>IF(Data[Bookie]="","",SUMIF(LayTable[BackBook],(VLOOKUP(ROW()-3,BookieName[],2,FALSE)),LayTable[WBABack]))</f>
        <v>0</v>
      </c>
      <c r="N18" s="60">
        <f>IF(Data[Bookie]="","",SUMIF(LayTable[LayBook],(VLOOKUP(ROW()-3,BookieName[],2,FALSE)),LayTable[WBALay]))</f>
        <v>0</v>
      </c>
      <c r="O18" s="60">
        <f>IF(Data[Bookie]="","",SUMIF(DWbonus[Bookie],(VLOOKUP(ROW()-3,BookieName[],2,FALSE)),DWbonus[Amount]))</f>
        <v>0</v>
      </c>
      <c r="P18" s="63">
        <f>IF(Data[Bookie]="","",SUM(Data[[#This Row],[Pending 1]:[PendingL2]]))</f>
        <v>0</v>
      </c>
      <c r="Q18" s="63">
        <f>IF(Data[Bookie]="","",SUMIFS(BetTable[Stake],BetTable[Bookie],(VLOOKUP(ROW()-3,BookieName[],2,FALSE)),BetTable[Result],""))</f>
        <v>0</v>
      </c>
      <c r="R18" s="63">
        <f>IF(Data[Bookie]="","",SUMIFS(BetTable[S2],BetTable[B2],(VLOOKUP(ROW()-3,BookieName[],2,FALSE)),BetTable[Result],""))</f>
        <v>0</v>
      </c>
      <c r="S18" s="63">
        <f>IF(Data[Bookie]="","",SUMIFS(BetTable[S3],BetTable[B3],(VLOOKUP(ROW()-3,BookieName[],2,FALSE)),BetTable[Result],""))</f>
        <v>0</v>
      </c>
      <c r="T18" s="63">
        <f>IF(Data[Bookie]="","",SUMIFS(LayTable[BackStake],LayTable[BackBook],(VLOOKUP(ROW()-3,BookieName[],2,FALSE)),LayTable[AR],""))</f>
        <v>0</v>
      </c>
      <c r="U18" s="63">
        <f>IF(Data[Bookie]="","",SUMIFS(LayTable[LayLiability],LayTable[LayBook],(VLOOKUP(ROW()-3,BookieName[],2,FALSE)),LayTable[AR],""))</f>
        <v>0</v>
      </c>
    </row>
    <row r="19" spans="1:21" x14ac:dyDescent="0.25">
      <c r="A19" s="59">
        <f t="shared" si="0"/>
        <v>16</v>
      </c>
      <c r="B19" s="60" t="str">
        <f>IFERROR(VLOOKUP(ROW()-3,BookieName[],2,FALSE),"")</f>
        <v>BetAtHome</v>
      </c>
      <c r="C19" s="61">
        <f>IF(Data[Bookie]="","",SUM(Data[[#This Row],[D/W]:[Bonus and Adjustments]],))</f>
        <v>0</v>
      </c>
      <c r="D19" s="61">
        <f>IF(Data[Bookie]="","",SUMIF(DWbooks[Bookie],(VLOOKUP(ROW()-3,BookieName[],2,FALSE)),DWbooks[Amount]))</f>
        <v>0</v>
      </c>
      <c r="E19" s="59">
        <f>IF(Data[Bookie]="","",SUMIF(BetTable[Bookie],(VLOOKUP(ROW()-3,BookieName[],2,FALSE)),BetTable[Stake])*-1)</f>
        <v>0</v>
      </c>
      <c r="F19" s="59">
        <f>IF(Data[Bookie]="","",SUMIF(BetTable[B2],(VLOOKUP(ROW()-3,BookieName[],2,FALSE)),BetTable[S2])*-1)</f>
        <v>0</v>
      </c>
      <c r="G19" s="59">
        <f>IF(Data[Bookie]="","",SUMIF(BetTable[B3],(VLOOKUP(ROW()-3,BookieName[],2,FALSE)),BetTable[S3])*-1)</f>
        <v>0</v>
      </c>
      <c r="H19" s="59">
        <f>IF(Data[Bookie]="","",SUMIF(BetTable[Bookie],(VLOOKUP(ROW()-3,BookieName[],2,FALSE)),BetTable[WBA1]))</f>
        <v>0</v>
      </c>
      <c r="I19" s="59">
        <f>IF(Data[Bookie]="","",SUMIF(BetTable[B2],(VLOOKUP(ROW()-3,BookieName[],2,FALSE)),BetTable[WBA2]))</f>
        <v>0</v>
      </c>
      <c r="J19" s="59">
        <f>IF(Data[Bookie]="","",SUMIF(BetTable[B3],(VLOOKUP(ROW()-3,BookieName[],2,FALSE)),BetTable[WBA3]))</f>
        <v>0</v>
      </c>
      <c r="K19" s="60">
        <f>IF(Data[Bookie]="","",SUMIF(LayTable[BackBook],(VLOOKUP(ROW()-3,BookieName[],2,FALSE)),LayTable[BackStake])*-1)</f>
        <v>0</v>
      </c>
      <c r="L19" s="60">
        <f>IF(Data[Bookie]="","",SUMIF(LayTable[LayBook],(VLOOKUP(ROW()-3,BookieName[],2,FALSE)),LayTable[LayLiability])*-1)</f>
        <v>0</v>
      </c>
      <c r="M19" s="60">
        <f>IF(Data[Bookie]="","",SUMIF(LayTable[BackBook],(VLOOKUP(ROW()-3,BookieName[],2,FALSE)),LayTable[WBABack]))</f>
        <v>0</v>
      </c>
      <c r="N19" s="60">
        <f>IF(Data[Bookie]="","",SUMIF(LayTable[LayBook],(VLOOKUP(ROW()-3,BookieName[],2,FALSE)),LayTable[WBALay]))</f>
        <v>0</v>
      </c>
      <c r="O19" s="60">
        <f>IF(Data[Bookie]="","",SUMIF(DWbonus[Bookie],(VLOOKUP(ROW()-3,BookieName[],2,FALSE)),DWbonus[Amount]))</f>
        <v>0</v>
      </c>
      <c r="P19" s="63">
        <f>IF(Data[Bookie]="","",SUM(Data[[#This Row],[Pending 1]:[PendingL2]]))</f>
        <v>0</v>
      </c>
      <c r="Q19" s="63">
        <f>IF(Data[Bookie]="","",SUMIFS(BetTable[Stake],BetTable[Bookie],(VLOOKUP(ROW()-3,BookieName[],2,FALSE)),BetTable[Result],""))</f>
        <v>0</v>
      </c>
      <c r="R19" s="63">
        <f>IF(Data[Bookie]="","",SUMIFS(BetTable[S2],BetTable[B2],(VLOOKUP(ROW()-3,BookieName[],2,FALSE)),BetTable[Result],""))</f>
        <v>0</v>
      </c>
      <c r="S19" s="63">
        <f>IF(Data[Bookie]="","",SUMIFS(BetTable[S3],BetTable[B3],(VLOOKUP(ROW()-3,BookieName[],2,FALSE)),BetTable[Result],""))</f>
        <v>0</v>
      </c>
      <c r="T19" s="63">
        <f>IF(Data[Bookie]="","",SUMIFS(LayTable[BackStake],LayTable[BackBook],(VLOOKUP(ROW()-3,BookieName[],2,FALSE)),LayTable[AR],""))</f>
        <v>0</v>
      </c>
      <c r="U19" s="63">
        <f>IF(Data[Bookie]="","",SUMIFS(LayTable[LayLiability],LayTable[LayBook],(VLOOKUP(ROW()-3,BookieName[],2,FALSE)),LayTable[AR],""))</f>
        <v>0</v>
      </c>
    </row>
    <row r="20" spans="1:21" x14ac:dyDescent="0.25">
      <c r="A20" s="59">
        <f t="shared" si="0"/>
        <v>17</v>
      </c>
      <c r="B20" s="60" t="str">
        <f>IFERROR(VLOOKUP(ROW()-3,BookieName[],2,FALSE),"")</f>
        <v>BetClic</v>
      </c>
      <c r="C20" s="61">
        <f>IF(Data[Bookie]="","",SUM(Data[[#This Row],[D/W]:[Bonus and Adjustments]],))</f>
        <v>0</v>
      </c>
      <c r="D20" s="61">
        <f>IF(Data[Bookie]="","",SUMIF(DWbooks[Bookie],(VLOOKUP(ROW()-3,BookieName[],2,FALSE)),DWbooks[Amount]))</f>
        <v>0</v>
      </c>
      <c r="E20" s="59">
        <f>IF(Data[Bookie]="","",SUMIF(BetTable[Bookie],(VLOOKUP(ROW()-3,BookieName[],2,FALSE)),BetTable[Stake])*-1)</f>
        <v>0</v>
      </c>
      <c r="F20" s="59">
        <f>IF(Data[Bookie]="","",SUMIF(BetTable[B2],(VLOOKUP(ROW()-3,BookieName[],2,FALSE)),BetTable[S2])*-1)</f>
        <v>0</v>
      </c>
      <c r="G20" s="59">
        <f>IF(Data[Bookie]="","",SUMIF(BetTable[B3],(VLOOKUP(ROW()-3,BookieName[],2,FALSE)),BetTable[S3])*-1)</f>
        <v>0</v>
      </c>
      <c r="H20" s="59">
        <f>IF(Data[Bookie]="","",SUMIF(BetTable[Bookie],(VLOOKUP(ROW()-3,BookieName[],2,FALSE)),BetTable[WBA1]))</f>
        <v>0</v>
      </c>
      <c r="I20" s="59">
        <f>IF(Data[Bookie]="","",SUMIF(BetTable[B2],(VLOOKUP(ROW()-3,BookieName[],2,FALSE)),BetTable[WBA2]))</f>
        <v>0</v>
      </c>
      <c r="J20" s="59">
        <f>IF(Data[Bookie]="","",SUMIF(BetTable[B3],(VLOOKUP(ROW()-3,BookieName[],2,FALSE)),BetTable[WBA3]))</f>
        <v>0</v>
      </c>
      <c r="K20" s="60">
        <f>IF(Data[Bookie]="","",SUMIF(LayTable[BackBook],(VLOOKUP(ROW()-3,BookieName[],2,FALSE)),LayTable[BackStake])*-1)</f>
        <v>0</v>
      </c>
      <c r="L20" s="60">
        <f>IF(Data[Bookie]="","",SUMIF(LayTable[LayBook],(VLOOKUP(ROW()-3,BookieName[],2,FALSE)),LayTable[LayLiability])*-1)</f>
        <v>0</v>
      </c>
      <c r="M20" s="60">
        <f>IF(Data[Bookie]="","",SUMIF(LayTable[BackBook],(VLOOKUP(ROW()-3,BookieName[],2,FALSE)),LayTable[WBABack]))</f>
        <v>0</v>
      </c>
      <c r="N20" s="60">
        <f>IF(Data[Bookie]="","",SUMIF(LayTable[LayBook],(VLOOKUP(ROW()-3,BookieName[],2,FALSE)),LayTable[WBALay]))</f>
        <v>0</v>
      </c>
      <c r="O20" s="60">
        <f>IF(Data[Bookie]="","",SUMIF(DWbonus[Bookie],(VLOOKUP(ROW()-3,BookieName[],2,FALSE)),DWbonus[Amount]))</f>
        <v>0</v>
      </c>
      <c r="P20" s="63">
        <f>IF(Data[Bookie]="","",SUM(Data[[#This Row],[Pending 1]:[PendingL2]]))</f>
        <v>0</v>
      </c>
      <c r="Q20" s="63">
        <f>IF(Data[Bookie]="","",SUMIFS(BetTable[Stake],BetTable[Bookie],(VLOOKUP(ROW()-3,BookieName[],2,FALSE)),BetTable[Result],""))</f>
        <v>0</v>
      </c>
      <c r="R20" s="63">
        <f>IF(Data[Bookie]="","",SUMIFS(BetTable[S2],BetTable[B2],(VLOOKUP(ROW()-3,BookieName[],2,FALSE)),BetTable[Result],""))</f>
        <v>0</v>
      </c>
      <c r="S20" s="63">
        <f>IF(Data[Bookie]="","",SUMIFS(BetTable[S3],BetTable[B3],(VLOOKUP(ROW()-3,BookieName[],2,FALSE)),BetTable[Result],""))</f>
        <v>0</v>
      </c>
      <c r="T20" s="63">
        <f>IF(Data[Bookie]="","",SUMIFS(LayTable[BackStake],LayTable[BackBook],(VLOOKUP(ROW()-3,BookieName[],2,FALSE)),LayTable[AR],""))</f>
        <v>0</v>
      </c>
      <c r="U20" s="63">
        <f>IF(Data[Bookie]="","",SUMIFS(LayTable[LayLiability],LayTable[LayBook],(VLOOKUP(ROW()-3,BookieName[],2,FALSE)),LayTable[AR],""))</f>
        <v>0</v>
      </c>
    </row>
    <row r="21" spans="1:21" x14ac:dyDescent="0.25">
      <c r="A21" s="59">
        <f t="shared" si="0"/>
        <v>18</v>
      </c>
      <c r="B21" s="60" t="str">
        <f>IFERROR(VLOOKUP(ROW()-3,BookieName[],2,FALSE),"")</f>
        <v>BetCRIS</v>
      </c>
      <c r="C21" s="61">
        <f>IF(Data[Bookie]="","",SUM(Data[[#This Row],[D/W]:[Bonus and Adjustments]],))</f>
        <v>0</v>
      </c>
      <c r="D21" s="61">
        <f>IF(Data[Bookie]="","",SUMIF(DWbooks[Bookie],(VLOOKUP(ROW()-3,BookieName[],2,FALSE)),DWbooks[Amount]))</f>
        <v>0</v>
      </c>
      <c r="E21" s="59">
        <f>IF(Data[Bookie]="","",SUMIF(BetTable[Bookie],(VLOOKUP(ROW()-3,BookieName[],2,FALSE)),BetTable[Stake])*-1)</f>
        <v>0</v>
      </c>
      <c r="F21" s="59">
        <f>IF(Data[Bookie]="","",SUMIF(BetTable[B2],(VLOOKUP(ROW()-3,BookieName[],2,FALSE)),BetTable[S2])*-1)</f>
        <v>0</v>
      </c>
      <c r="G21" s="59">
        <f>IF(Data[Bookie]="","",SUMIF(BetTable[B3],(VLOOKUP(ROW()-3,BookieName[],2,FALSE)),BetTable[S3])*-1)</f>
        <v>0</v>
      </c>
      <c r="H21" s="59">
        <f>IF(Data[Bookie]="","",SUMIF(BetTable[Bookie],(VLOOKUP(ROW()-3,BookieName[],2,FALSE)),BetTable[WBA1]))</f>
        <v>0</v>
      </c>
      <c r="I21" s="59">
        <f>IF(Data[Bookie]="","",SUMIF(BetTable[B2],(VLOOKUP(ROW()-3,BookieName[],2,FALSE)),BetTable[WBA2]))</f>
        <v>0</v>
      </c>
      <c r="J21" s="59">
        <f>IF(Data[Bookie]="","",SUMIF(BetTable[B3],(VLOOKUP(ROW()-3,BookieName[],2,FALSE)),BetTable[WBA3]))</f>
        <v>0</v>
      </c>
      <c r="K21" s="60">
        <f>IF(Data[Bookie]="","",SUMIF(LayTable[BackBook],(VLOOKUP(ROW()-3,BookieName[],2,FALSE)),LayTable[BackStake])*-1)</f>
        <v>0</v>
      </c>
      <c r="L21" s="60">
        <f>IF(Data[Bookie]="","",SUMIF(LayTable[LayBook],(VLOOKUP(ROW()-3,BookieName[],2,FALSE)),LayTable[LayLiability])*-1)</f>
        <v>0</v>
      </c>
      <c r="M21" s="60">
        <f>IF(Data[Bookie]="","",SUMIF(LayTable[BackBook],(VLOOKUP(ROW()-3,BookieName[],2,FALSE)),LayTable[WBABack]))</f>
        <v>0</v>
      </c>
      <c r="N21" s="60">
        <f>IF(Data[Bookie]="","",SUMIF(LayTable[LayBook],(VLOOKUP(ROW()-3,BookieName[],2,FALSE)),LayTable[WBALay]))</f>
        <v>0</v>
      </c>
      <c r="O21" s="60">
        <f>IF(Data[Bookie]="","",SUMIF(DWbonus[Bookie],(VLOOKUP(ROW()-3,BookieName[],2,FALSE)),DWbonus[Amount]))</f>
        <v>0</v>
      </c>
      <c r="P21" s="63">
        <f>IF(Data[Bookie]="","",SUM(Data[[#This Row],[Pending 1]:[PendingL2]]))</f>
        <v>0</v>
      </c>
      <c r="Q21" s="63">
        <f>IF(Data[Bookie]="","",SUMIFS(BetTable[Stake],BetTable[Bookie],(VLOOKUP(ROW()-3,BookieName[],2,FALSE)),BetTable[Result],""))</f>
        <v>0</v>
      </c>
      <c r="R21" s="63">
        <f>IF(Data[Bookie]="","",SUMIFS(BetTable[S2],BetTable[B2],(VLOOKUP(ROW()-3,BookieName[],2,FALSE)),BetTable[Result],""))</f>
        <v>0</v>
      </c>
      <c r="S21" s="63">
        <f>IF(Data[Bookie]="","",SUMIFS(BetTable[S3],BetTable[B3],(VLOOKUP(ROW()-3,BookieName[],2,FALSE)),BetTable[Result],""))</f>
        <v>0</v>
      </c>
      <c r="T21" s="63">
        <f>IF(Data[Bookie]="","",SUMIFS(LayTable[BackStake],LayTable[BackBook],(VLOOKUP(ROW()-3,BookieName[],2,FALSE)),LayTable[AR],""))</f>
        <v>0</v>
      </c>
      <c r="U21" s="63">
        <f>IF(Data[Bookie]="","",SUMIFS(LayTable[LayLiability],LayTable[LayBook],(VLOOKUP(ROW()-3,BookieName[],2,FALSE)),LayTable[AR],""))</f>
        <v>0</v>
      </c>
    </row>
    <row r="22" spans="1:21" x14ac:dyDescent="0.25">
      <c r="A22" s="59">
        <f t="shared" si="0"/>
        <v>19</v>
      </c>
      <c r="B22" s="60" t="str">
        <f>IFERROR(VLOOKUP(ROW()-3,BookieName[],2,FALSE),"")</f>
        <v>BetDaq</v>
      </c>
      <c r="C22" s="61">
        <f>IF(Data[Bookie]="","",SUM(Data[[#This Row],[D/W]:[Bonus and Adjustments]],))</f>
        <v>0</v>
      </c>
      <c r="D22" s="61">
        <f>IF(Data[Bookie]="","",SUMIF(DWbooks[Bookie],(VLOOKUP(ROW()-3,BookieName[],2,FALSE)),DWbooks[Amount]))</f>
        <v>0</v>
      </c>
      <c r="E22" s="59">
        <f>IF(Data[Bookie]="","",SUMIF(BetTable[Bookie],(VLOOKUP(ROW()-3,BookieName[],2,FALSE)),BetTable[Stake])*-1)</f>
        <v>0</v>
      </c>
      <c r="F22" s="59">
        <f>IF(Data[Bookie]="","",SUMIF(BetTable[B2],(VLOOKUP(ROW()-3,BookieName[],2,FALSE)),BetTable[S2])*-1)</f>
        <v>0</v>
      </c>
      <c r="G22" s="59">
        <f>IF(Data[Bookie]="","",SUMIF(BetTable[B3],(VLOOKUP(ROW()-3,BookieName[],2,FALSE)),BetTable[S3])*-1)</f>
        <v>0</v>
      </c>
      <c r="H22" s="59">
        <f>IF(Data[Bookie]="","",SUMIF(BetTable[Bookie],(VLOOKUP(ROW()-3,BookieName[],2,FALSE)),BetTable[WBA1]))</f>
        <v>0</v>
      </c>
      <c r="I22" s="59">
        <f>IF(Data[Bookie]="","",SUMIF(BetTable[B2],(VLOOKUP(ROW()-3,BookieName[],2,FALSE)),BetTable[WBA2]))</f>
        <v>0</v>
      </c>
      <c r="J22" s="59">
        <f>IF(Data[Bookie]="","",SUMIF(BetTable[B3],(VLOOKUP(ROW()-3,BookieName[],2,FALSE)),BetTable[WBA3]))</f>
        <v>0</v>
      </c>
      <c r="K22" s="60">
        <f>IF(Data[Bookie]="","",SUMIF(LayTable[BackBook],(VLOOKUP(ROW()-3,BookieName[],2,FALSE)),LayTable[BackStake])*-1)</f>
        <v>0</v>
      </c>
      <c r="L22" s="60">
        <f>IF(Data[Bookie]="","",SUMIF(LayTable[LayBook],(VLOOKUP(ROW()-3,BookieName[],2,FALSE)),LayTable[LayLiability])*-1)</f>
        <v>0</v>
      </c>
      <c r="M22" s="60">
        <f>IF(Data[Bookie]="","",SUMIF(LayTable[BackBook],(VLOOKUP(ROW()-3,BookieName[],2,FALSE)),LayTable[WBABack]))</f>
        <v>0</v>
      </c>
      <c r="N22" s="60">
        <f>IF(Data[Bookie]="","",SUMIF(LayTable[LayBook],(VLOOKUP(ROW()-3,BookieName[],2,FALSE)),LayTable[WBALay]))</f>
        <v>0</v>
      </c>
      <c r="O22" s="60">
        <f>IF(Data[Bookie]="","",SUMIF(DWbonus[Bookie],(VLOOKUP(ROW()-3,BookieName[],2,FALSE)),DWbonus[Amount]))</f>
        <v>0</v>
      </c>
      <c r="P22" s="63">
        <f>IF(Data[Bookie]="","",SUM(Data[[#This Row],[Pending 1]:[PendingL2]]))</f>
        <v>0</v>
      </c>
      <c r="Q22" s="63">
        <f>IF(Data[Bookie]="","",SUMIFS(BetTable[Stake],BetTable[Bookie],(VLOOKUP(ROW()-3,BookieName[],2,FALSE)),BetTable[Result],""))</f>
        <v>0</v>
      </c>
      <c r="R22" s="63">
        <f>IF(Data[Bookie]="","",SUMIFS(BetTable[S2],BetTable[B2],(VLOOKUP(ROW()-3,BookieName[],2,FALSE)),BetTable[Result],""))</f>
        <v>0</v>
      </c>
      <c r="S22" s="63">
        <f>IF(Data[Bookie]="","",SUMIFS(BetTable[S3],BetTable[B3],(VLOOKUP(ROW()-3,BookieName[],2,FALSE)),BetTable[Result],""))</f>
        <v>0</v>
      </c>
      <c r="T22" s="63">
        <f>IF(Data[Bookie]="","",SUMIFS(LayTable[BackStake],LayTable[BackBook],(VLOOKUP(ROW()-3,BookieName[],2,FALSE)),LayTable[AR],""))</f>
        <v>0</v>
      </c>
      <c r="U22" s="63">
        <f>IF(Data[Bookie]="","",SUMIFS(LayTable[LayLiability],LayTable[LayBook],(VLOOKUP(ROW()-3,BookieName[],2,FALSE)),LayTable[AR],""))</f>
        <v>0</v>
      </c>
    </row>
    <row r="23" spans="1:21" x14ac:dyDescent="0.25">
      <c r="A23" s="59">
        <f t="shared" si="0"/>
        <v>20</v>
      </c>
      <c r="B23" s="60" t="str">
        <f>IFERROR(VLOOKUP(ROW()-3,BookieName[],2,FALSE),"")</f>
        <v>Betfair</v>
      </c>
      <c r="C23" s="61">
        <f>IF(Data[Bookie]="","",SUM(Data[[#This Row],[D/W]:[Bonus and Adjustments]],))</f>
        <v>-44.28</v>
      </c>
      <c r="D23" s="61">
        <f>IF(Data[Bookie]="","",SUMIF(DWbooks[Bookie],(VLOOKUP(ROW()-3,BookieName[],2,FALSE)),DWbooks[Amount]))</f>
        <v>0</v>
      </c>
      <c r="E23" s="59">
        <f>IF(Data[Bookie]="","",SUMIF(BetTable[Bookie],(VLOOKUP(ROW()-3,BookieName[],2,FALSE)),BetTable[Stake])*-1)</f>
        <v>-44.28</v>
      </c>
      <c r="F23" s="59">
        <f>IF(Data[Bookie]="","",SUMIF(BetTable[B2],(VLOOKUP(ROW()-3,BookieName[],2,FALSE)),BetTable[S2])*-1)</f>
        <v>0</v>
      </c>
      <c r="G23" s="59">
        <f>IF(Data[Bookie]="","",SUMIF(BetTable[B3],(VLOOKUP(ROW()-3,BookieName[],2,FALSE)),BetTable[S3])*-1)</f>
        <v>0</v>
      </c>
      <c r="H23" s="59">
        <f>IF(Data[Bookie]="","",SUMIF(BetTable[Bookie],(VLOOKUP(ROW()-3,BookieName[],2,FALSE)),BetTable[WBA1]))</f>
        <v>0</v>
      </c>
      <c r="I23" s="59">
        <f>IF(Data[Bookie]="","",SUMIF(BetTable[B2],(VLOOKUP(ROW()-3,BookieName[],2,FALSE)),BetTable[WBA2]))</f>
        <v>0</v>
      </c>
      <c r="J23" s="59">
        <f>IF(Data[Bookie]="","",SUMIF(BetTable[B3],(VLOOKUP(ROW()-3,BookieName[],2,FALSE)),BetTable[WBA3]))</f>
        <v>0</v>
      </c>
      <c r="K23" s="60">
        <f>IF(Data[Bookie]="","",SUMIF(LayTable[BackBook],(VLOOKUP(ROW()-3,BookieName[],2,FALSE)),LayTable[BackStake])*-1)</f>
        <v>0</v>
      </c>
      <c r="L23" s="60">
        <f>IF(Data[Bookie]="","",SUMIF(LayTable[LayBook],(VLOOKUP(ROW()-3,BookieName[],2,FALSE)),LayTable[LayLiability])*-1)</f>
        <v>0</v>
      </c>
      <c r="M23" s="60">
        <f>IF(Data[Bookie]="","",SUMIF(LayTable[BackBook],(VLOOKUP(ROW()-3,BookieName[],2,FALSE)),LayTable[WBABack]))</f>
        <v>0</v>
      </c>
      <c r="N23" s="60">
        <f>IF(Data[Bookie]="","",SUMIF(LayTable[LayBook],(VLOOKUP(ROW()-3,BookieName[],2,FALSE)),LayTable[WBALay]))</f>
        <v>0</v>
      </c>
      <c r="O23" s="60">
        <f>IF(Data[Bookie]="","",SUMIF(DWbonus[Bookie],(VLOOKUP(ROW()-3,BookieName[],2,FALSE)),DWbonus[Amount]))</f>
        <v>0</v>
      </c>
      <c r="P23" s="63">
        <f>IF(Data[Bookie]="","",SUM(Data[[#This Row],[Pending 1]:[PendingL2]]))</f>
        <v>0</v>
      </c>
      <c r="Q23" s="63">
        <f>IF(Data[Bookie]="","",SUMIFS(BetTable[Stake],BetTable[Bookie],(VLOOKUP(ROW()-3,BookieName[],2,FALSE)),BetTable[Result],""))</f>
        <v>0</v>
      </c>
      <c r="R23" s="63">
        <f>IF(Data[Bookie]="","",SUMIFS(BetTable[S2],BetTable[B2],(VLOOKUP(ROW()-3,BookieName[],2,FALSE)),BetTable[Result],""))</f>
        <v>0</v>
      </c>
      <c r="S23" s="63">
        <f>IF(Data[Bookie]="","",SUMIFS(BetTable[S3],BetTable[B3],(VLOOKUP(ROW()-3,BookieName[],2,FALSE)),BetTable[Result],""))</f>
        <v>0</v>
      </c>
      <c r="T23" s="63">
        <f>IF(Data[Bookie]="","",SUMIFS(LayTable[BackStake],LayTable[BackBook],(VLOOKUP(ROW()-3,BookieName[],2,FALSE)),LayTable[AR],""))</f>
        <v>0</v>
      </c>
      <c r="U23" s="63">
        <f>IF(Data[Bookie]="","",SUMIFS(LayTable[LayLiability],LayTable[LayBook],(VLOOKUP(ROW()-3,BookieName[],2,FALSE)),LayTable[AR],""))</f>
        <v>0</v>
      </c>
    </row>
    <row r="24" spans="1:21" x14ac:dyDescent="0.25">
      <c r="A24" s="59">
        <f t="shared" si="0"/>
        <v>21</v>
      </c>
      <c r="B24" s="60" t="str">
        <f>IFERROR(VLOOKUP(ROW()-3,BookieName[],2,FALSE),"")</f>
        <v>Betfred</v>
      </c>
      <c r="C24" s="61">
        <f>IF(Data[Bookie]="","",SUM(Data[[#This Row],[D/W]:[Bonus and Adjustments]],))</f>
        <v>0</v>
      </c>
      <c r="D24" s="61">
        <f>IF(Data[Bookie]="","",SUMIF(DWbooks[Bookie],(VLOOKUP(ROW()-3,BookieName[],2,FALSE)),DWbooks[Amount]))</f>
        <v>0</v>
      </c>
      <c r="E24" s="59">
        <f>IF(Data[Bookie]="","",SUMIF(BetTable[Bookie],(VLOOKUP(ROW()-3,BookieName[],2,FALSE)),BetTable[Stake])*-1)</f>
        <v>0</v>
      </c>
      <c r="F24" s="59">
        <f>IF(Data[Bookie]="","",SUMIF(BetTable[B2],(VLOOKUP(ROW()-3,BookieName[],2,FALSE)),BetTable[S2])*-1)</f>
        <v>0</v>
      </c>
      <c r="G24" s="59">
        <f>IF(Data[Bookie]="","",SUMIF(BetTable[B3],(VLOOKUP(ROW()-3,BookieName[],2,FALSE)),BetTable[S3])*-1)</f>
        <v>0</v>
      </c>
      <c r="H24" s="59">
        <f>IF(Data[Bookie]="","",SUMIF(BetTable[Bookie],(VLOOKUP(ROW()-3,BookieName[],2,FALSE)),BetTable[WBA1]))</f>
        <v>0</v>
      </c>
      <c r="I24" s="59">
        <f>IF(Data[Bookie]="","",SUMIF(BetTable[B2],(VLOOKUP(ROW()-3,BookieName[],2,FALSE)),BetTable[WBA2]))</f>
        <v>0</v>
      </c>
      <c r="J24" s="59">
        <f>IF(Data[Bookie]="","",SUMIF(BetTable[B3],(VLOOKUP(ROW()-3,BookieName[],2,FALSE)),BetTable[WBA3]))</f>
        <v>0</v>
      </c>
      <c r="K24" s="60">
        <f>IF(Data[Bookie]="","",SUMIF(LayTable[BackBook],(VLOOKUP(ROW()-3,BookieName[],2,FALSE)),LayTable[BackStake])*-1)</f>
        <v>0</v>
      </c>
      <c r="L24" s="60">
        <f>IF(Data[Bookie]="","",SUMIF(LayTable[LayBook],(VLOOKUP(ROW()-3,BookieName[],2,FALSE)),LayTable[LayLiability])*-1)</f>
        <v>0</v>
      </c>
      <c r="M24" s="60">
        <f>IF(Data[Bookie]="","",SUMIF(LayTable[BackBook],(VLOOKUP(ROW()-3,BookieName[],2,FALSE)),LayTable[WBABack]))</f>
        <v>0</v>
      </c>
      <c r="N24" s="60">
        <f>IF(Data[Bookie]="","",SUMIF(LayTable[LayBook],(VLOOKUP(ROW()-3,BookieName[],2,FALSE)),LayTable[WBALay]))</f>
        <v>0</v>
      </c>
      <c r="O24" s="60">
        <f>IF(Data[Bookie]="","",SUMIF(DWbonus[Bookie],(VLOOKUP(ROW()-3,BookieName[],2,FALSE)),DWbonus[Amount]))</f>
        <v>0</v>
      </c>
      <c r="P24" s="63">
        <f>IF(Data[Bookie]="","",SUM(Data[[#This Row],[Pending 1]:[PendingL2]]))</f>
        <v>0</v>
      </c>
      <c r="Q24" s="63">
        <f>IF(Data[Bookie]="","",SUMIFS(BetTable[Stake],BetTable[Bookie],(VLOOKUP(ROW()-3,BookieName[],2,FALSE)),BetTable[Result],""))</f>
        <v>0</v>
      </c>
      <c r="R24" s="63">
        <f>IF(Data[Bookie]="","",SUMIFS(BetTable[S2],BetTable[B2],(VLOOKUP(ROW()-3,BookieName[],2,FALSE)),BetTable[Result],""))</f>
        <v>0</v>
      </c>
      <c r="S24" s="63">
        <f>IF(Data[Bookie]="","",SUMIFS(BetTable[S3],BetTable[B3],(VLOOKUP(ROW()-3,BookieName[],2,FALSE)),BetTable[Result],""))</f>
        <v>0</v>
      </c>
      <c r="T24" s="63">
        <f>IF(Data[Bookie]="","",SUMIFS(LayTable[BackStake],LayTable[BackBook],(VLOOKUP(ROW()-3,BookieName[],2,FALSE)),LayTable[AR],""))</f>
        <v>0</v>
      </c>
      <c r="U24" s="63">
        <f>IF(Data[Bookie]="","",SUMIFS(LayTable[LayLiability],LayTable[LayBook],(VLOOKUP(ROW()-3,BookieName[],2,FALSE)),LayTable[AR],""))</f>
        <v>0</v>
      </c>
    </row>
    <row r="25" spans="1:21" x14ac:dyDescent="0.25">
      <c r="A25" s="59">
        <f t="shared" si="0"/>
        <v>22</v>
      </c>
      <c r="B25" s="60" t="str">
        <f>IFERROR(VLOOKUP(ROW()-3,BookieName[],2,FALSE),"")</f>
        <v>Bethard</v>
      </c>
      <c r="C25" s="61">
        <f>IF(Data[Bookie]="","",SUM(Data[[#This Row],[D/W]:[Bonus and Adjustments]],))</f>
        <v>0</v>
      </c>
      <c r="D25" s="61">
        <f>IF(Data[Bookie]="","",SUMIF(DWbooks[Bookie],(VLOOKUP(ROW()-3,BookieName[],2,FALSE)),DWbooks[Amount]))</f>
        <v>0</v>
      </c>
      <c r="E25" s="59">
        <f>IF(Data[Bookie]="","",SUMIF(BetTable[Bookie],(VLOOKUP(ROW()-3,BookieName[],2,FALSE)),BetTable[Stake])*-1)</f>
        <v>0</v>
      </c>
      <c r="F25" s="59">
        <f>IF(Data[Bookie]="","",SUMIF(BetTable[B2],(VLOOKUP(ROW()-3,BookieName[],2,FALSE)),BetTable[S2])*-1)</f>
        <v>0</v>
      </c>
      <c r="G25" s="59">
        <f>IF(Data[Bookie]="","",SUMIF(BetTable[B3],(VLOOKUP(ROW()-3,BookieName[],2,FALSE)),BetTable[S3])*-1)</f>
        <v>0</v>
      </c>
      <c r="H25" s="59">
        <f>IF(Data[Bookie]="","",SUMIF(BetTable[Bookie],(VLOOKUP(ROW()-3,BookieName[],2,FALSE)),BetTable[WBA1]))</f>
        <v>0</v>
      </c>
      <c r="I25" s="59">
        <f>IF(Data[Bookie]="","",SUMIF(BetTable[B2],(VLOOKUP(ROW()-3,BookieName[],2,FALSE)),BetTable[WBA2]))</f>
        <v>0</v>
      </c>
      <c r="J25" s="59">
        <f>IF(Data[Bookie]="","",SUMIF(BetTable[B3],(VLOOKUP(ROW()-3,BookieName[],2,FALSE)),BetTable[WBA3]))</f>
        <v>0</v>
      </c>
      <c r="K25" s="60">
        <f>IF(Data[Bookie]="","",SUMIF(LayTable[BackBook],(VLOOKUP(ROW()-3,BookieName[],2,FALSE)),LayTable[BackStake])*-1)</f>
        <v>0</v>
      </c>
      <c r="L25" s="60">
        <f>IF(Data[Bookie]="","",SUMIF(LayTable[LayBook],(VLOOKUP(ROW()-3,BookieName[],2,FALSE)),LayTable[LayLiability])*-1)</f>
        <v>0</v>
      </c>
      <c r="M25" s="60">
        <f>IF(Data[Bookie]="","",SUMIF(LayTable[BackBook],(VLOOKUP(ROW()-3,BookieName[],2,FALSE)),LayTable[WBABack]))</f>
        <v>0</v>
      </c>
      <c r="N25" s="60">
        <f>IF(Data[Bookie]="","",SUMIF(LayTable[LayBook],(VLOOKUP(ROW()-3,BookieName[],2,FALSE)),LayTable[WBALay]))</f>
        <v>0</v>
      </c>
      <c r="O25" s="60">
        <f>IF(Data[Bookie]="","",SUMIF(DWbonus[Bookie],(VLOOKUP(ROW()-3,BookieName[],2,FALSE)),DWbonus[Amount]))</f>
        <v>0</v>
      </c>
      <c r="P25" s="63">
        <f>IF(Data[Bookie]="","",SUM(Data[[#This Row],[Pending 1]:[PendingL2]]))</f>
        <v>0</v>
      </c>
      <c r="Q25" s="63">
        <f>IF(Data[Bookie]="","",SUMIFS(BetTable[Stake],BetTable[Bookie],(VLOOKUP(ROW()-3,BookieName[],2,FALSE)),BetTable[Result],""))</f>
        <v>0</v>
      </c>
      <c r="R25" s="63">
        <f>IF(Data[Bookie]="","",SUMIFS(BetTable[S2],BetTable[B2],(VLOOKUP(ROW()-3,BookieName[],2,FALSE)),BetTable[Result],""))</f>
        <v>0</v>
      </c>
      <c r="S25" s="63">
        <f>IF(Data[Bookie]="","",SUMIFS(BetTable[S3],BetTable[B3],(VLOOKUP(ROW()-3,BookieName[],2,FALSE)),BetTable[Result],""))</f>
        <v>0</v>
      </c>
      <c r="T25" s="63">
        <f>IF(Data[Bookie]="","",SUMIFS(LayTable[BackStake],LayTable[BackBook],(VLOOKUP(ROW()-3,BookieName[],2,FALSE)),LayTable[AR],""))</f>
        <v>0</v>
      </c>
      <c r="U25" s="63">
        <f>IF(Data[Bookie]="","",SUMIFS(LayTable[LayLiability],LayTable[LayBook],(VLOOKUP(ROW()-3,BookieName[],2,FALSE)),LayTable[AR],""))</f>
        <v>0</v>
      </c>
    </row>
    <row r="26" spans="1:21" x14ac:dyDescent="0.25">
      <c r="A26" s="59">
        <f t="shared" si="0"/>
        <v>23</v>
      </c>
      <c r="B26" s="60" t="str">
        <f>IFERROR(VLOOKUP(ROW()-3,BookieName[],2,FALSE),"")</f>
        <v>BetOlimp</v>
      </c>
      <c r="C26" s="61">
        <f>IF(Data[Bookie]="","",SUM(Data[[#This Row],[D/W]:[Bonus and Adjustments]],))</f>
        <v>0</v>
      </c>
      <c r="D26" s="61">
        <f>IF(Data[Bookie]="","",SUMIF(DWbooks[Bookie],(VLOOKUP(ROW()-3,BookieName[],2,FALSE)),DWbooks[Amount]))</f>
        <v>0</v>
      </c>
      <c r="E26" s="59">
        <f>IF(Data[Bookie]="","",SUMIF(BetTable[Bookie],(VLOOKUP(ROW()-3,BookieName[],2,FALSE)),BetTable[Stake])*-1)</f>
        <v>0</v>
      </c>
      <c r="F26" s="59">
        <f>IF(Data[Bookie]="","",SUMIF(BetTable[B2],(VLOOKUP(ROW()-3,BookieName[],2,FALSE)),BetTable[S2])*-1)</f>
        <v>0</v>
      </c>
      <c r="G26" s="59">
        <f>IF(Data[Bookie]="","",SUMIF(BetTable[B3],(VLOOKUP(ROW()-3,BookieName[],2,FALSE)),BetTable[S3])*-1)</f>
        <v>0</v>
      </c>
      <c r="H26" s="59">
        <f>IF(Data[Bookie]="","",SUMIF(BetTable[Bookie],(VLOOKUP(ROW()-3,BookieName[],2,FALSE)),BetTable[WBA1]))</f>
        <v>0</v>
      </c>
      <c r="I26" s="59">
        <f>IF(Data[Bookie]="","",SUMIF(BetTable[B2],(VLOOKUP(ROW()-3,BookieName[],2,FALSE)),BetTable[WBA2]))</f>
        <v>0</v>
      </c>
      <c r="J26" s="59">
        <f>IF(Data[Bookie]="","",SUMIF(BetTable[B3],(VLOOKUP(ROW()-3,BookieName[],2,FALSE)),BetTable[WBA3]))</f>
        <v>0</v>
      </c>
      <c r="K26" s="60">
        <f>IF(Data[Bookie]="","",SUMIF(LayTable[BackBook],(VLOOKUP(ROW()-3,BookieName[],2,FALSE)),LayTable[BackStake])*-1)</f>
        <v>0</v>
      </c>
      <c r="L26" s="60">
        <f>IF(Data[Bookie]="","",SUMIF(LayTable[LayBook],(VLOOKUP(ROW()-3,BookieName[],2,FALSE)),LayTable[LayLiability])*-1)</f>
        <v>0</v>
      </c>
      <c r="M26" s="60">
        <f>IF(Data[Bookie]="","",SUMIF(LayTable[BackBook],(VLOOKUP(ROW()-3,BookieName[],2,FALSE)),LayTable[WBABack]))</f>
        <v>0</v>
      </c>
      <c r="N26" s="60">
        <f>IF(Data[Bookie]="","",SUMIF(LayTable[LayBook],(VLOOKUP(ROW()-3,BookieName[],2,FALSE)),LayTable[WBALay]))</f>
        <v>0</v>
      </c>
      <c r="O26" s="60">
        <f>IF(Data[Bookie]="","",SUMIF(DWbonus[Bookie],(VLOOKUP(ROW()-3,BookieName[],2,FALSE)),DWbonus[Amount]))</f>
        <v>0</v>
      </c>
      <c r="P26" s="63">
        <f>IF(Data[Bookie]="","",SUM(Data[[#This Row],[Pending 1]:[PendingL2]]))</f>
        <v>0</v>
      </c>
      <c r="Q26" s="63">
        <f>IF(Data[Bookie]="","",SUMIFS(BetTable[Stake],BetTable[Bookie],(VLOOKUP(ROW()-3,BookieName[],2,FALSE)),BetTable[Result],""))</f>
        <v>0</v>
      </c>
      <c r="R26" s="63">
        <f>IF(Data[Bookie]="","",SUMIFS(BetTable[S2],BetTable[B2],(VLOOKUP(ROW()-3,BookieName[],2,FALSE)),BetTable[Result],""))</f>
        <v>0</v>
      </c>
      <c r="S26" s="63">
        <f>IF(Data[Bookie]="","",SUMIFS(BetTable[S3],BetTable[B3],(VLOOKUP(ROW()-3,BookieName[],2,FALSE)),BetTable[Result],""))</f>
        <v>0</v>
      </c>
      <c r="T26" s="63">
        <f>IF(Data[Bookie]="","",SUMIFS(LayTable[BackStake],LayTable[BackBook],(VLOOKUP(ROW()-3,BookieName[],2,FALSE)),LayTable[AR],""))</f>
        <v>0</v>
      </c>
      <c r="U26" s="63">
        <f>IF(Data[Bookie]="","",SUMIFS(LayTable[LayLiability],LayTable[LayBook],(VLOOKUP(ROW()-3,BookieName[],2,FALSE)),LayTable[AR],""))</f>
        <v>0</v>
      </c>
    </row>
    <row r="27" spans="1:21" x14ac:dyDescent="0.25">
      <c r="A27" s="59">
        <f t="shared" si="0"/>
        <v>24</v>
      </c>
      <c r="B27" s="60" t="str">
        <f>IFERROR(VLOOKUP(ROW()-3,BookieName[],2,FALSE),"")</f>
        <v>BetOnline</v>
      </c>
      <c r="C27" s="61">
        <f>IF(Data[Bookie]="","",SUM(Data[[#This Row],[D/W]:[Bonus and Adjustments]],))</f>
        <v>0</v>
      </c>
      <c r="D27" s="61">
        <f>IF(Data[Bookie]="","",SUMIF(DWbooks[Bookie],(VLOOKUP(ROW()-3,BookieName[],2,FALSE)),DWbooks[Amount]))</f>
        <v>0</v>
      </c>
      <c r="E27" s="59">
        <f>IF(Data[Bookie]="","",SUMIF(BetTable[Bookie],(VLOOKUP(ROW()-3,BookieName[],2,FALSE)),BetTable[Stake])*-1)</f>
        <v>0</v>
      </c>
      <c r="F27" s="59">
        <f>IF(Data[Bookie]="","",SUMIF(BetTable[B2],(VLOOKUP(ROW()-3,BookieName[],2,FALSE)),BetTable[S2])*-1)</f>
        <v>0</v>
      </c>
      <c r="G27" s="59">
        <f>IF(Data[Bookie]="","",SUMIF(BetTable[B3],(VLOOKUP(ROW()-3,BookieName[],2,FALSE)),BetTable[S3])*-1)</f>
        <v>0</v>
      </c>
      <c r="H27" s="59">
        <f>IF(Data[Bookie]="","",SUMIF(BetTable[Bookie],(VLOOKUP(ROW()-3,BookieName[],2,FALSE)),BetTable[WBA1]))</f>
        <v>0</v>
      </c>
      <c r="I27" s="59">
        <f>IF(Data[Bookie]="","",SUMIF(BetTable[B2],(VLOOKUP(ROW()-3,BookieName[],2,FALSE)),BetTable[WBA2]))</f>
        <v>0</v>
      </c>
      <c r="J27" s="59">
        <f>IF(Data[Bookie]="","",SUMIF(BetTable[B3],(VLOOKUP(ROW()-3,BookieName[],2,FALSE)),BetTable[WBA3]))</f>
        <v>0</v>
      </c>
      <c r="K27" s="60">
        <f>IF(Data[Bookie]="","",SUMIF(LayTable[BackBook],(VLOOKUP(ROW()-3,BookieName[],2,FALSE)),LayTable[BackStake])*-1)</f>
        <v>0</v>
      </c>
      <c r="L27" s="60">
        <f>IF(Data[Bookie]="","",SUMIF(LayTable[LayBook],(VLOOKUP(ROW()-3,BookieName[],2,FALSE)),LayTable[LayLiability])*-1)</f>
        <v>0</v>
      </c>
      <c r="M27" s="60">
        <f>IF(Data[Bookie]="","",SUMIF(LayTable[BackBook],(VLOOKUP(ROW()-3,BookieName[],2,FALSE)),LayTable[WBABack]))</f>
        <v>0</v>
      </c>
      <c r="N27" s="60">
        <f>IF(Data[Bookie]="","",SUMIF(LayTable[LayBook],(VLOOKUP(ROW()-3,BookieName[],2,FALSE)),LayTable[WBALay]))</f>
        <v>0</v>
      </c>
      <c r="O27" s="60">
        <f>IF(Data[Bookie]="","",SUMIF(DWbonus[Bookie],(VLOOKUP(ROW()-3,BookieName[],2,FALSE)),DWbonus[Amount]))</f>
        <v>0</v>
      </c>
      <c r="P27" s="63">
        <f>IF(Data[Bookie]="","",SUM(Data[[#This Row],[Pending 1]:[PendingL2]]))</f>
        <v>0</v>
      </c>
      <c r="Q27" s="63">
        <f>IF(Data[Bookie]="","",SUMIFS(BetTable[Stake],BetTable[Bookie],(VLOOKUP(ROW()-3,BookieName[],2,FALSE)),BetTable[Result],""))</f>
        <v>0</v>
      </c>
      <c r="R27" s="63">
        <f>IF(Data[Bookie]="","",SUMIFS(BetTable[S2],BetTable[B2],(VLOOKUP(ROW()-3,BookieName[],2,FALSE)),BetTable[Result],""))</f>
        <v>0</v>
      </c>
      <c r="S27" s="63">
        <f>IF(Data[Bookie]="","",SUMIFS(BetTable[S3],BetTable[B3],(VLOOKUP(ROW()-3,BookieName[],2,FALSE)),BetTable[Result],""))</f>
        <v>0</v>
      </c>
      <c r="T27" s="63">
        <f>IF(Data[Bookie]="","",SUMIFS(LayTable[BackStake],LayTable[BackBook],(VLOOKUP(ROW()-3,BookieName[],2,FALSE)),LayTable[AR],""))</f>
        <v>0</v>
      </c>
      <c r="U27" s="63">
        <f>IF(Data[Bookie]="","",SUMIFS(LayTable[LayLiability],LayTable[LayBook],(VLOOKUP(ROW()-3,BookieName[],2,FALSE)),LayTable[AR],""))</f>
        <v>0</v>
      </c>
    </row>
    <row r="28" spans="1:21" x14ac:dyDescent="0.25">
      <c r="A28" s="59">
        <f t="shared" si="0"/>
        <v>25</v>
      </c>
      <c r="B28" s="60" t="str">
        <f>IFERROR(VLOOKUP(ROW()-3,BookieName[],2,FALSE),"")</f>
        <v>Betrally</v>
      </c>
      <c r="C28" s="61">
        <f>IF(Data[Bookie]="","",SUM(Data[[#This Row],[D/W]:[Bonus and Adjustments]],))</f>
        <v>0</v>
      </c>
      <c r="D28" s="61">
        <f>IF(Data[Bookie]="","",SUMIF(DWbooks[Bookie],(VLOOKUP(ROW()-3,BookieName[],2,FALSE)),DWbooks[Amount]))</f>
        <v>0</v>
      </c>
      <c r="E28" s="59">
        <f>IF(Data[Bookie]="","",SUMIF(BetTable[Bookie],(VLOOKUP(ROW()-3,BookieName[],2,FALSE)),BetTable[Stake])*-1)</f>
        <v>0</v>
      </c>
      <c r="F28" s="59">
        <f>IF(Data[Bookie]="","",SUMIF(BetTable[B2],(VLOOKUP(ROW()-3,BookieName[],2,FALSE)),BetTable[S2])*-1)</f>
        <v>0</v>
      </c>
      <c r="G28" s="59">
        <f>IF(Data[Bookie]="","",SUMIF(BetTable[B3],(VLOOKUP(ROW()-3,BookieName[],2,FALSE)),BetTable[S3])*-1)</f>
        <v>0</v>
      </c>
      <c r="H28" s="59">
        <f>IF(Data[Bookie]="","",SUMIF(BetTable[Bookie],(VLOOKUP(ROW()-3,BookieName[],2,FALSE)),BetTable[WBA1]))</f>
        <v>0</v>
      </c>
      <c r="I28" s="59">
        <f>IF(Data[Bookie]="","",SUMIF(BetTable[B2],(VLOOKUP(ROW()-3,BookieName[],2,FALSE)),BetTable[WBA2]))</f>
        <v>0</v>
      </c>
      <c r="J28" s="59">
        <f>IF(Data[Bookie]="","",SUMIF(BetTable[B3],(VLOOKUP(ROW()-3,BookieName[],2,FALSE)),BetTable[WBA3]))</f>
        <v>0</v>
      </c>
      <c r="K28" s="60">
        <f>IF(Data[Bookie]="","",SUMIF(LayTable[BackBook],(VLOOKUP(ROW()-3,BookieName[],2,FALSE)),LayTable[BackStake])*-1)</f>
        <v>0</v>
      </c>
      <c r="L28" s="60">
        <f>IF(Data[Bookie]="","",SUMIF(LayTable[LayBook],(VLOOKUP(ROW()-3,BookieName[],2,FALSE)),LayTable[LayLiability])*-1)</f>
        <v>0</v>
      </c>
      <c r="M28" s="60">
        <f>IF(Data[Bookie]="","",SUMIF(LayTable[BackBook],(VLOOKUP(ROW()-3,BookieName[],2,FALSE)),LayTable[WBABack]))</f>
        <v>0</v>
      </c>
      <c r="N28" s="60">
        <f>IF(Data[Bookie]="","",SUMIF(LayTable[LayBook],(VLOOKUP(ROW()-3,BookieName[],2,FALSE)),LayTable[WBALay]))</f>
        <v>0</v>
      </c>
      <c r="O28" s="60">
        <f>IF(Data[Bookie]="","",SUMIF(DWbonus[Bookie],(VLOOKUP(ROW()-3,BookieName[],2,FALSE)),DWbonus[Amount]))</f>
        <v>0</v>
      </c>
      <c r="P28" s="63">
        <f>IF(Data[Bookie]="","",SUM(Data[[#This Row],[Pending 1]:[PendingL2]]))</f>
        <v>0</v>
      </c>
      <c r="Q28" s="63">
        <f>IF(Data[Bookie]="","",SUMIFS(BetTable[Stake],BetTable[Bookie],(VLOOKUP(ROW()-3,BookieName[],2,FALSE)),BetTable[Result],""))</f>
        <v>0</v>
      </c>
      <c r="R28" s="63">
        <f>IF(Data[Bookie]="","",SUMIFS(BetTable[S2],BetTable[B2],(VLOOKUP(ROW()-3,BookieName[],2,FALSE)),BetTable[Result],""))</f>
        <v>0</v>
      </c>
      <c r="S28" s="63">
        <f>IF(Data[Bookie]="","",SUMIFS(BetTable[S3],BetTable[B3],(VLOOKUP(ROW()-3,BookieName[],2,FALSE)),BetTable[Result],""))</f>
        <v>0</v>
      </c>
      <c r="T28" s="63">
        <f>IF(Data[Bookie]="","",SUMIFS(LayTable[BackStake],LayTable[BackBook],(VLOOKUP(ROW()-3,BookieName[],2,FALSE)),LayTable[AR],""))</f>
        <v>0</v>
      </c>
      <c r="U28" s="63">
        <f>IF(Data[Bookie]="","",SUMIFS(LayTable[LayLiability],LayTable[LayBook],(VLOOKUP(ROW()-3,BookieName[],2,FALSE)),LayTable[AR],""))</f>
        <v>0</v>
      </c>
    </row>
    <row r="29" spans="1:21" x14ac:dyDescent="0.25">
      <c r="A29" s="59">
        <f t="shared" si="0"/>
        <v>26</v>
      </c>
      <c r="B29" s="60" t="str">
        <f>IFERROR(VLOOKUP(ROW()-3,BookieName[],2,FALSE),"")</f>
        <v>Bets10</v>
      </c>
      <c r="C29" s="61">
        <f>IF(Data[Bookie]="","",SUM(Data[[#This Row],[D/W]:[Bonus and Adjustments]],))</f>
        <v>0</v>
      </c>
      <c r="D29" s="61">
        <f>IF(Data[Bookie]="","",SUMIF(DWbooks[Bookie],(VLOOKUP(ROW()-3,BookieName[],2,FALSE)),DWbooks[Amount]))</f>
        <v>0</v>
      </c>
      <c r="E29" s="59">
        <f>IF(Data[Bookie]="","",SUMIF(BetTable[Bookie],(VLOOKUP(ROW()-3,BookieName[],2,FALSE)),BetTable[Stake])*-1)</f>
        <v>0</v>
      </c>
      <c r="F29" s="59">
        <f>IF(Data[Bookie]="","",SUMIF(BetTable[B2],(VLOOKUP(ROW()-3,BookieName[],2,FALSE)),BetTable[S2])*-1)</f>
        <v>0</v>
      </c>
      <c r="G29" s="59">
        <f>IF(Data[Bookie]="","",SUMIF(BetTable[B3],(VLOOKUP(ROW()-3,BookieName[],2,FALSE)),BetTable[S3])*-1)</f>
        <v>0</v>
      </c>
      <c r="H29" s="59">
        <f>IF(Data[Bookie]="","",SUMIF(BetTable[Bookie],(VLOOKUP(ROW()-3,BookieName[],2,FALSE)),BetTable[WBA1]))</f>
        <v>0</v>
      </c>
      <c r="I29" s="59">
        <f>IF(Data[Bookie]="","",SUMIF(BetTable[B2],(VLOOKUP(ROW()-3,BookieName[],2,FALSE)),BetTable[WBA2]))</f>
        <v>0</v>
      </c>
      <c r="J29" s="59">
        <f>IF(Data[Bookie]="","",SUMIF(BetTable[B3],(VLOOKUP(ROW()-3,BookieName[],2,FALSE)),BetTable[WBA3]))</f>
        <v>0</v>
      </c>
      <c r="K29" s="60">
        <f>IF(Data[Bookie]="","",SUMIF(LayTable[BackBook],(VLOOKUP(ROW()-3,BookieName[],2,FALSE)),LayTable[BackStake])*-1)</f>
        <v>0</v>
      </c>
      <c r="L29" s="60">
        <f>IF(Data[Bookie]="","",SUMIF(LayTable[LayBook],(VLOOKUP(ROW()-3,BookieName[],2,FALSE)),LayTable[LayLiability])*-1)</f>
        <v>0</v>
      </c>
      <c r="M29" s="60">
        <f>IF(Data[Bookie]="","",SUMIF(LayTable[BackBook],(VLOOKUP(ROW()-3,BookieName[],2,FALSE)),LayTable[WBABack]))</f>
        <v>0</v>
      </c>
      <c r="N29" s="60">
        <f>IF(Data[Bookie]="","",SUMIF(LayTable[LayBook],(VLOOKUP(ROW()-3,BookieName[],2,FALSE)),LayTable[WBALay]))</f>
        <v>0</v>
      </c>
      <c r="O29" s="60">
        <f>IF(Data[Bookie]="","",SUMIF(DWbonus[Bookie],(VLOOKUP(ROW()-3,BookieName[],2,FALSE)),DWbonus[Amount]))</f>
        <v>0</v>
      </c>
      <c r="P29" s="63">
        <f>IF(Data[Bookie]="","",SUM(Data[[#This Row],[Pending 1]:[PendingL2]]))</f>
        <v>0</v>
      </c>
      <c r="Q29" s="63">
        <f>IF(Data[Bookie]="","",SUMIFS(BetTable[Stake],BetTable[Bookie],(VLOOKUP(ROW()-3,BookieName[],2,FALSE)),BetTable[Result],""))</f>
        <v>0</v>
      </c>
      <c r="R29" s="63">
        <f>IF(Data[Bookie]="","",SUMIFS(BetTable[S2],BetTable[B2],(VLOOKUP(ROW()-3,BookieName[],2,FALSE)),BetTable[Result],""))</f>
        <v>0</v>
      </c>
      <c r="S29" s="63">
        <f>IF(Data[Bookie]="","",SUMIFS(BetTable[S3],BetTable[B3],(VLOOKUP(ROW()-3,BookieName[],2,FALSE)),BetTable[Result],""))</f>
        <v>0</v>
      </c>
      <c r="T29" s="63">
        <f>IF(Data[Bookie]="","",SUMIFS(LayTable[BackStake],LayTable[BackBook],(VLOOKUP(ROW()-3,BookieName[],2,FALSE)),LayTable[AR],""))</f>
        <v>0</v>
      </c>
      <c r="U29" s="63">
        <f>IF(Data[Bookie]="","",SUMIFS(LayTable[LayLiability],LayTable[LayBook],(VLOOKUP(ROW()-3,BookieName[],2,FALSE)),LayTable[AR],""))</f>
        <v>0</v>
      </c>
    </row>
    <row r="30" spans="1:21" x14ac:dyDescent="0.25">
      <c r="A30" s="59">
        <f t="shared" si="0"/>
        <v>27</v>
      </c>
      <c r="B30" s="60" t="str">
        <f>IFERROR(VLOOKUP(ROW()-3,BookieName[],2,FALSE),"")</f>
        <v>BetSafe</v>
      </c>
      <c r="C30" s="61">
        <f>IF(Data[Bookie]="","",SUM(Data[[#This Row],[D/W]:[Bonus and Adjustments]],))</f>
        <v>0</v>
      </c>
      <c r="D30" s="61">
        <f>IF(Data[Bookie]="","",SUMIF(DWbooks[Bookie],(VLOOKUP(ROW()-3,BookieName[],2,FALSE)),DWbooks[Amount]))</f>
        <v>0</v>
      </c>
      <c r="E30" s="59">
        <f>IF(Data[Bookie]="","",SUMIF(BetTable[Bookie],(VLOOKUP(ROW()-3,BookieName[],2,FALSE)),BetTable[Stake])*-1)</f>
        <v>0</v>
      </c>
      <c r="F30" s="59">
        <f>IF(Data[Bookie]="","",SUMIF(BetTable[B2],(VLOOKUP(ROW()-3,BookieName[],2,FALSE)),BetTable[S2])*-1)</f>
        <v>0</v>
      </c>
      <c r="G30" s="59">
        <f>IF(Data[Bookie]="","",SUMIF(BetTable[B3],(VLOOKUP(ROW()-3,BookieName[],2,FALSE)),BetTable[S3])*-1)</f>
        <v>0</v>
      </c>
      <c r="H30" s="59">
        <f>IF(Data[Bookie]="","",SUMIF(BetTable[Bookie],(VLOOKUP(ROW()-3,BookieName[],2,FALSE)),BetTable[WBA1]))</f>
        <v>0</v>
      </c>
      <c r="I30" s="59">
        <f>IF(Data[Bookie]="","",SUMIF(BetTable[B2],(VLOOKUP(ROW()-3,BookieName[],2,FALSE)),BetTable[WBA2]))</f>
        <v>0</v>
      </c>
      <c r="J30" s="59">
        <f>IF(Data[Bookie]="","",SUMIF(BetTable[B3],(VLOOKUP(ROW()-3,BookieName[],2,FALSE)),BetTable[WBA3]))</f>
        <v>0</v>
      </c>
      <c r="K30" s="60">
        <f>IF(Data[Bookie]="","",SUMIF(LayTable[BackBook],(VLOOKUP(ROW()-3,BookieName[],2,FALSE)),LayTable[BackStake])*-1)</f>
        <v>0</v>
      </c>
      <c r="L30" s="60">
        <f>IF(Data[Bookie]="","",SUMIF(LayTable[LayBook],(VLOOKUP(ROW()-3,BookieName[],2,FALSE)),LayTable[LayLiability])*-1)</f>
        <v>0</v>
      </c>
      <c r="M30" s="60">
        <f>IF(Data[Bookie]="","",SUMIF(LayTable[BackBook],(VLOOKUP(ROW()-3,BookieName[],2,FALSE)),LayTable[WBABack]))</f>
        <v>0</v>
      </c>
      <c r="N30" s="60">
        <f>IF(Data[Bookie]="","",SUMIF(LayTable[LayBook],(VLOOKUP(ROW()-3,BookieName[],2,FALSE)),LayTable[WBALay]))</f>
        <v>0</v>
      </c>
      <c r="O30" s="60">
        <f>IF(Data[Bookie]="","",SUMIF(DWbonus[Bookie],(VLOOKUP(ROW()-3,BookieName[],2,FALSE)),DWbonus[Amount]))</f>
        <v>0</v>
      </c>
      <c r="P30" s="63">
        <f>IF(Data[Bookie]="","",SUM(Data[[#This Row],[Pending 1]:[PendingL2]]))</f>
        <v>0</v>
      </c>
      <c r="Q30" s="63">
        <f>IF(Data[Bookie]="","",SUMIFS(BetTable[Stake],BetTable[Bookie],(VLOOKUP(ROW()-3,BookieName[],2,FALSE)),BetTable[Result],""))</f>
        <v>0</v>
      </c>
      <c r="R30" s="63">
        <f>IF(Data[Bookie]="","",SUMIFS(BetTable[S2],BetTable[B2],(VLOOKUP(ROW()-3,BookieName[],2,FALSE)),BetTable[Result],""))</f>
        <v>0</v>
      </c>
      <c r="S30" s="63">
        <f>IF(Data[Bookie]="","",SUMIFS(BetTable[S3],BetTable[B3],(VLOOKUP(ROW()-3,BookieName[],2,FALSE)),BetTable[Result],""))</f>
        <v>0</v>
      </c>
      <c r="T30" s="63">
        <f>IF(Data[Bookie]="","",SUMIFS(LayTable[BackStake],LayTable[BackBook],(VLOOKUP(ROW()-3,BookieName[],2,FALSE)),LayTable[AR],""))</f>
        <v>0</v>
      </c>
      <c r="U30" s="63">
        <f>IF(Data[Bookie]="","",SUMIFS(LayTable[LayLiability],LayTable[LayBook],(VLOOKUP(ROW()-3,BookieName[],2,FALSE)),LayTable[AR],""))</f>
        <v>0</v>
      </c>
    </row>
    <row r="31" spans="1:21" x14ac:dyDescent="0.25">
      <c r="A31" s="59">
        <f t="shared" si="0"/>
        <v>28</v>
      </c>
      <c r="B31" s="60" t="str">
        <f>IFERROR(VLOOKUP(ROW()-3,BookieName[],2,FALSE),"")</f>
        <v>Betshop</v>
      </c>
      <c r="C31" s="61">
        <f>IF(Data[Bookie]="","",SUM(Data[[#This Row],[D/W]:[Bonus and Adjustments]],))</f>
        <v>0</v>
      </c>
      <c r="D31" s="61">
        <f>IF(Data[Bookie]="","",SUMIF(DWbooks[Bookie],(VLOOKUP(ROW()-3,BookieName[],2,FALSE)),DWbooks[Amount]))</f>
        <v>0</v>
      </c>
      <c r="E31" s="59">
        <f>IF(Data[Bookie]="","",SUMIF(BetTable[Bookie],(VLOOKUP(ROW()-3,BookieName[],2,FALSE)),BetTable[Stake])*-1)</f>
        <v>0</v>
      </c>
      <c r="F31" s="59">
        <f>IF(Data[Bookie]="","",SUMIF(BetTable[B2],(VLOOKUP(ROW()-3,BookieName[],2,FALSE)),BetTable[S2])*-1)</f>
        <v>0</v>
      </c>
      <c r="G31" s="59">
        <f>IF(Data[Bookie]="","",SUMIF(BetTable[B3],(VLOOKUP(ROW()-3,BookieName[],2,FALSE)),BetTable[S3])*-1)</f>
        <v>0</v>
      </c>
      <c r="H31" s="59">
        <f>IF(Data[Bookie]="","",SUMIF(BetTable[Bookie],(VLOOKUP(ROW()-3,BookieName[],2,FALSE)),BetTable[WBA1]))</f>
        <v>0</v>
      </c>
      <c r="I31" s="59">
        <f>IF(Data[Bookie]="","",SUMIF(BetTable[B2],(VLOOKUP(ROW()-3,BookieName[],2,FALSE)),BetTable[WBA2]))</f>
        <v>0</v>
      </c>
      <c r="J31" s="59">
        <f>IF(Data[Bookie]="","",SUMIF(BetTable[B3],(VLOOKUP(ROW()-3,BookieName[],2,FALSE)),BetTable[WBA3]))</f>
        <v>0</v>
      </c>
      <c r="K31" s="60">
        <f>IF(Data[Bookie]="","",SUMIF(LayTable[BackBook],(VLOOKUP(ROW()-3,BookieName[],2,FALSE)),LayTable[BackStake])*-1)</f>
        <v>0</v>
      </c>
      <c r="L31" s="60">
        <f>IF(Data[Bookie]="","",SUMIF(LayTable[LayBook],(VLOOKUP(ROW()-3,BookieName[],2,FALSE)),LayTable[LayLiability])*-1)</f>
        <v>0</v>
      </c>
      <c r="M31" s="60">
        <f>IF(Data[Bookie]="","",SUMIF(LayTable[BackBook],(VLOOKUP(ROW()-3,BookieName[],2,FALSE)),LayTable[WBABack]))</f>
        <v>0</v>
      </c>
      <c r="N31" s="60">
        <f>IF(Data[Bookie]="","",SUMIF(LayTable[LayBook],(VLOOKUP(ROW()-3,BookieName[],2,FALSE)),LayTable[WBALay]))</f>
        <v>0</v>
      </c>
      <c r="O31" s="60">
        <f>IF(Data[Bookie]="","",SUMIF(DWbonus[Bookie],(VLOOKUP(ROW()-3,BookieName[],2,FALSE)),DWbonus[Amount]))</f>
        <v>0</v>
      </c>
      <c r="P31" s="63">
        <f>IF(Data[Bookie]="","",SUM(Data[[#This Row],[Pending 1]:[PendingL2]]))</f>
        <v>0</v>
      </c>
      <c r="Q31" s="63">
        <f>IF(Data[Bookie]="","",SUMIFS(BetTable[Stake],BetTable[Bookie],(VLOOKUP(ROW()-3,BookieName[],2,FALSE)),BetTable[Result],""))</f>
        <v>0</v>
      </c>
      <c r="R31" s="63">
        <f>IF(Data[Bookie]="","",SUMIFS(BetTable[S2],BetTable[B2],(VLOOKUP(ROW()-3,BookieName[],2,FALSE)),BetTable[Result],""))</f>
        <v>0</v>
      </c>
      <c r="S31" s="63">
        <f>IF(Data[Bookie]="","",SUMIFS(BetTable[S3],BetTable[B3],(VLOOKUP(ROW()-3,BookieName[],2,FALSE)),BetTable[Result],""))</f>
        <v>0</v>
      </c>
      <c r="T31" s="63">
        <f>IF(Data[Bookie]="","",SUMIFS(LayTable[BackStake],LayTable[BackBook],(VLOOKUP(ROW()-3,BookieName[],2,FALSE)),LayTable[AR],""))</f>
        <v>0</v>
      </c>
      <c r="U31" s="63">
        <f>IF(Data[Bookie]="","",SUMIFS(LayTable[LayLiability],LayTable[LayBook],(VLOOKUP(ROW()-3,BookieName[],2,FALSE)),LayTable[AR],""))</f>
        <v>0</v>
      </c>
    </row>
    <row r="32" spans="1:21" x14ac:dyDescent="0.25">
      <c r="A32" s="59">
        <f t="shared" si="0"/>
        <v>29</v>
      </c>
      <c r="B32" s="60" t="str">
        <f>IFERROR(VLOOKUP(ROW()-3,BookieName[],2,FALSE),"")</f>
        <v>Betsson</v>
      </c>
      <c r="C32" s="61">
        <f>IF(Data[Bookie]="","",SUM(Data[[#This Row],[D/W]:[Bonus and Adjustments]],))</f>
        <v>0</v>
      </c>
      <c r="D32" s="61">
        <f>IF(Data[Bookie]="","",SUMIF(DWbooks[Bookie],(VLOOKUP(ROW()-3,BookieName[],2,FALSE)),DWbooks[Amount]))</f>
        <v>0</v>
      </c>
      <c r="E32" s="59">
        <f>IF(Data[Bookie]="","",SUMIF(BetTable[Bookie],(VLOOKUP(ROW()-3,BookieName[],2,FALSE)),BetTable[Stake])*-1)</f>
        <v>0</v>
      </c>
      <c r="F32" s="59">
        <f>IF(Data[Bookie]="","",SUMIF(BetTable[B2],(VLOOKUP(ROW()-3,BookieName[],2,FALSE)),BetTable[S2])*-1)</f>
        <v>0</v>
      </c>
      <c r="G32" s="59">
        <f>IF(Data[Bookie]="","",SUMIF(BetTable[B3],(VLOOKUP(ROW()-3,BookieName[],2,FALSE)),BetTable[S3])*-1)</f>
        <v>0</v>
      </c>
      <c r="H32" s="59">
        <f>IF(Data[Bookie]="","",SUMIF(BetTable[Bookie],(VLOOKUP(ROW()-3,BookieName[],2,FALSE)),BetTable[WBA1]))</f>
        <v>0</v>
      </c>
      <c r="I32" s="59">
        <f>IF(Data[Bookie]="","",SUMIF(BetTable[B2],(VLOOKUP(ROW()-3,BookieName[],2,FALSE)),BetTable[WBA2]))</f>
        <v>0</v>
      </c>
      <c r="J32" s="59">
        <f>IF(Data[Bookie]="","",SUMIF(BetTable[B3],(VLOOKUP(ROW()-3,BookieName[],2,FALSE)),BetTable[WBA3]))</f>
        <v>0</v>
      </c>
      <c r="K32" s="60">
        <f>IF(Data[Bookie]="","",SUMIF(LayTable[BackBook],(VLOOKUP(ROW()-3,BookieName[],2,FALSE)),LayTable[BackStake])*-1)</f>
        <v>0</v>
      </c>
      <c r="L32" s="60">
        <f>IF(Data[Bookie]="","",SUMIF(LayTable[LayBook],(VLOOKUP(ROW()-3,BookieName[],2,FALSE)),LayTable[LayLiability])*-1)</f>
        <v>0</v>
      </c>
      <c r="M32" s="60">
        <f>IF(Data[Bookie]="","",SUMIF(LayTable[BackBook],(VLOOKUP(ROW()-3,BookieName[],2,FALSE)),LayTable[WBABack]))</f>
        <v>0</v>
      </c>
      <c r="N32" s="60">
        <f>IF(Data[Bookie]="","",SUMIF(LayTable[LayBook],(VLOOKUP(ROW()-3,BookieName[],2,FALSE)),LayTable[WBALay]))</f>
        <v>0</v>
      </c>
      <c r="O32" s="60">
        <f>IF(Data[Bookie]="","",SUMIF(DWbonus[Bookie],(VLOOKUP(ROW()-3,BookieName[],2,FALSE)),DWbonus[Amount]))</f>
        <v>0</v>
      </c>
      <c r="P32" s="63">
        <f>IF(Data[Bookie]="","",SUM(Data[[#This Row],[Pending 1]:[PendingL2]]))</f>
        <v>0</v>
      </c>
      <c r="Q32" s="63">
        <f>IF(Data[Bookie]="","",SUMIFS(BetTable[Stake],BetTable[Bookie],(VLOOKUP(ROW()-3,BookieName[],2,FALSE)),BetTable[Result],""))</f>
        <v>0</v>
      </c>
      <c r="R32" s="63">
        <f>IF(Data[Bookie]="","",SUMIFS(BetTable[S2],BetTable[B2],(VLOOKUP(ROW()-3,BookieName[],2,FALSE)),BetTable[Result],""))</f>
        <v>0</v>
      </c>
      <c r="S32" s="63">
        <f>IF(Data[Bookie]="","",SUMIFS(BetTable[S3],BetTable[B3],(VLOOKUP(ROW()-3,BookieName[],2,FALSE)),BetTable[Result],""))</f>
        <v>0</v>
      </c>
      <c r="T32" s="63">
        <f>IF(Data[Bookie]="","",SUMIFS(LayTable[BackStake],LayTable[BackBook],(VLOOKUP(ROW()-3,BookieName[],2,FALSE)),LayTable[AR],""))</f>
        <v>0</v>
      </c>
      <c r="U32" s="63">
        <f>IF(Data[Bookie]="","",SUMIFS(LayTable[LayLiability],LayTable[LayBook],(VLOOKUP(ROW()-3,BookieName[],2,FALSE)),LayTable[AR],""))</f>
        <v>0</v>
      </c>
    </row>
    <row r="33" spans="1:21" x14ac:dyDescent="0.25">
      <c r="A33" s="59">
        <f t="shared" si="0"/>
        <v>30</v>
      </c>
      <c r="B33" s="60" t="str">
        <f>IFERROR(VLOOKUP(ROW()-3,BookieName[],2,FALSE),"")</f>
        <v>Betstar</v>
      </c>
      <c r="C33" s="61">
        <f>IF(Data[Bookie]="","",SUM(Data[[#This Row],[D/W]:[Bonus and Adjustments]],))</f>
        <v>0</v>
      </c>
      <c r="D33" s="61">
        <f>IF(Data[Bookie]="","",SUMIF(DWbooks[Bookie],(VLOOKUP(ROW()-3,BookieName[],2,FALSE)),DWbooks[Amount]))</f>
        <v>0</v>
      </c>
      <c r="E33" s="59">
        <f>IF(Data[Bookie]="","",SUMIF(BetTable[Bookie],(VLOOKUP(ROW()-3,BookieName[],2,FALSE)),BetTable[Stake])*-1)</f>
        <v>0</v>
      </c>
      <c r="F33" s="59">
        <f>IF(Data[Bookie]="","",SUMIF(BetTable[B2],(VLOOKUP(ROW()-3,BookieName[],2,FALSE)),BetTable[S2])*-1)</f>
        <v>0</v>
      </c>
      <c r="G33" s="59">
        <f>IF(Data[Bookie]="","",SUMIF(BetTable[B3],(VLOOKUP(ROW()-3,BookieName[],2,FALSE)),BetTable[S3])*-1)</f>
        <v>0</v>
      </c>
      <c r="H33" s="59">
        <f>IF(Data[Bookie]="","",SUMIF(BetTable[Bookie],(VLOOKUP(ROW()-3,BookieName[],2,FALSE)),BetTable[WBA1]))</f>
        <v>0</v>
      </c>
      <c r="I33" s="59">
        <f>IF(Data[Bookie]="","",SUMIF(BetTable[B2],(VLOOKUP(ROW()-3,BookieName[],2,FALSE)),BetTable[WBA2]))</f>
        <v>0</v>
      </c>
      <c r="J33" s="59">
        <f>IF(Data[Bookie]="","",SUMIF(BetTable[B3],(VLOOKUP(ROW()-3,BookieName[],2,FALSE)),BetTable[WBA3]))</f>
        <v>0</v>
      </c>
      <c r="K33" s="60">
        <f>IF(Data[Bookie]="","",SUMIF(LayTable[BackBook],(VLOOKUP(ROW()-3,BookieName[],2,FALSE)),LayTable[BackStake])*-1)</f>
        <v>0</v>
      </c>
      <c r="L33" s="60">
        <f>IF(Data[Bookie]="","",SUMIF(LayTable[LayBook],(VLOOKUP(ROW()-3,BookieName[],2,FALSE)),LayTable[LayLiability])*-1)</f>
        <v>0</v>
      </c>
      <c r="M33" s="60">
        <f>IF(Data[Bookie]="","",SUMIF(LayTable[BackBook],(VLOOKUP(ROW()-3,BookieName[],2,FALSE)),LayTable[WBABack]))</f>
        <v>0</v>
      </c>
      <c r="N33" s="60">
        <f>IF(Data[Bookie]="","",SUMIF(LayTable[LayBook],(VLOOKUP(ROW()-3,BookieName[],2,FALSE)),LayTable[WBALay]))</f>
        <v>0</v>
      </c>
      <c r="O33" s="60">
        <f>IF(Data[Bookie]="","",SUMIF(DWbonus[Bookie],(VLOOKUP(ROW()-3,BookieName[],2,FALSE)),DWbonus[Amount]))</f>
        <v>0</v>
      </c>
      <c r="P33" s="63">
        <f>IF(Data[Bookie]="","",SUM(Data[[#This Row],[Pending 1]:[PendingL2]]))</f>
        <v>0</v>
      </c>
      <c r="Q33" s="63">
        <f>IF(Data[Bookie]="","",SUMIFS(BetTable[Stake],BetTable[Bookie],(VLOOKUP(ROW()-3,BookieName[],2,FALSE)),BetTable[Result],""))</f>
        <v>0</v>
      </c>
      <c r="R33" s="63">
        <f>IF(Data[Bookie]="","",SUMIFS(BetTable[S2],BetTable[B2],(VLOOKUP(ROW()-3,BookieName[],2,FALSE)),BetTable[Result],""))</f>
        <v>0</v>
      </c>
      <c r="S33" s="63">
        <f>IF(Data[Bookie]="","",SUMIFS(BetTable[S3],BetTable[B3],(VLOOKUP(ROW()-3,BookieName[],2,FALSE)),BetTable[Result],""))</f>
        <v>0</v>
      </c>
      <c r="T33" s="63">
        <f>IF(Data[Bookie]="","",SUMIFS(LayTable[BackStake],LayTable[BackBook],(VLOOKUP(ROW()-3,BookieName[],2,FALSE)),LayTable[AR],""))</f>
        <v>0</v>
      </c>
      <c r="U33" s="63">
        <f>IF(Data[Bookie]="","",SUMIFS(LayTable[LayLiability],LayTable[LayBook],(VLOOKUP(ROW()-3,BookieName[],2,FALSE)),LayTable[AR],""))</f>
        <v>0</v>
      </c>
    </row>
    <row r="34" spans="1:21" x14ac:dyDescent="0.25">
      <c r="A34" s="59">
        <f t="shared" si="0"/>
        <v>31</v>
      </c>
      <c r="B34" s="60" t="str">
        <f>IFERROR(VLOOKUP(ROW()-3,BookieName[],2,FALSE),"")</f>
        <v>BookmakerEu</v>
      </c>
      <c r="C34" s="61">
        <f>IF(Data[Bookie]="","",SUM(Data[[#This Row],[D/W]:[Bonus and Adjustments]],))</f>
        <v>0</v>
      </c>
      <c r="D34" s="61">
        <f>IF(Data[Bookie]="","",SUMIF(DWbooks[Bookie],(VLOOKUP(ROW()-3,BookieName[],2,FALSE)),DWbooks[Amount]))</f>
        <v>0</v>
      </c>
      <c r="E34" s="59">
        <f>IF(Data[Bookie]="","",SUMIF(BetTable[Bookie],(VLOOKUP(ROW()-3,BookieName[],2,FALSE)),BetTable[Stake])*-1)</f>
        <v>0</v>
      </c>
      <c r="F34" s="59">
        <f>IF(Data[Bookie]="","",SUMIF(BetTable[B2],(VLOOKUP(ROW()-3,BookieName[],2,FALSE)),BetTable[S2])*-1)</f>
        <v>0</v>
      </c>
      <c r="G34" s="59">
        <f>IF(Data[Bookie]="","",SUMIF(BetTable[B3],(VLOOKUP(ROW()-3,BookieName[],2,FALSE)),BetTable[S3])*-1)</f>
        <v>0</v>
      </c>
      <c r="H34" s="59">
        <f>IF(Data[Bookie]="","",SUMIF(BetTable[Bookie],(VLOOKUP(ROW()-3,BookieName[],2,FALSE)),BetTable[WBA1]))</f>
        <v>0</v>
      </c>
      <c r="I34" s="59">
        <f>IF(Data[Bookie]="","",SUMIF(BetTable[B2],(VLOOKUP(ROW()-3,BookieName[],2,FALSE)),BetTable[WBA2]))</f>
        <v>0</v>
      </c>
      <c r="J34" s="59">
        <f>IF(Data[Bookie]="","",SUMIF(BetTable[B3],(VLOOKUP(ROW()-3,BookieName[],2,FALSE)),BetTable[WBA3]))</f>
        <v>0</v>
      </c>
      <c r="K34" s="60">
        <f>IF(Data[Bookie]="","",SUMIF(LayTable[BackBook],(VLOOKUP(ROW()-3,BookieName[],2,FALSE)),LayTable[BackStake])*-1)</f>
        <v>0</v>
      </c>
      <c r="L34" s="60">
        <f>IF(Data[Bookie]="","",SUMIF(LayTable[LayBook],(VLOOKUP(ROW()-3,BookieName[],2,FALSE)),LayTable[LayLiability])*-1)</f>
        <v>0</v>
      </c>
      <c r="M34" s="60">
        <f>IF(Data[Bookie]="","",SUMIF(LayTable[BackBook],(VLOOKUP(ROW()-3,BookieName[],2,FALSE)),LayTable[WBABack]))</f>
        <v>0</v>
      </c>
      <c r="N34" s="60">
        <f>IF(Data[Bookie]="","",SUMIF(LayTable[LayBook],(VLOOKUP(ROW()-3,BookieName[],2,FALSE)),LayTable[WBALay]))</f>
        <v>0</v>
      </c>
      <c r="O34" s="60">
        <f>IF(Data[Bookie]="","",SUMIF(DWbonus[Bookie],(VLOOKUP(ROW()-3,BookieName[],2,FALSE)),DWbonus[Amount]))</f>
        <v>0</v>
      </c>
      <c r="P34" s="63">
        <f>IF(Data[Bookie]="","",SUM(Data[[#This Row],[Pending 1]:[PendingL2]]))</f>
        <v>0</v>
      </c>
      <c r="Q34" s="63">
        <f>IF(Data[Bookie]="","",SUMIFS(BetTable[Stake],BetTable[Bookie],(VLOOKUP(ROW()-3,BookieName[],2,FALSE)),BetTable[Result],""))</f>
        <v>0</v>
      </c>
      <c r="R34" s="63">
        <f>IF(Data[Bookie]="","",SUMIFS(BetTable[S2],BetTable[B2],(VLOOKUP(ROW()-3,BookieName[],2,FALSE)),BetTable[Result],""))</f>
        <v>0</v>
      </c>
      <c r="S34" s="63">
        <f>IF(Data[Bookie]="","",SUMIFS(BetTable[S3],BetTable[B3],(VLOOKUP(ROW()-3,BookieName[],2,FALSE)),BetTable[Result],""))</f>
        <v>0</v>
      </c>
      <c r="T34" s="63">
        <f>IF(Data[Bookie]="","",SUMIFS(LayTable[BackStake],LayTable[BackBook],(VLOOKUP(ROW()-3,BookieName[],2,FALSE)),LayTable[AR],""))</f>
        <v>0</v>
      </c>
      <c r="U34" s="63">
        <f>IF(Data[Bookie]="","",SUMIFS(LayTable[LayLiability],LayTable[LayBook],(VLOOKUP(ROW()-3,BookieName[],2,FALSE)),LayTable[AR],""))</f>
        <v>0</v>
      </c>
    </row>
    <row r="35" spans="1:21" x14ac:dyDescent="0.25">
      <c r="A35" s="59">
        <f t="shared" si="0"/>
        <v>32</v>
      </c>
      <c r="B35" s="60" t="str">
        <f>IFERROR(VLOOKUP(ROW()-3,BookieName[],2,FALSE),"")</f>
        <v>BoyleSports</v>
      </c>
      <c r="C35" s="61">
        <f>IF(Data[Bookie]="","",SUM(Data[[#This Row],[D/W]:[Bonus and Adjustments]],))</f>
        <v>0</v>
      </c>
      <c r="D35" s="61">
        <f>IF(Data[Bookie]="","",SUMIF(DWbooks[Bookie],(VLOOKUP(ROW()-3,BookieName[],2,FALSE)),DWbooks[Amount]))</f>
        <v>0</v>
      </c>
      <c r="E35" s="59">
        <f>IF(Data[Bookie]="","",SUMIF(BetTable[Bookie],(VLOOKUP(ROW()-3,BookieName[],2,FALSE)),BetTable[Stake])*-1)</f>
        <v>0</v>
      </c>
      <c r="F35" s="59">
        <f>IF(Data[Bookie]="","",SUMIF(BetTable[B2],(VLOOKUP(ROW()-3,BookieName[],2,FALSE)),BetTable[S2])*-1)</f>
        <v>0</v>
      </c>
      <c r="G35" s="59">
        <f>IF(Data[Bookie]="","",SUMIF(BetTable[B3],(VLOOKUP(ROW()-3,BookieName[],2,FALSE)),BetTable[S3])*-1)</f>
        <v>0</v>
      </c>
      <c r="H35" s="59">
        <f>IF(Data[Bookie]="","",SUMIF(BetTable[Bookie],(VLOOKUP(ROW()-3,BookieName[],2,FALSE)),BetTable[WBA1]))</f>
        <v>0</v>
      </c>
      <c r="I35" s="59">
        <f>IF(Data[Bookie]="","",SUMIF(BetTable[B2],(VLOOKUP(ROW()-3,BookieName[],2,FALSE)),BetTable[WBA2]))</f>
        <v>0</v>
      </c>
      <c r="J35" s="59">
        <f>IF(Data[Bookie]="","",SUMIF(BetTable[B3],(VLOOKUP(ROW()-3,BookieName[],2,FALSE)),BetTable[WBA3]))</f>
        <v>0</v>
      </c>
      <c r="K35" s="60">
        <f>IF(Data[Bookie]="","",SUMIF(LayTable[BackBook],(VLOOKUP(ROW()-3,BookieName[],2,FALSE)),LayTable[BackStake])*-1)</f>
        <v>0</v>
      </c>
      <c r="L35" s="60">
        <f>IF(Data[Bookie]="","",SUMIF(LayTable[LayBook],(VLOOKUP(ROW()-3,BookieName[],2,FALSE)),LayTable[LayLiability])*-1)</f>
        <v>0</v>
      </c>
      <c r="M35" s="60">
        <f>IF(Data[Bookie]="","",SUMIF(LayTable[BackBook],(VLOOKUP(ROW()-3,BookieName[],2,FALSE)),LayTable[WBABack]))</f>
        <v>0</v>
      </c>
      <c r="N35" s="60">
        <f>IF(Data[Bookie]="","",SUMIF(LayTable[LayBook],(VLOOKUP(ROW()-3,BookieName[],2,FALSE)),LayTable[WBALay]))</f>
        <v>0</v>
      </c>
      <c r="O35" s="60">
        <f>IF(Data[Bookie]="","",SUMIF(DWbonus[Bookie],(VLOOKUP(ROW()-3,BookieName[],2,FALSE)),DWbonus[Amount]))</f>
        <v>0</v>
      </c>
      <c r="P35" s="63">
        <f>IF(Data[Bookie]="","",SUM(Data[[#This Row],[Pending 1]:[PendingL2]]))</f>
        <v>0</v>
      </c>
      <c r="Q35" s="63">
        <f>IF(Data[Bookie]="","",SUMIFS(BetTable[Stake],BetTable[Bookie],(VLOOKUP(ROW()-3,BookieName[],2,FALSE)),BetTable[Result],""))</f>
        <v>0</v>
      </c>
      <c r="R35" s="63">
        <f>IF(Data[Bookie]="","",SUMIFS(BetTable[S2],BetTable[B2],(VLOOKUP(ROW()-3,BookieName[],2,FALSE)),BetTable[Result],""))</f>
        <v>0</v>
      </c>
      <c r="S35" s="63">
        <f>IF(Data[Bookie]="","",SUMIFS(BetTable[S3],BetTable[B3],(VLOOKUP(ROW()-3,BookieName[],2,FALSE)),BetTable[Result],""))</f>
        <v>0</v>
      </c>
      <c r="T35" s="63">
        <f>IF(Data[Bookie]="","",SUMIFS(LayTable[BackStake],LayTable[BackBook],(VLOOKUP(ROW()-3,BookieName[],2,FALSE)),LayTable[AR],""))</f>
        <v>0</v>
      </c>
      <c r="U35" s="63">
        <f>IF(Data[Bookie]="","",SUMIFS(LayTable[LayLiability],LayTable[LayBook],(VLOOKUP(ROW()-3,BookieName[],2,FALSE)),LayTable[AR],""))</f>
        <v>0</v>
      </c>
    </row>
    <row r="36" spans="1:21" x14ac:dyDescent="0.25">
      <c r="A36" s="59">
        <f t="shared" ref="A36:A67" si="1">ROW()-3</f>
        <v>33</v>
      </c>
      <c r="B36" s="60" t="str">
        <f>IFERROR(VLOOKUP(ROW()-3,BookieName[],2,FALSE),"")</f>
        <v>BWin</v>
      </c>
      <c r="C36" s="61">
        <f>IF(Data[Bookie]="","",SUM(Data[[#This Row],[D/W]:[Bonus and Adjustments]],))</f>
        <v>0</v>
      </c>
      <c r="D36" s="61">
        <f>IF(Data[Bookie]="","",SUMIF(DWbooks[Bookie],(VLOOKUP(ROW()-3,BookieName[],2,FALSE)),DWbooks[Amount]))</f>
        <v>0</v>
      </c>
      <c r="E36" s="59">
        <f>IF(Data[Bookie]="","",SUMIF(BetTable[Bookie],(VLOOKUP(ROW()-3,BookieName[],2,FALSE)),BetTable[Stake])*-1)</f>
        <v>0</v>
      </c>
      <c r="F36" s="59">
        <f>IF(Data[Bookie]="","",SUMIF(BetTable[B2],(VLOOKUP(ROW()-3,BookieName[],2,FALSE)),BetTable[S2])*-1)</f>
        <v>0</v>
      </c>
      <c r="G36" s="59">
        <f>IF(Data[Bookie]="","",SUMIF(BetTable[B3],(VLOOKUP(ROW()-3,BookieName[],2,FALSE)),BetTable[S3])*-1)</f>
        <v>0</v>
      </c>
      <c r="H36" s="59">
        <f>IF(Data[Bookie]="","",SUMIF(BetTable[Bookie],(VLOOKUP(ROW()-3,BookieName[],2,FALSE)),BetTable[WBA1]))</f>
        <v>0</v>
      </c>
      <c r="I36" s="59">
        <f>IF(Data[Bookie]="","",SUMIF(BetTable[B2],(VLOOKUP(ROW()-3,BookieName[],2,FALSE)),BetTable[WBA2]))</f>
        <v>0</v>
      </c>
      <c r="J36" s="59">
        <f>IF(Data[Bookie]="","",SUMIF(BetTable[B3],(VLOOKUP(ROW()-3,BookieName[],2,FALSE)),BetTable[WBA3]))</f>
        <v>0</v>
      </c>
      <c r="K36" s="60">
        <f>IF(Data[Bookie]="","",SUMIF(LayTable[BackBook],(VLOOKUP(ROW()-3,BookieName[],2,FALSE)),LayTable[BackStake])*-1)</f>
        <v>0</v>
      </c>
      <c r="L36" s="60">
        <f>IF(Data[Bookie]="","",SUMIF(LayTable[LayBook],(VLOOKUP(ROW()-3,BookieName[],2,FALSE)),LayTable[LayLiability])*-1)</f>
        <v>0</v>
      </c>
      <c r="M36" s="60">
        <f>IF(Data[Bookie]="","",SUMIF(LayTable[BackBook],(VLOOKUP(ROW()-3,BookieName[],2,FALSE)),LayTable[WBABack]))</f>
        <v>0</v>
      </c>
      <c r="N36" s="60">
        <f>IF(Data[Bookie]="","",SUMIF(LayTable[LayBook],(VLOOKUP(ROW()-3,BookieName[],2,FALSE)),LayTable[WBALay]))</f>
        <v>0</v>
      </c>
      <c r="O36" s="60">
        <f>IF(Data[Bookie]="","",SUMIF(DWbonus[Bookie],(VLOOKUP(ROW()-3,BookieName[],2,FALSE)),DWbonus[Amount]))</f>
        <v>0</v>
      </c>
      <c r="P36" s="63">
        <f>IF(Data[Bookie]="","",SUM(Data[[#This Row],[Pending 1]:[PendingL2]]))</f>
        <v>0</v>
      </c>
      <c r="Q36" s="63">
        <f>IF(Data[Bookie]="","",SUMIFS(BetTable[Stake],BetTable[Bookie],(VLOOKUP(ROW()-3,BookieName[],2,FALSE)),BetTable[Result],""))</f>
        <v>0</v>
      </c>
      <c r="R36" s="63">
        <f>IF(Data[Bookie]="","",SUMIFS(BetTable[S2],BetTable[B2],(VLOOKUP(ROW()-3,BookieName[],2,FALSE)),BetTable[Result],""))</f>
        <v>0</v>
      </c>
      <c r="S36" s="63">
        <f>IF(Data[Bookie]="","",SUMIFS(BetTable[S3],BetTable[B3],(VLOOKUP(ROW()-3,BookieName[],2,FALSE)),BetTable[Result],""))</f>
        <v>0</v>
      </c>
      <c r="T36" s="63">
        <f>IF(Data[Bookie]="","",SUMIFS(LayTable[BackStake],LayTable[BackBook],(VLOOKUP(ROW()-3,BookieName[],2,FALSE)),LayTable[AR],""))</f>
        <v>0</v>
      </c>
      <c r="U36" s="63">
        <f>IF(Data[Bookie]="","",SUMIFS(LayTable[LayLiability],LayTable[LayBook],(VLOOKUP(ROW()-3,BookieName[],2,FALSE)),LayTable[AR],""))</f>
        <v>0</v>
      </c>
    </row>
    <row r="37" spans="1:21" x14ac:dyDescent="0.25">
      <c r="A37" s="59">
        <f t="shared" si="1"/>
        <v>34</v>
      </c>
      <c r="B37" s="60" t="str">
        <f>IFERROR(VLOOKUP(ROW()-3,BookieName[],2,FALSE),"")</f>
        <v>Cashpoint</v>
      </c>
      <c r="C37" s="61">
        <f>IF(Data[Bookie]="","",SUM(Data[[#This Row],[D/W]:[Bonus and Adjustments]],))</f>
        <v>0</v>
      </c>
      <c r="D37" s="61">
        <f>IF(Data[Bookie]="","",SUMIF(DWbooks[Bookie],(VLOOKUP(ROW()-3,BookieName[],2,FALSE)),DWbooks[Amount]))</f>
        <v>0</v>
      </c>
      <c r="E37" s="59">
        <f>IF(Data[Bookie]="","",SUMIF(BetTable[Bookie],(VLOOKUP(ROW()-3,BookieName[],2,FALSE)),BetTable[Stake])*-1)</f>
        <v>0</v>
      </c>
      <c r="F37" s="59">
        <f>IF(Data[Bookie]="","",SUMIF(BetTable[B2],(VLOOKUP(ROW()-3,BookieName[],2,FALSE)),BetTable[S2])*-1)</f>
        <v>0</v>
      </c>
      <c r="G37" s="59">
        <f>IF(Data[Bookie]="","",SUMIF(BetTable[B3],(VLOOKUP(ROW()-3,BookieName[],2,FALSE)),BetTable[S3])*-1)</f>
        <v>0</v>
      </c>
      <c r="H37" s="59">
        <f>IF(Data[Bookie]="","",SUMIF(BetTable[Bookie],(VLOOKUP(ROW()-3,BookieName[],2,FALSE)),BetTable[WBA1]))</f>
        <v>0</v>
      </c>
      <c r="I37" s="59">
        <f>IF(Data[Bookie]="","",SUMIF(BetTable[B2],(VLOOKUP(ROW()-3,BookieName[],2,FALSE)),BetTable[WBA2]))</f>
        <v>0</v>
      </c>
      <c r="J37" s="59">
        <f>IF(Data[Bookie]="","",SUMIF(BetTable[B3],(VLOOKUP(ROW()-3,BookieName[],2,FALSE)),BetTable[WBA3]))</f>
        <v>0</v>
      </c>
      <c r="K37" s="60">
        <f>IF(Data[Bookie]="","",SUMIF(LayTable[BackBook],(VLOOKUP(ROW()-3,BookieName[],2,FALSE)),LayTable[BackStake])*-1)</f>
        <v>0</v>
      </c>
      <c r="L37" s="60">
        <f>IF(Data[Bookie]="","",SUMIF(LayTable[LayBook],(VLOOKUP(ROW()-3,BookieName[],2,FALSE)),LayTable[LayLiability])*-1)</f>
        <v>0</v>
      </c>
      <c r="M37" s="60">
        <f>IF(Data[Bookie]="","",SUMIF(LayTable[BackBook],(VLOOKUP(ROW()-3,BookieName[],2,FALSE)),LayTable[WBABack]))</f>
        <v>0</v>
      </c>
      <c r="N37" s="60">
        <f>IF(Data[Bookie]="","",SUMIF(LayTable[LayBook],(VLOOKUP(ROW()-3,BookieName[],2,FALSE)),LayTable[WBALay]))</f>
        <v>0</v>
      </c>
      <c r="O37" s="60">
        <f>IF(Data[Bookie]="","",SUMIF(DWbonus[Bookie],(VLOOKUP(ROW()-3,BookieName[],2,FALSE)),DWbonus[Amount]))</f>
        <v>0</v>
      </c>
      <c r="P37" s="63">
        <f>IF(Data[Bookie]="","",SUM(Data[[#This Row],[Pending 1]:[PendingL2]]))</f>
        <v>0</v>
      </c>
      <c r="Q37" s="63">
        <f>IF(Data[Bookie]="","",SUMIFS(BetTable[Stake],BetTable[Bookie],(VLOOKUP(ROW()-3,BookieName[],2,FALSE)),BetTable[Result],""))</f>
        <v>0</v>
      </c>
      <c r="R37" s="63">
        <f>IF(Data[Bookie]="","",SUMIFS(BetTable[S2],BetTable[B2],(VLOOKUP(ROW()-3,BookieName[],2,FALSE)),BetTable[Result],""))</f>
        <v>0</v>
      </c>
      <c r="S37" s="63">
        <f>IF(Data[Bookie]="","",SUMIFS(BetTable[S3],BetTable[B3],(VLOOKUP(ROW()-3,BookieName[],2,FALSE)),BetTable[Result],""))</f>
        <v>0</v>
      </c>
      <c r="T37" s="63">
        <f>IF(Data[Bookie]="","",SUMIFS(LayTable[BackStake],LayTable[BackBook],(VLOOKUP(ROW()-3,BookieName[],2,FALSE)),LayTable[AR],""))</f>
        <v>0</v>
      </c>
      <c r="U37" s="63">
        <f>IF(Data[Bookie]="","",SUMIFS(LayTable[LayLiability],LayTable[LayBook],(VLOOKUP(ROW()-3,BookieName[],2,FALSE)),LayTable[AR],""))</f>
        <v>0</v>
      </c>
    </row>
    <row r="38" spans="1:21" x14ac:dyDescent="0.25">
      <c r="A38" s="59">
        <f t="shared" si="1"/>
        <v>35</v>
      </c>
      <c r="B38" s="60" t="str">
        <f>IFERROR(VLOOKUP(ROW()-3,BookieName[],2,FALSE),"")</f>
        <v>Centrebet</v>
      </c>
      <c r="C38" s="61">
        <f>IF(Data[Bookie]="","",SUM(Data[[#This Row],[D/W]:[Bonus and Adjustments]],))</f>
        <v>0</v>
      </c>
      <c r="D38" s="61">
        <f>IF(Data[Bookie]="","",SUMIF(DWbooks[Bookie],(VLOOKUP(ROW()-3,BookieName[],2,FALSE)),DWbooks[Amount]))</f>
        <v>0</v>
      </c>
      <c r="E38" s="59">
        <f>IF(Data[Bookie]="","",SUMIF(BetTable[Bookie],(VLOOKUP(ROW()-3,BookieName[],2,FALSE)),BetTable[Stake])*-1)</f>
        <v>0</v>
      </c>
      <c r="F38" s="59">
        <f>IF(Data[Bookie]="","",SUMIF(BetTable[B2],(VLOOKUP(ROW()-3,BookieName[],2,FALSE)),BetTable[S2])*-1)</f>
        <v>0</v>
      </c>
      <c r="G38" s="59">
        <f>IF(Data[Bookie]="","",SUMIF(BetTable[B3],(VLOOKUP(ROW()-3,BookieName[],2,FALSE)),BetTable[S3])*-1)</f>
        <v>0</v>
      </c>
      <c r="H38" s="59">
        <f>IF(Data[Bookie]="","",SUMIF(BetTable[Bookie],(VLOOKUP(ROW()-3,BookieName[],2,FALSE)),BetTable[WBA1]))</f>
        <v>0</v>
      </c>
      <c r="I38" s="59">
        <f>IF(Data[Bookie]="","",SUMIF(BetTable[B2],(VLOOKUP(ROW()-3,BookieName[],2,FALSE)),BetTable[WBA2]))</f>
        <v>0</v>
      </c>
      <c r="J38" s="59">
        <f>IF(Data[Bookie]="","",SUMIF(BetTable[B3],(VLOOKUP(ROW()-3,BookieName[],2,FALSE)),BetTable[WBA3]))</f>
        <v>0</v>
      </c>
      <c r="K38" s="60">
        <f>IF(Data[Bookie]="","",SUMIF(LayTable[BackBook],(VLOOKUP(ROW()-3,BookieName[],2,FALSE)),LayTable[BackStake])*-1)</f>
        <v>0</v>
      </c>
      <c r="L38" s="60">
        <f>IF(Data[Bookie]="","",SUMIF(LayTable[LayBook],(VLOOKUP(ROW()-3,BookieName[],2,FALSE)),LayTable[LayLiability])*-1)</f>
        <v>0</v>
      </c>
      <c r="M38" s="60">
        <f>IF(Data[Bookie]="","",SUMIF(LayTable[BackBook],(VLOOKUP(ROW()-3,BookieName[],2,FALSE)),LayTable[WBABack]))</f>
        <v>0</v>
      </c>
      <c r="N38" s="60">
        <f>IF(Data[Bookie]="","",SUMIF(LayTable[LayBook],(VLOOKUP(ROW()-3,BookieName[],2,FALSE)),LayTable[WBALay]))</f>
        <v>0</v>
      </c>
      <c r="O38" s="60">
        <f>IF(Data[Bookie]="","",SUMIF(DWbonus[Bookie],(VLOOKUP(ROW()-3,BookieName[],2,FALSE)),DWbonus[Amount]))</f>
        <v>0</v>
      </c>
      <c r="P38" s="63">
        <f>IF(Data[Bookie]="","",SUM(Data[[#This Row],[Pending 1]:[PendingL2]]))</f>
        <v>0</v>
      </c>
      <c r="Q38" s="63">
        <f>IF(Data[Bookie]="","",SUMIFS(BetTable[Stake],BetTable[Bookie],(VLOOKUP(ROW()-3,BookieName[],2,FALSE)),BetTable[Result],""))</f>
        <v>0</v>
      </c>
      <c r="R38" s="63">
        <f>IF(Data[Bookie]="","",SUMIFS(BetTable[S2],BetTable[B2],(VLOOKUP(ROW()-3,BookieName[],2,FALSE)),BetTable[Result],""))</f>
        <v>0</v>
      </c>
      <c r="S38" s="63">
        <f>IF(Data[Bookie]="","",SUMIFS(BetTable[S3],BetTable[B3],(VLOOKUP(ROW()-3,BookieName[],2,FALSE)),BetTable[Result],""))</f>
        <v>0</v>
      </c>
      <c r="T38" s="63">
        <f>IF(Data[Bookie]="","",SUMIFS(LayTable[BackStake],LayTable[BackBook],(VLOOKUP(ROW()-3,BookieName[],2,FALSE)),LayTable[AR],""))</f>
        <v>0</v>
      </c>
      <c r="U38" s="63">
        <f>IF(Data[Bookie]="","",SUMIFS(LayTable[LayLiability],LayTable[LayBook],(VLOOKUP(ROW()-3,BookieName[],2,FALSE)),LayTable[AR],""))</f>
        <v>0</v>
      </c>
    </row>
    <row r="39" spans="1:21" x14ac:dyDescent="0.25">
      <c r="A39" s="59">
        <f t="shared" si="1"/>
        <v>36</v>
      </c>
      <c r="B39" s="60" t="str">
        <f>IFERROR(VLOOKUP(ROW()-3,BookieName[],2,FALSE),"")</f>
        <v>Comeon</v>
      </c>
      <c r="C39" s="61">
        <f>IF(Data[Bookie]="","",SUM(Data[[#This Row],[D/W]:[Bonus and Adjustments]],))</f>
        <v>0</v>
      </c>
      <c r="D39" s="61">
        <f>IF(Data[Bookie]="","",SUMIF(DWbooks[Bookie],(VLOOKUP(ROW()-3,BookieName[],2,FALSE)),DWbooks[Amount]))</f>
        <v>0</v>
      </c>
      <c r="E39" s="59">
        <f>IF(Data[Bookie]="","",SUMIF(BetTable[Bookie],(VLOOKUP(ROW()-3,BookieName[],2,FALSE)),BetTable[Stake])*-1)</f>
        <v>0</v>
      </c>
      <c r="F39" s="59">
        <f>IF(Data[Bookie]="","",SUMIF(BetTable[B2],(VLOOKUP(ROW()-3,BookieName[],2,FALSE)),BetTable[S2])*-1)</f>
        <v>0</v>
      </c>
      <c r="G39" s="59">
        <f>IF(Data[Bookie]="","",SUMIF(BetTable[B3],(VLOOKUP(ROW()-3,BookieName[],2,FALSE)),BetTable[S3])*-1)</f>
        <v>0</v>
      </c>
      <c r="H39" s="59">
        <f>IF(Data[Bookie]="","",SUMIF(BetTable[Bookie],(VLOOKUP(ROW()-3,BookieName[],2,FALSE)),BetTable[WBA1]))</f>
        <v>0</v>
      </c>
      <c r="I39" s="59">
        <f>IF(Data[Bookie]="","",SUMIF(BetTable[B2],(VLOOKUP(ROW()-3,BookieName[],2,FALSE)),BetTable[WBA2]))</f>
        <v>0</v>
      </c>
      <c r="J39" s="59">
        <f>IF(Data[Bookie]="","",SUMIF(BetTable[B3],(VLOOKUP(ROW()-3,BookieName[],2,FALSE)),BetTable[WBA3]))</f>
        <v>0</v>
      </c>
      <c r="K39" s="60">
        <f>IF(Data[Bookie]="","",SUMIF(LayTable[BackBook],(VLOOKUP(ROW()-3,BookieName[],2,FALSE)),LayTable[BackStake])*-1)</f>
        <v>0</v>
      </c>
      <c r="L39" s="60">
        <f>IF(Data[Bookie]="","",SUMIF(LayTable[LayBook],(VLOOKUP(ROW()-3,BookieName[],2,FALSE)),LayTable[LayLiability])*-1)</f>
        <v>0</v>
      </c>
      <c r="M39" s="60">
        <f>IF(Data[Bookie]="","",SUMIF(LayTable[BackBook],(VLOOKUP(ROW()-3,BookieName[],2,FALSE)),LayTable[WBABack]))</f>
        <v>0</v>
      </c>
      <c r="N39" s="60">
        <f>IF(Data[Bookie]="","",SUMIF(LayTable[LayBook],(VLOOKUP(ROW()-3,BookieName[],2,FALSE)),LayTable[WBALay]))</f>
        <v>0</v>
      </c>
      <c r="O39" s="60">
        <f>IF(Data[Bookie]="","",SUMIF(DWbonus[Bookie],(VLOOKUP(ROW()-3,BookieName[],2,FALSE)),DWbonus[Amount]))</f>
        <v>0</v>
      </c>
      <c r="P39" s="63">
        <f>IF(Data[Bookie]="","",SUM(Data[[#This Row],[Pending 1]:[PendingL2]]))</f>
        <v>0</v>
      </c>
      <c r="Q39" s="63">
        <f>IF(Data[Bookie]="","",SUMIFS(BetTable[Stake],BetTable[Bookie],(VLOOKUP(ROW()-3,BookieName[],2,FALSE)),BetTable[Result],""))</f>
        <v>0</v>
      </c>
      <c r="R39" s="63">
        <f>IF(Data[Bookie]="","",SUMIFS(BetTable[S2],BetTable[B2],(VLOOKUP(ROW()-3,BookieName[],2,FALSE)),BetTable[Result],""))</f>
        <v>0</v>
      </c>
      <c r="S39" s="63">
        <f>IF(Data[Bookie]="","",SUMIFS(BetTable[S3],BetTable[B3],(VLOOKUP(ROW()-3,BookieName[],2,FALSE)),BetTable[Result],""))</f>
        <v>0</v>
      </c>
      <c r="T39" s="63">
        <f>IF(Data[Bookie]="","",SUMIFS(LayTable[BackStake],LayTable[BackBook],(VLOOKUP(ROW()-3,BookieName[],2,FALSE)),LayTable[AR],""))</f>
        <v>0</v>
      </c>
      <c r="U39" s="63">
        <f>IF(Data[Bookie]="","",SUMIFS(LayTable[LayLiability],LayTable[LayBook],(VLOOKUP(ROW()-3,BookieName[],2,FALSE)),LayTable[AR],""))</f>
        <v>0</v>
      </c>
    </row>
    <row r="40" spans="1:21" x14ac:dyDescent="0.25">
      <c r="A40" s="59">
        <f t="shared" si="1"/>
        <v>37</v>
      </c>
      <c r="B40" s="60" t="str">
        <f>IFERROR(VLOOKUP(ROW()-3,BookieName[],2,FALSE),"")</f>
        <v>Coral</v>
      </c>
      <c r="C40" s="61">
        <f>IF(Data[Bookie]="","",SUM(Data[[#This Row],[D/W]:[Bonus and Adjustments]],))</f>
        <v>0</v>
      </c>
      <c r="D40" s="61">
        <f>IF(Data[Bookie]="","",SUMIF(DWbooks[Bookie],(VLOOKUP(ROW()-3,BookieName[],2,FALSE)),DWbooks[Amount]))</f>
        <v>0</v>
      </c>
      <c r="E40" s="59">
        <f>IF(Data[Bookie]="","",SUMIF(BetTable[Bookie],(VLOOKUP(ROW()-3,BookieName[],2,FALSE)),BetTable[Stake])*-1)</f>
        <v>0</v>
      </c>
      <c r="F40" s="59">
        <f>IF(Data[Bookie]="","",SUMIF(BetTable[B2],(VLOOKUP(ROW()-3,BookieName[],2,FALSE)),BetTable[S2])*-1)</f>
        <v>0</v>
      </c>
      <c r="G40" s="59">
        <f>IF(Data[Bookie]="","",SUMIF(BetTable[B3],(VLOOKUP(ROW()-3,BookieName[],2,FALSE)),BetTable[S3])*-1)</f>
        <v>0</v>
      </c>
      <c r="H40" s="59">
        <f>IF(Data[Bookie]="","",SUMIF(BetTable[Bookie],(VLOOKUP(ROW()-3,BookieName[],2,FALSE)),BetTable[WBA1]))</f>
        <v>0</v>
      </c>
      <c r="I40" s="59">
        <f>IF(Data[Bookie]="","",SUMIF(BetTable[B2],(VLOOKUP(ROW()-3,BookieName[],2,FALSE)),BetTable[WBA2]))</f>
        <v>0</v>
      </c>
      <c r="J40" s="59">
        <f>IF(Data[Bookie]="","",SUMIF(BetTable[B3],(VLOOKUP(ROW()-3,BookieName[],2,FALSE)),BetTable[WBA3]))</f>
        <v>0</v>
      </c>
      <c r="K40" s="60">
        <f>IF(Data[Bookie]="","",SUMIF(LayTable[BackBook],(VLOOKUP(ROW()-3,BookieName[],2,FALSE)),LayTable[BackStake])*-1)</f>
        <v>0</v>
      </c>
      <c r="L40" s="60">
        <f>IF(Data[Bookie]="","",SUMIF(LayTable[LayBook],(VLOOKUP(ROW()-3,BookieName[],2,FALSE)),LayTable[LayLiability])*-1)</f>
        <v>0</v>
      </c>
      <c r="M40" s="60">
        <f>IF(Data[Bookie]="","",SUMIF(LayTable[BackBook],(VLOOKUP(ROW()-3,BookieName[],2,FALSE)),LayTable[WBABack]))</f>
        <v>0</v>
      </c>
      <c r="N40" s="60">
        <f>IF(Data[Bookie]="","",SUMIF(LayTable[LayBook],(VLOOKUP(ROW()-3,BookieName[],2,FALSE)),LayTable[WBALay]))</f>
        <v>0</v>
      </c>
      <c r="O40" s="60">
        <f>IF(Data[Bookie]="","",SUMIF(DWbonus[Bookie],(VLOOKUP(ROW()-3,BookieName[],2,FALSE)),DWbonus[Amount]))</f>
        <v>0</v>
      </c>
      <c r="P40" s="63">
        <f>IF(Data[Bookie]="","",SUM(Data[[#This Row],[Pending 1]:[PendingL2]]))</f>
        <v>0</v>
      </c>
      <c r="Q40" s="63">
        <f>IF(Data[Bookie]="","",SUMIFS(BetTable[Stake],BetTable[Bookie],(VLOOKUP(ROW()-3,BookieName[],2,FALSE)),BetTable[Result],""))</f>
        <v>0</v>
      </c>
      <c r="R40" s="63">
        <f>IF(Data[Bookie]="","",SUMIFS(BetTable[S2],BetTable[B2],(VLOOKUP(ROW()-3,BookieName[],2,FALSE)),BetTable[Result],""))</f>
        <v>0</v>
      </c>
      <c r="S40" s="63">
        <f>IF(Data[Bookie]="","",SUMIFS(BetTable[S3],BetTable[B3],(VLOOKUP(ROW()-3,BookieName[],2,FALSE)),BetTable[Result],""))</f>
        <v>0</v>
      </c>
      <c r="T40" s="63">
        <f>IF(Data[Bookie]="","",SUMIFS(LayTable[BackStake],LayTable[BackBook],(VLOOKUP(ROW()-3,BookieName[],2,FALSE)),LayTable[AR],""))</f>
        <v>0</v>
      </c>
      <c r="U40" s="63">
        <f>IF(Data[Bookie]="","",SUMIFS(LayTable[LayLiability],LayTable[LayBook],(VLOOKUP(ROW()-3,BookieName[],2,FALSE)),LayTable[AR],""))</f>
        <v>0</v>
      </c>
    </row>
    <row r="41" spans="1:21" x14ac:dyDescent="0.25">
      <c r="A41" s="59">
        <f t="shared" si="1"/>
        <v>38</v>
      </c>
      <c r="B41" s="60" t="str">
        <f>IFERROR(VLOOKUP(ROW()-3,BookieName[],2,FALSE),"")</f>
        <v>Dafabet</v>
      </c>
      <c r="C41" s="61">
        <f>IF(Data[Bookie]="","",SUM(Data[[#This Row],[D/W]:[Bonus and Adjustments]],))</f>
        <v>238.54200000000037</v>
      </c>
      <c r="D41" s="61">
        <f>IF(Data[Bookie]="","",SUMIF(DWbooks[Bookie],(VLOOKUP(ROW()-3,BookieName[],2,FALSE)),DWbooks[Amount]))</f>
        <v>0</v>
      </c>
      <c r="E41" s="59">
        <f>IF(Data[Bookie]="","",SUMIF(BetTable[Bookie],(VLOOKUP(ROW()-3,BookieName[],2,FALSE)),BetTable[Stake])*-1)</f>
        <v>-3501</v>
      </c>
      <c r="F41" s="59">
        <f>IF(Data[Bookie]="","",SUMIF(BetTable[B2],(VLOOKUP(ROW()-3,BookieName[],2,FALSE)),BetTable[S2])*-1)</f>
        <v>0</v>
      </c>
      <c r="G41" s="59">
        <f>IF(Data[Bookie]="","",SUMIF(BetTable[B3],(VLOOKUP(ROW()-3,BookieName[],2,FALSE)),BetTable[S3])*-1)</f>
        <v>0</v>
      </c>
      <c r="H41" s="59">
        <f>IF(Data[Bookie]="","",SUMIF(BetTable[Bookie],(VLOOKUP(ROW()-3,BookieName[],2,FALSE)),BetTable[WBA1]))</f>
        <v>3739.5420000000004</v>
      </c>
      <c r="I41" s="59">
        <f>IF(Data[Bookie]="","",SUMIF(BetTable[B2],(VLOOKUP(ROW()-3,BookieName[],2,FALSE)),BetTable[WBA2]))</f>
        <v>0</v>
      </c>
      <c r="J41" s="59">
        <f>IF(Data[Bookie]="","",SUMIF(BetTable[B3],(VLOOKUP(ROW()-3,BookieName[],2,FALSE)),BetTable[WBA3]))</f>
        <v>0</v>
      </c>
      <c r="K41" s="60">
        <f>IF(Data[Bookie]="","",SUMIF(LayTable[BackBook],(VLOOKUP(ROW()-3,BookieName[],2,FALSE)),LayTable[BackStake])*-1)</f>
        <v>0</v>
      </c>
      <c r="L41" s="60">
        <f>IF(Data[Bookie]="","",SUMIF(LayTable[LayBook],(VLOOKUP(ROW()-3,BookieName[],2,FALSE)),LayTable[LayLiability])*-1)</f>
        <v>0</v>
      </c>
      <c r="M41" s="60">
        <f>IF(Data[Bookie]="","",SUMIF(LayTable[BackBook],(VLOOKUP(ROW()-3,BookieName[],2,FALSE)),LayTable[WBABack]))</f>
        <v>0</v>
      </c>
      <c r="N41" s="60">
        <f>IF(Data[Bookie]="","",SUMIF(LayTable[LayBook],(VLOOKUP(ROW()-3,BookieName[],2,FALSE)),LayTable[WBALay]))</f>
        <v>0</v>
      </c>
      <c r="O41" s="60">
        <f>IF(Data[Bookie]="","",SUMIF(DWbonus[Bookie],(VLOOKUP(ROW()-3,BookieName[],2,FALSE)),DWbonus[Amount]))</f>
        <v>0</v>
      </c>
      <c r="P41" s="63">
        <f>IF(Data[Bookie]="","",SUM(Data[[#This Row],[Pending 1]:[PendingL2]]))</f>
        <v>0</v>
      </c>
      <c r="Q41" s="63">
        <f>IF(Data[Bookie]="","",SUMIFS(BetTable[Stake],BetTable[Bookie],(VLOOKUP(ROW()-3,BookieName[],2,FALSE)),BetTable[Result],""))</f>
        <v>0</v>
      </c>
      <c r="R41" s="63">
        <f>IF(Data[Bookie]="","",SUMIFS(BetTable[S2],BetTable[B2],(VLOOKUP(ROW()-3,BookieName[],2,FALSE)),BetTable[Result],""))</f>
        <v>0</v>
      </c>
      <c r="S41" s="63">
        <f>IF(Data[Bookie]="","",SUMIFS(BetTable[S3],BetTable[B3],(VLOOKUP(ROW()-3,BookieName[],2,FALSE)),BetTable[Result],""))</f>
        <v>0</v>
      </c>
      <c r="T41" s="63">
        <f>IF(Data[Bookie]="","",SUMIFS(LayTable[BackStake],LayTable[BackBook],(VLOOKUP(ROW()-3,BookieName[],2,FALSE)),LayTable[AR],""))</f>
        <v>0</v>
      </c>
      <c r="U41" s="63">
        <f>IF(Data[Bookie]="","",SUMIFS(LayTable[LayLiability],LayTable[LayBook],(VLOOKUP(ROW()-3,BookieName[],2,FALSE)),LayTable[AR],""))</f>
        <v>0</v>
      </c>
    </row>
    <row r="42" spans="1:21" x14ac:dyDescent="0.25">
      <c r="A42" s="59">
        <f t="shared" si="1"/>
        <v>39</v>
      </c>
      <c r="B42" s="60" t="str">
        <f>IFERROR(VLOOKUP(ROW()-3,BookieName[],2,FALSE),"")</f>
        <v>DanskeSpil</v>
      </c>
      <c r="C42" s="61">
        <f>IF(Data[Bookie]="","",SUM(Data[[#This Row],[D/W]:[Bonus and Adjustments]],))</f>
        <v>0</v>
      </c>
      <c r="D42" s="61">
        <f>IF(Data[Bookie]="","",SUMIF(DWbooks[Bookie],(VLOOKUP(ROW()-3,BookieName[],2,FALSE)),DWbooks[Amount]))</f>
        <v>0</v>
      </c>
      <c r="E42" s="59">
        <f>IF(Data[Bookie]="","",SUMIF(BetTable[Bookie],(VLOOKUP(ROW()-3,BookieName[],2,FALSE)),BetTable[Stake])*-1)</f>
        <v>0</v>
      </c>
      <c r="F42" s="59">
        <f>IF(Data[Bookie]="","",SUMIF(BetTable[B2],(VLOOKUP(ROW()-3,BookieName[],2,FALSE)),BetTable[S2])*-1)</f>
        <v>0</v>
      </c>
      <c r="G42" s="59">
        <f>IF(Data[Bookie]="","",SUMIF(BetTable[B3],(VLOOKUP(ROW()-3,BookieName[],2,FALSE)),BetTable[S3])*-1)</f>
        <v>0</v>
      </c>
      <c r="H42" s="59">
        <f>IF(Data[Bookie]="","",SUMIF(BetTable[Bookie],(VLOOKUP(ROW()-3,BookieName[],2,FALSE)),BetTable[WBA1]))</f>
        <v>0</v>
      </c>
      <c r="I42" s="59">
        <f>IF(Data[Bookie]="","",SUMIF(BetTable[B2],(VLOOKUP(ROW()-3,BookieName[],2,FALSE)),BetTable[WBA2]))</f>
        <v>0</v>
      </c>
      <c r="J42" s="59">
        <f>IF(Data[Bookie]="","",SUMIF(BetTable[B3],(VLOOKUP(ROW()-3,BookieName[],2,FALSE)),BetTable[WBA3]))</f>
        <v>0</v>
      </c>
      <c r="K42" s="60">
        <f>IF(Data[Bookie]="","",SUMIF(LayTable[BackBook],(VLOOKUP(ROW()-3,BookieName[],2,FALSE)),LayTable[BackStake])*-1)</f>
        <v>0</v>
      </c>
      <c r="L42" s="60">
        <f>IF(Data[Bookie]="","",SUMIF(LayTable[LayBook],(VLOOKUP(ROW()-3,BookieName[],2,FALSE)),LayTable[LayLiability])*-1)</f>
        <v>0</v>
      </c>
      <c r="M42" s="60">
        <f>IF(Data[Bookie]="","",SUMIF(LayTable[BackBook],(VLOOKUP(ROW()-3,BookieName[],2,FALSE)),LayTable[WBABack]))</f>
        <v>0</v>
      </c>
      <c r="N42" s="60">
        <f>IF(Data[Bookie]="","",SUMIF(LayTable[LayBook],(VLOOKUP(ROW()-3,BookieName[],2,FALSE)),LayTable[WBALay]))</f>
        <v>0</v>
      </c>
      <c r="O42" s="60">
        <f>IF(Data[Bookie]="","",SUMIF(DWbonus[Bookie],(VLOOKUP(ROW()-3,BookieName[],2,FALSE)),DWbonus[Amount]))</f>
        <v>0</v>
      </c>
      <c r="P42" s="63">
        <f>IF(Data[Bookie]="","",SUM(Data[[#This Row],[Pending 1]:[PendingL2]]))</f>
        <v>0</v>
      </c>
      <c r="Q42" s="63">
        <f>IF(Data[Bookie]="","",SUMIFS(BetTable[Stake],BetTable[Bookie],(VLOOKUP(ROW()-3,BookieName[],2,FALSE)),BetTable[Result],""))</f>
        <v>0</v>
      </c>
      <c r="R42" s="63">
        <f>IF(Data[Bookie]="","",SUMIFS(BetTable[S2],BetTable[B2],(VLOOKUP(ROW()-3,BookieName[],2,FALSE)),BetTable[Result],""))</f>
        <v>0</v>
      </c>
      <c r="S42" s="63">
        <f>IF(Data[Bookie]="","",SUMIFS(BetTable[S3],BetTable[B3],(VLOOKUP(ROW()-3,BookieName[],2,FALSE)),BetTable[Result],""))</f>
        <v>0</v>
      </c>
      <c r="T42" s="63">
        <f>IF(Data[Bookie]="","",SUMIFS(LayTable[BackStake],LayTable[BackBook],(VLOOKUP(ROW()-3,BookieName[],2,FALSE)),LayTable[AR],""))</f>
        <v>0</v>
      </c>
      <c r="U42" s="63">
        <f>IF(Data[Bookie]="","",SUMIFS(LayTable[LayLiability],LayTable[LayBook],(VLOOKUP(ROW()-3,BookieName[],2,FALSE)),LayTable[AR],""))</f>
        <v>0</v>
      </c>
    </row>
    <row r="43" spans="1:21" x14ac:dyDescent="0.25">
      <c r="A43" s="59">
        <f t="shared" si="1"/>
        <v>40</v>
      </c>
      <c r="B43" s="60" t="str">
        <f>IFERROR(VLOOKUP(ROW()-3,BookieName[],2,FALSE),"")</f>
        <v>DiamondSB</v>
      </c>
      <c r="C43" s="61">
        <f>IF(Data[Bookie]="","",SUM(Data[[#This Row],[D/W]:[Bonus and Adjustments]],))</f>
        <v>0</v>
      </c>
      <c r="D43" s="61">
        <f>IF(Data[Bookie]="","",SUMIF(DWbooks[Bookie],(VLOOKUP(ROW()-3,BookieName[],2,FALSE)),DWbooks[Amount]))</f>
        <v>0</v>
      </c>
      <c r="E43" s="59">
        <f>IF(Data[Bookie]="","",SUMIF(BetTable[Bookie],(VLOOKUP(ROW()-3,BookieName[],2,FALSE)),BetTable[Stake])*-1)</f>
        <v>0</v>
      </c>
      <c r="F43" s="59">
        <f>IF(Data[Bookie]="","",SUMIF(BetTable[B2],(VLOOKUP(ROW()-3,BookieName[],2,FALSE)),BetTable[S2])*-1)</f>
        <v>0</v>
      </c>
      <c r="G43" s="59">
        <f>IF(Data[Bookie]="","",SUMIF(BetTable[B3],(VLOOKUP(ROW()-3,BookieName[],2,FALSE)),BetTable[S3])*-1)</f>
        <v>0</v>
      </c>
      <c r="H43" s="59">
        <f>IF(Data[Bookie]="","",SUMIF(BetTable[Bookie],(VLOOKUP(ROW()-3,BookieName[],2,FALSE)),BetTable[WBA1]))</f>
        <v>0</v>
      </c>
      <c r="I43" s="59">
        <f>IF(Data[Bookie]="","",SUMIF(BetTable[B2],(VLOOKUP(ROW()-3,BookieName[],2,FALSE)),BetTable[WBA2]))</f>
        <v>0</v>
      </c>
      <c r="J43" s="59">
        <f>IF(Data[Bookie]="","",SUMIF(BetTable[B3],(VLOOKUP(ROW()-3,BookieName[],2,FALSE)),BetTable[WBA3]))</f>
        <v>0</v>
      </c>
      <c r="K43" s="60">
        <f>IF(Data[Bookie]="","",SUMIF(LayTable[BackBook],(VLOOKUP(ROW()-3,BookieName[],2,FALSE)),LayTable[BackStake])*-1)</f>
        <v>0</v>
      </c>
      <c r="L43" s="60">
        <f>IF(Data[Bookie]="","",SUMIF(LayTable[LayBook],(VLOOKUP(ROW()-3,BookieName[],2,FALSE)),LayTable[LayLiability])*-1)</f>
        <v>0</v>
      </c>
      <c r="M43" s="60">
        <f>IF(Data[Bookie]="","",SUMIF(LayTable[BackBook],(VLOOKUP(ROW()-3,BookieName[],2,FALSE)),LayTable[WBABack]))</f>
        <v>0</v>
      </c>
      <c r="N43" s="60">
        <f>IF(Data[Bookie]="","",SUMIF(LayTable[LayBook],(VLOOKUP(ROW()-3,BookieName[],2,FALSE)),LayTable[WBALay]))</f>
        <v>0</v>
      </c>
      <c r="O43" s="60">
        <f>IF(Data[Bookie]="","",SUMIF(DWbonus[Bookie],(VLOOKUP(ROW()-3,BookieName[],2,FALSE)),DWbonus[Amount]))</f>
        <v>0</v>
      </c>
      <c r="P43" s="63">
        <f>IF(Data[Bookie]="","",SUM(Data[[#This Row],[Pending 1]:[PendingL2]]))</f>
        <v>0</v>
      </c>
      <c r="Q43" s="63">
        <f>IF(Data[Bookie]="","",SUMIFS(BetTable[Stake],BetTable[Bookie],(VLOOKUP(ROW()-3,BookieName[],2,FALSE)),BetTable[Result],""))</f>
        <v>0</v>
      </c>
      <c r="R43" s="63">
        <f>IF(Data[Bookie]="","",SUMIFS(BetTable[S2],BetTable[B2],(VLOOKUP(ROW()-3,BookieName[],2,FALSE)),BetTable[Result],""))</f>
        <v>0</v>
      </c>
      <c r="S43" s="63">
        <f>IF(Data[Bookie]="","",SUMIFS(BetTable[S3],BetTable[B3],(VLOOKUP(ROW()-3,BookieName[],2,FALSE)),BetTable[Result],""))</f>
        <v>0</v>
      </c>
      <c r="T43" s="63">
        <f>IF(Data[Bookie]="","",SUMIFS(LayTable[BackStake],LayTable[BackBook],(VLOOKUP(ROW()-3,BookieName[],2,FALSE)),LayTable[AR],""))</f>
        <v>0</v>
      </c>
      <c r="U43" s="63">
        <f>IF(Data[Bookie]="","",SUMIFS(LayTable[LayLiability],LayTable[LayBook],(VLOOKUP(ROW()-3,BookieName[],2,FALSE)),LayTable[AR],""))</f>
        <v>0</v>
      </c>
    </row>
    <row r="44" spans="1:21" x14ac:dyDescent="0.25">
      <c r="A44" s="59">
        <f t="shared" si="1"/>
        <v>41</v>
      </c>
      <c r="B44" s="60" t="str">
        <f>IFERROR(VLOOKUP(ROW()-3,BookieName[],2,FALSE),"")</f>
        <v>Etoto</v>
      </c>
      <c r="C44" s="61">
        <f>IF(Data[Bookie]="","",SUM(Data[[#This Row],[D/W]:[Bonus and Adjustments]],))</f>
        <v>0</v>
      </c>
      <c r="D44" s="61">
        <f>IF(Data[Bookie]="","",SUMIF(DWbooks[Bookie],(VLOOKUP(ROW()-3,BookieName[],2,FALSE)),DWbooks[Amount]))</f>
        <v>0</v>
      </c>
      <c r="E44" s="59">
        <f>IF(Data[Bookie]="","",SUMIF(BetTable[Bookie],(VLOOKUP(ROW()-3,BookieName[],2,FALSE)),BetTable[Stake])*-1)</f>
        <v>0</v>
      </c>
      <c r="F44" s="59">
        <f>IF(Data[Bookie]="","",SUMIF(BetTable[B2],(VLOOKUP(ROW()-3,BookieName[],2,FALSE)),BetTable[S2])*-1)</f>
        <v>0</v>
      </c>
      <c r="G44" s="59">
        <f>IF(Data[Bookie]="","",SUMIF(BetTable[B3],(VLOOKUP(ROW()-3,BookieName[],2,FALSE)),BetTable[S3])*-1)</f>
        <v>0</v>
      </c>
      <c r="H44" s="59">
        <f>IF(Data[Bookie]="","",SUMIF(BetTable[Bookie],(VLOOKUP(ROW()-3,BookieName[],2,FALSE)),BetTable[WBA1]))</f>
        <v>0</v>
      </c>
      <c r="I44" s="59">
        <f>IF(Data[Bookie]="","",SUMIF(BetTable[B2],(VLOOKUP(ROW()-3,BookieName[],2,FALSE)),BetTable[WBA2]))</f>
        <v>0</v>
      </c>
      <c r="J44" s="59">
        <f>IF(Data[Bookie]="","",SUMIF(BetTable[B3],(VLOOKUP(ROW()-3,BookieName[],2,FALSE)),BetTable[WBA3]))</f>
        <v>0</v>
      </c>
      <c r="K44" s="60">
        <f>IF(Data[Bookie]="","",SUMIF(LayTable[BackBook],(VLOOKUP(ROW()-3,BookieName[],2,FALSE)),LayTable[BackStake])*-1)</f>
        <v>0</v>
      </c>
      <c r="L44" s="60">
        <f>IF(Data[Bookie]="","",SUMIF(LayTable[LayBook],(VLOOKUP(ROW()-3,BookieName[],2,FALSE)),LayTable[LayLiability])*-1)</f>
        <v>0</v>
      </c>
      <c r="M44" s="60">
        <f>IF(Data[Bookie]="","",SUMIF(LayTable[BackBook],(VLOOKUP(ROW()-3,BookieName[],2,FALSE)),LayTable[WBABack]))</f>
        <v>0</v>
      </c>
      <c r="N44" s="60">
        <f>IF(Data[Bookie]="","",SUMIF(LayTable[LayBook],(VLOOKUP(ROW()-3,BookieName[],2,FALSE)),LayTable[WBALay]))</f>
        <v>0</v>
      </c>
      <c r="O44" s="60">
        <f>IF(Data[Bookie]="","",SUMIF(DWbonus[Bookie],(VLOOKUP(ROW()-3,BookieName[],2,FALSE)),DWbonus[Amount]))</f>
        <v>0</v>
      </c>
      <c r="P44" s="63">
        <f>IF(Data[Bookie]="","",SUM(Data[[#This Row],[Pending 1]:[PendingL2]]))</f>
        <v>0</v>
      </c>
      <c r="Q44" s="63">
        <f>IF(Data[Bookie]="","",SUMIFS(BetTable[Stake],BetTable[Bookie],(VLOOKUP(ROW()-3,BookieName[],2,FALSE)),BetTable[Result],""))</f>
        <v>0</v>
      </c>
      <c r="R44" s="63">
        <f>IF(Data[Bookie]="","",SUMIFS(BetTable[S2],BetTable[B2],(VLOOKUP(ROW()-3,BookieName[],2,FALSE)),BetTable[Result],""))</f>
        <v>0</v>
      </c>
      <c r="S44" s="63">
        <f>IF(Data[Bookie]="","",SUMIFS(BetTable[S3],BetTable[B3],(VLOOKUP(ROW()-3,BookieName[],2,FALSE)),BetTable[Result],""))</f>
        <v>0</v>
      </c>
      <c r="T44" s="63">
        <f>IF(Data[Bookie]="","",SUMIFS(LayTable[BackStake],LayTable[BackBook],(VLOOKUP(ROW()-3,BookieName[],2,FALSE)),LayTable[AR],""))</f>
        <v>0</v>
      </c>
      <c r="U44" s="63">
        <f>IF(Data[Bookie]="","",SUMIFS(LayTable[LayLiability],LayTable[LayBook],(VLOOKUP(ROW()-3,BookieName[],2,FALSE)),LayTable[AR],""))</f>
        <v>0</v>
      </c>
    </row>
    <row r="45" spans="1:21" x14ac:dyDescent="0.25">
      <c r="A45" s="59">
        <f t="shared" si="1"/>
        <v>42</v>
      </c>
      <c r="B45" s="60" t="str">
        <f>IFERROR(VLOOKUP(ROW()-3,BookieName[],2,FALSE),"")</f>
        <v>Expekt</v>
      </c>
      <c r="C45" s="61">
        <f>IF(Data[Bookie]="","",SUM(Data[[#This Row],[D/W]:[Bonus and Adjustments]],))</f>
        <v>0</v>
      </c>
      <c r="D45" s="61">
        <f>IF(Data[Bookie]="","",SUMIF(DWbooks[Bookie],(VLOOKUP(ROW()-3,BookieName[],2,FALSE)),DWbooks[Amount]))</f>
        <v>0</v>
      </c>
      <c r="E45" s="59">
        <f>IF(Data[Bookie]="","",SUMIF(BetTable[Bookie],(VLOOKUP(ROW()-3,BookieName[],2,FALSE)),BetTable[Stake])*-1)</f>
        <v>0</v>
      </c>
      <c r="F45" s="59">
        <f>IF(Data[Bookie]="","",SUMIF(BetTable[B2],(VLOOKUP(ROW()-3,BookieName[],2,FALSE)),BetTable[S2])*-1)</f>
        <v>0</v>
      </c>
      <c r="G45" s="59">
        <f>IF(Data[Bookie]="","",SUMIF(BetTable[B3],(VLOOKUP(ROW()-3,BookieName[],2,FALSE)),BetTable[S3])*-1)</f>
        <v>0</v>
      </c>
      <c r="H45" s="59">
        <f>IF(Data[Bookie]="","",SUMIF(BetTable[Bookie],(VLOOKUP(ROW()-3,BookieName[],2,FALSE)),BetTable[WBA1]))</f>
        <v>0</v>
      </c>
      <c r="I45" s="59">
        <f>IF(Data[Bookie]="","",SUMIF(BetTable[B2],(VLOOKUP(ROW()-3,BookieName[],2,FALSE)),BetTable[WBA2]))</f>
        <v>0</v>
      </c>
      <c r="J45" s="59">
        <f>IF(Data[Bookie]="","",SUMIF(BetTable[B3],(VLOOKUP(ROW()-3,BookieName[],2,FALSE)),BetTable[WBA3]))</f>
        <v>0</v>
      </c>
      <c r="K45" s="60">
        <f>IF(Data[Bookie]="","",SUMIF(LayTable[BackBook],(VLOOKUP(ROW()-3,BookieName[],2,FALSE)),LayTable[BackStake])*-1)</f>
        <v>0</v>
      </c>
      <c r="L45" s="60">
        <f>IF(Data[Bookie]="","",SUMIF(LayTable[LayBook],(VLOOKUP(ROW()-3,BookieName[],2,FALSE)),LayTable[LayLiability])*-1)</f>
        <v>0</v>
      </c>
      <c r="M45" s="60">
        <f>IF(Data[Bookie]="","",SUMIF(LayTable[BackBook],(VLOOKUP(ROW()-3,BookieName[],2,FALSE)),LayTable[WBABack]))</f>
        <v>0</v>
      </c>
      <c r="N45" s="60">
        <f>IF(Data[Bookie]="","",SUMIF(LayTable[LayBook],(VLOOKUP(ROW()-3,BookieName[],2,FALSE)),LayTable[WBALay]))</f>
        <v>0</v>
      </c>
      <c r="O45" s="60">
        <f>IF(Data[Bookie]="","",SUMIF(DWbonus[Bookie],(VLOOKUP(ROW()-3,BookieName[],2,FALSE)),DWbonus[Amount]))</f>
        <v>0</v>
      </c>
      <c r="P45" s="63">
        <f>IF(Data[Bookie]="","",SUM(Data[[#This Row],[Pending 1]:[PendingL2]]))</f>
        <v>0</v>
      </c>
      <c r="Q45" s="63">
        <f>IF(Data[Bookie]="","",SUMIFS(BetTable[Stake],BetTable[Bookie],(VLOOKUP(ROW()-3,BookieName[],2,FALSE)),BetTable[Result],""))</f>
        <v>0</v>
      </c>
      <c r="R45" s="63">
        <f>IF(Data[Bookie]="","",SUMIFS(BetTable[S2],BetTable[B2],(VLOOKUP(ROW()-3,BookieName[],2,FALSE)),BetTable[Result],""))</f>
        <v>0</v>
      </c>
      <c r="S45" s="63">
        <f>IF(Data[Bookie]="","",SUMIFS(BetTable[S3],BetTable[B3],(VLOOKUP(ROW()-3,BookieName[],2,FALSE)),BetTable[Result],""))</f>
        <v>0</v>
      </c>
      <c r="T45" s="63">
        <f>IF(Data[Bookie]="","",SUMIFS(LayTable[BackStake],LayTable[BackBook],(VLOOKUP(ROW()-3,BookieName[],2,FALSE)),LayTable[AR],""))</f>
        <v>0</v>
      </c>
      <c r="U45" s="63">
        <f>IF(Data[Bookie]="","",SUMIFS(LayTable[LayLiability],LayTable[LayBook],(VLOOKUP(ROW()-3,BookieName[],2,FALSE)),LayTable[AR],""))</f>
        <v>0</v>
      </c>
    </row>
    <row r="46" spans="1:21" x14ac:dyDescent="0.25">
      <c r="A46" s="59">
        <f t="shared" si="1"/>
        <v>43</v>
      </c>
      <c r="B46" s="60" t="str">
        <f>IFERROR(VLOOKUP(ROW()-3,BookieName[],2,FALSE),"")</f>
        <v>Fun88</v>
      </c>
      <c r="C46" s="61">
        <f>IF(Data[Bookie]="","",SUM(Data[[#This Row],[D/W]:[Bonus and Adjustments]],))</f>
        <v>0</v>
      </c>
      <c r="D46" s="61">
        <f>IF(Data[Bookie]="","",SUMIF(DWbooks[Bookie],(VLOOKUP(ROW()-3,BookieName[],2,FALSE)),DWbooks[Amount]))</f>
        <v>0</v>
      </c>
      <c r="E46" s="59">
        <f>IF(Data[Bookie]="","",SUMIF(BetTable[Bookie],(VLOOKUP(ROW()-3,BookieName[],2,FALSE)),BetTable[Stake])*-1)</f>
        <v>0</v>
      </c>
      <c r="F46" s="59">
        <f>IF(Data[Bookie]="","",SUMIF(BetTable[B2],(VLOOKUP(ROW()-3,BookieName[],2,FALSE)),BetTable[S2])*-1)</f>
        <v>0</v>
      </c>
      <c r="G46" s="59">
        <f>IF(Data[Bookie]="","",SUMIF(BetTable[B3],(VLOOKUP(ROW()-3,BookieName[],2,FALSE)),BetTable[S3])*-1)</f>
        <v>0</v>
      </c>
      <c r="H46" s="59">
        <f>IF(Data[Bookie]="","",SUMIF(BetTable[Bookie],(VLOOKUP(ROW()-3,BookieName[],2,FALSE)),BetTable[WBA1]))</f>
        <v>0</v>
      </c>
      <c r="I46" s="59">
        <f>IF(Data[Bookie]="","",SUMIF(BetTable[B2],(VLOOKUP(ROW()-3,BookieName[],2,FALSE)),BetTable[WBA2]))</f>
        <v>0</v>
      </c>
      <c r="J46" s="59">
        <f>IF(Data[Bookie]="","",SUMIF(BetTable[B3],(VLOOKUP(ROW()-3,BookieName[],2,FALSE)),BetTable[WBA3]))</f>
        <v>0</v>
      </c>
      <c r="K46" s="60">
        <f>IF(Data[Bookie]="","",SUMIF(LayTable[BackBook],(VLOOKUP(ROW()-3,BookieName[],2,FALSE)),LayTable[BackStake])*-1)</f>
        <v>0</v>
      </c>
      <c r="L46" s="60">
        <f>IF(Data[Bookie]="","",SUMIF(LayTable[LayBook],(VLOOKUP(ROW()-3,BookieName[],2,FALSE)),LayTable[LayLiability])*-1)</f>
        <v>0</v>
      </c>
      <c r="M46" s="60">
        <f>IF(Data[Bookie]="","",SUMIF(LayTable[BackBook],(VLOOKUP(ROW()-3,BookieName[],2,FALSE)),LayTable[WBABack]))</f>
        <v>0</v>
      </c>
      <c r="N46" s="60">
        <f>IF(Data[Bookie]="","",SUMIF(LayTable[LayBook],(VLOOKUP(ROW()-3,BookieName[],2,FALSE)),LayTable[WBALay]))</f>
        <v>0</v>
      </c>
      <c r="O46" s="60">
        <f>IF(Data[Bookie]="","",SUMIF(DWbonus[Bookie],(VLOOKUP(ROW()-3,BookieName[],2,FALSE)),DWbonus[Amount]))</f>
        <v>0</v>
      </c>
      <c r="P46" s="63">
        <f>IF(Data[Bookie]="","",SUM(Data[[#This Row],[Pending 1]:[PendingL2]]))</f>
        <v>0</v>
      </c>
      <c r="Q46" s="63">
        <f>IF(Data[Bookie]="","",SUMIFS(BetTable[Stake],BetTable[Bookie],(VLOOKUP(ROW()-3,BookieName[],2,FALSE)),BetTable[Result],""))</f>
        <v>0</v>
      </c>
      <c r="R46" s="63">
        <f>IF(Data[Bookie]="","",SUMIFS(BetTable[S2],BetTable[B2],(VLOOKUP(ROW()-3,BookieName[],2,FALSE)),BetTable[Result],""))</f>
        <v>0</v>
      </c>
      <c r="S46" s="63">
        <f>IF(Data[Bookie]="","",SUMIFS(BetTable[S3],BetTable[B3],(VLOOKUP(ROW()-3,BookieName[],2,FALSE)),BetTable[Result],""))</f>
        <v>0</v>
      </c>
      <c r="T46" s="63">
        <f>IF(Data[Bookie]="","",SUMIFS(LayTable[BackStake],LayTable[BackBook],(VLOOKUP(ROW()-3,BookieName[],2,FALSE)),LayTable[AR],""))</f>
        <v>0</v>
      </c>
      <c r="U46" s="63">
        <f>IF(Data[Bookie]="","",SUMIFS(LayTable[LayLiability],LayTable[LayBook],(VLOOKUP(ROW()-3,BookieName[],2,FALSE)),LayTable[AR],""))</f>
        <v>0</v>
      </c>
    </row>
    <row r="47" spans="1:21" x14ac:dyDescent="0.25">
      <c r="A47" s="59">
        <f t="shared" si="1"/>
        <v>44</v>
      </c>
      <c r="B47" s="60" t="str">
        <f>IFERROR(VLOOKUP(ROW()-3,BookieName[],2,FALSE),"")</f>
        <v>Fun88UK</v>
      </c>
      <c r="C47" s="61">
        <f>IF(Data[Bookie]="","",SUM(Data[[#This Row],[D/W]:[Bonus and Adjustments]],))</f>
        <v>0</v>
      </c>
      <c r="D47" s="61">
        <f>IF(Data[Bookie]="","",SUMIF(DWbooks[Bookie],(VLOOKUP(ROW()-3,BookieName[],2,FALSE)),DWbooks[Amount]))</f>
        <v>0</v>
      </c>
      <c r="E47" s="59">
        <f>IF(Data[Bookie]="","",SUMIF(BetTable[Bookie],(VLOOKUP(ROW()-3,BookieName[],2,FALSE)),BetTable[Stake])*-1)</f>
        <v>0</v>
      </c>
      <c r="F47" s="59">
        <f>IF(Data[Bookie]="","",SUMIF(BetTable[B2],(VLOOKUP(ROW()-3,BookieName[],2,FALSE)),BetTable[S2])*-1)</f>
        <v>0</v>
      </c>
      <c r="G47" s="59">
        <f>IF(Data[Bookie]="","",SUMIF(BetTable[B3],(VLOOKUP(ROW()-3,BookieName[],2,FALSE)),BetTable[S3])*-1)</f>
        <v>0</v>
      </c>
      <c r="H47" s="59">
        <f>IF(Data[Bookie]="","",SUMIF(BetTable[Bookie],(VLOOKUP(ROW()-3,BookieName[],2,FALSE)),BetTable[WBA1]))</f>
        <v>0</v>
      </c>
      <c r="I47" s="59">
        <f>IF(Data[Bookie]="","",SUMIF(BetTable[B2],(VLOOKUP(ROW()-3,BookieName[],2,FALSE)),BetTable[WBA2]))</f>
        <v>0</v>
      </c>
      <c r="J47" s="59">
        <f>IF(Data[Bookie]="","",SUMIF(BetTable[B3],(VLOOKUP(ROW()-3,BookieName[],2,FALSE)),BetTable[WBA3]))</f>
        <v>0</v>
      </c>
      <c r="K47" s="60">
        <f>IF(Data[Bookie]="","",SUMIF(LayTable[BackBook],(VLOOKUP(ROW()-3,BookieName[],2,FALSE)),LayTable[BackStake])*-1)</f>
        <v>0</v>
      </c>
      <c r="L47" s="60">
        <f>IF(Data[Bookie]="","",SUMIF(LayTable[LayBook],(VLOOKUP(ROW()-3,BookieName[],2,FALSE)),LayTable[LayLiability])*-1)</f>
        <v>0</v>
      </c>
      <c r="M47" s="60">
        <f>IF(Data[Bookie]="","",SUMIF(LayTable[BackBook],(VLOOKUP(ROW()-3,BookieName[],2,FALSE)),LayTable[WBABack]))</f>
        <v>0</v>
      </c>
      <c r="N47" s="60">
        <f>IF(Data[Bookie]="","",SUMIF(LayTable[LayBook],(VLOOKUP(ROW()-3,BookieName[],2,FALSE)),LayTable[WBALay]))</f>
        <v>0</v>
      </c>
      <c r="O47" s="60">
        <f>IF(Data[Bookie]="","",SUMIF(DWbonus[Bookie],(VLOOKUP(ROW()-3,BookieName[],2,FALSE)),DWbonus[Amount]))</f>
        <v>0</v>
      </c>
      <c r="P47" s="63">
        <f>IF(Data[Bookie]="","",SUM(Data[[#This Row],[Pending 1]:[PendingL2]]))</f>
        <v>0</v>
      </c>
      <c r="Q47" s="63">
        <f>IF(Data[Bookie]="","",SUMIFS(BetTable[Stake],BetTable[Bookie],(VLOOKUP(ROW()-3,BookieName[],2,FALSE)),BetTable[Result],""))</f>
        <v>0</v>
      </c>
      <c r="R47" s="63">
        <f>IF(Data[Bookie]="","",SUMIFS(BetTable[S2],BetTable[B2],(VLOOKUP(ROW()-3,BookieName[],2,FALSE)),BetTable[Result],""))</f>
        <v>0</v>
      </c>
      <c r="S47" s="63">
        <f>IF(Data[Bookie]="","",SUMIFS(BetTable[S3],BetTable[B3],(VLOOKUP(ROW()-3,BookieName[],2,FALSE)),BetTable[Result],""))</f>
        <v>0</v>
      </c>
      <c r="T47" s="63">
        <f>IF(Data[Bookie]="","",SUMIFS(LayTable[BackStake],LayTable[BackBook],(VLOOKUP(ROW()-3,BookieName[],2,FALSE)),LayTable[AR],""))</f>
        <v>0</v>
      </c>
      <c r="U47" s="63">
        <f>IF(Data[Bookie]="","",SUMIFS(LayTable[LayLiability],LayTable[LayBook],(VLOOKUP(ROW()-3,BookieName[],2,FALSE)),LayTable[AR],""))</f>
        <v>0</v>
      </c>
    </row>
    <row r="48" spans="1:21" x14ac:dyDescent="0.25">
      <c r="A48" s="59">
        <f t="shared" si="1"/>
        <v>45</v>
      </c>
      <c r="B48" s="60" t="str">
        <f>IFERROR(VLOOKUP(ROW()-3,BookieName[],2,FALSE),"")</f>
        <v>Gamebookers</v>
      </c>
      <c r="C48" s="61">
        <f>IF(Data[Bookie]="","",SUM(Data[[#This Row],[D/W]:[Bonus and Adjustments]],))</f>
        <v>0</v>
      </c>
      <c r="D48" s="61">
        <f>IF(Data[Bookie]="","",SUMIF(DWbooks[Bookie],(VLOOKUP(ROW()-3,BookieName[],2,FALSE)),DWbooks[Amount]))</f>
        <v>0</v>
      </c>
      <c r="E48" s="59">
        <f>IF(Data[Bookie]="","",SUMIF(BetTable[Bookie],(VLOOKUP(ROW()-3,BookieName[],2,FALSE)),BetTable[Stake])*-1)</f>
        <v>0</v>
      </c>
      <c r="F48" s="59">
        <f>IF(Data[Bookie]="","",SUMIF(BetTable[B2],(VLOOKUP(ROW()-3,BookieName[],2,FALSE)),BetTable[S2])*-1)</f>
        <v>0</v>
      </c>
      <c r="G48" s="59">
        <f>IF(Data[Bookie]="","",SUMIF(BetTable[B3],(VLOOKUP(ROW()-3,BookieName[],2,FALSE)),BetTable[S3])*-1)</f>
        <v>0</v>
      </c>
      <c r="H48" s="59">
        <f>IF(Data[Bookie]="","",SUMIF(BetTable[Bookie],(VLOOKUP(ROW()-3,BookieName[],2,FALSE)),BetTable[WBA1]))</f>
        <v>0</v>
      </c>
      <c r="I48" s="59">
        <f>IF(Data[Bookie]="","",SUMIF(BetTable[B2],(VLOOKUP(ROW()-3,BookieName[],2,FALSE)),BetTable[WBA2]))</f>
        <v>0</v>
      </c>
      <c r="J48" s="59">
        <f>IF(Data[Bookie]="","",SUMIF(BetTable[B3],(VLOOKUP(ROW()-3,BookieName[],2,FALSE)),BetTable[WBA3]))</f>
        <v>0</v>
      </c>
      <c r="K48" s="60">
        <f>IF(Data[Bookie]="","",SUMIF(LayTable[BackBook],(VLOOKUP(ROW()-3,BookieName[],2,FALSE)),LayTable[BackStake])*-1)</f>
        <v>0</v>
      </c>
      <c r="L48" s="60">
        <f>IF(Data[Bookie]="","",SUMIF(LayTable[LayBook],(VLOOKUP(ROW()-3,BookieName[],2,FALSE)),LayTable[LayLiability])*-1)</f>
        <v>0</v>
      </c>
      <c r="M48" s="60">
        <f>IF(Data[Bookie]="","",SUMIF(LayTable[BackBook],(VLOOKUP(ROW()-3,BookieName[],2,FALSE)),LayTable[WBABack]))</f>
        <v>0</v>
      </c>
      <c r="N48" s="60">
        <f>IF(Data[Bookie]="","",SUMIF(LayTable[LayBook],(VLOOKUP(ROW()-3,BookieName[],2,FALSE)),LayTable[WBALay]))</f>
        <v>0</v>
      </c>
      <c r="O48" s="60">
        <f>IF(Data[Bookie]="","",SUMIF(DWbonus[Bookie],(VLOOKUP(ROW()-3,BookieName[],2,FALSE)),DWbonus[Amount]))</f>
        <v>0</v>
      </c>
      <c r="P48" s="63">
        <f>IF(Data[Bookie]="","",SUM(Data[[#This Row],[Pending 1]:[PendingL2]]))</f>
        <v>0</v>
      </c>
      <c r="Q48" s="63">
        <f>IF(Data[Bookie]="","",SUMIFS(BetTable[Stake],BetTable[Bookie],(VLOOKUP(ROW()-3,BookieName[],2,FALSE)),BetTable[Result],""))</f>
        <v>0</v>
      </c>
      <c r="R48" s="63">
        <f>IF(Data[Bookie]="","",SUMIFS(BetTable[S2],BetTable[B2],(VLOOKUP(ROW()-3,BookieName[],2,FALSE)),BetTable[Result],""))</f>
        <v>0</v>
      </c>
      <c r="S48" s="63">
        <f>IF(Data[Bookie]="","",SUMIFS(BetTable[S3],BetTable[B3],(VLOOKUP(ROW()-3,BookieName[],2,FALSE)),BetTable[Result],""))</f>
        <v>0</v>
      </c>
      <c r="T48" s="63">
        <f>IF(Data[Bookie]="","",SUMIFS(LayTable[BackStake],LayTable[BackBook],(VLOOKUP(ROW()-3,BookieName[],2,FALSE)),LayTable[AR],""))</f>
        <v>0</v>
      </c>
      <c r="U48" s="63">
        <f>IF(Data[Bookie]="","",SUMIFS(LayTable[LayLiability],LayTable[LayBook],(VLOOKUP(ROW()-3,BookieName[],2,FALSE)),LayTable[AR],""))</f>
        <v>0</v>
      </c>
    </row>
    <row r="49" spans="1:21" x14ac:dyDescent="0.25">
      <c r="A49" s="59">
        <f t="shared" si="1"/>
        <v>46</v>
      </c>
      <c r="B49" s="60" t="str">
        <f>IFERROR(VLOOKUP(ROW()-3,BookieName[],2,FALSE),"")</f>
        <v>GiocoDigitale</v>
      </c>
      <c r="C49" s="61">
        <f>IF(Data[Bookie]="","",SUM(Data[[#This Row],[D/W]:[Bonus and Adjustments]],))</f>
        <v>0</v>
      </c>
      <c r="D49" s="61">
        <f>IF(Data[Bookie]="","",SUMIF(DWbooks[Bookie],(VLOOKUP(ROW()-3,BookieName[],2,FALSE)),DWbooks[Amount]))</f>
        <v>0</v>
      </c>
      <c r="E49" s="59">
        <f>IF(Data[Bookie]="","",SUMIF(BetTable[Bookie],(VLOOKUP(ROW()-3,BookieName[],2,FALSE)),BetTable[Stake])*-1)</f>
        <v>0</v>
      </c>
      <c r="F49" s="59">
        <f>IF(Data[Bookie]="","",SUMIF(BetTable[B2],(VLOOKUP(ROW()-3,BookieName[],2,FALSE)),BetTable[S2])*-1)</f>
        <v>0</v>
      </c>
      <c r="G49" s="59">
        <f>IF(Data[Bookie]="","",SUMIF(BetTable[B3],(VLOOKUP(ROW()-3,BookieName[],2,FALSE)),BetTable[S3])*-1)</f>
        <v>0</v>
      </c>
      <c r="H49" s="59">
        <f>IF(Data[Bookie]="","",SUMIF(BetTable[Bookie],(VLOOKUP(ROW()-3,BookieName[],2,FALSE)),BetTable[WBA1]))</f>
        <v>0</v>
      </c>
      <c r="I49" s="59">
        <f>IF(Data[Bookie]="","",SUMIF(BetTable[B2],(VLOOKUP(ROW()-3,BookieName[],2,FALSE)),BetTable[WBA2]))</f>
        <v>0</v>
      </c>
      <c r="J49" s="59">
        <f>IF(Data[Bookie]="","",SUMIF(BetTable[B3],(VLOOKUP(ROW()-3,BookieName[],2,FALSE)),BetTable[WBA3]))</f>
        <v>0</v>
      </c>
      <c r="K49" s="60">
        <f>IF(Data[Bookie]="","",SUMIF(LayTable[BackBook],(VLOOKUP(ROW()-3,BookieName[],2,FALSE)),LayTable[BackStake])*-1)</f>
        <v>0</v>
      </c>
      <c r="L49" s="60">
        <f>IF(Data[Bookie]="","",SUMIF(LayTable[LayBook],(VLOOKUP(ROW()-3,BookieName[],2,FALSE)),LayTable[LayLiability])*-1)</f>
        <v>0</v>
      </c>
      <c r="M49" s="60">
        <f>IF(Data[Bookie]="","",SUMIF(LayTable[BackBook],(VLOOKUP(ROW()-3,BookieName[],2,FALSE)),LayTable[WBABack]))</f>
        <v>0</v>
      </c>
      <c r="N49" s="60">
        <f>IF(Data[Bookie]="","",SUMIF(LayTable[LayBook],(VLOOKUP(ROW()-3,BookieName[],2,FALSE)),LayTable[WBALay]))</f>
        <v>0</v>
      </c>
      <c r="O49" s="60">
        <f>IF(Data[Bookie]="","",SUMIF(DWbonus[Bookie],(VLOOKUP(ROW()-3,BookieName[],2,FALSE)),DWbonus[Amount]))</f>
        <v>0</v>
      </c>
      <c r="P49" s="63">
        <f>IF(Data[Bookie]="","",SUM(Data[[#This Row],[Pending 1]:[PendingL2]]))</f>
        <v>0</v>
      </c>
      <c r="Q49" s="63">
        <f>IF(Data[Bookie]="","",SUMIFS(BetTable[Stake],BetTable[Bookie],(VLOOKUP(ROW()-3,BookieName[],2,FALSE)),BetTable[Result],""))</f>
        <v>0</v>
      </c>
      <c r="R49" s="63">
        <f>IF(Data[Bookie]="","",SUMIFS(BetTable[S2],BetTable[B2],(VLOOKUP(ROW()-3,BookieName[],2,FALSE)),BetTable[Result],""))</f>
        <v>0</v>
      </c>
      <c r="S49" s="63">
        <f>IF(Data[Bookie]="","",SUMIFS(BetTable[S3],BetTable[B3],(VLOOKUP(ROW()-3,BookieName[],2,FALSE)),BetTable[Result],""))</f>
        <v>0</v>
      </c>
      <c r="T49" s="63">
        <f>IF(Data[Bookie]="","",SUMIFS(LayTable[BackStake],LayTable[BackBook],(VLOOKUP(ROW()-3,BookieName[],2,FALSE)),LayTable[AR],""))</f>
        <v>0</v>
      </c>
      <c r="U49" s="63">
        <f>IF(Data[Bookie]="","",SUMIFS(LayTable[LayLiability],LayTable[LayBook],(VLOOKUP(ROW()-3,BookieName[],2,FALSE)),LayTable[AR],""))</f>
        <v>0</v>
      </c>
    </row>
    <row r="50" spans="1:21" x14ac:dyDescent="0.25">
      <c r="A50" s="59">
        <f t="shared" si="1"/>
        <v>47</v>
      </c>
      <c r="B50" s="60" t="str">
        <f>IFERROR(VLOOKUP(ROW()-3,BookieName[],2,FALSE),"")</f>
        <v>Intertops</v>
      </c>
      <c r="C50" s="61">
        <f>IF(Data[Bookie]="","",SUM(Data[[#This Row],[D/W]:[Bonus and Adjustments]],))</f>
        <v>0</v>
      </c>
      <c r="D50" s="61">
        <f>IF(Data[Bookie]="","",SUMIF(DWbooks[Bookie],(VLOOKUP(ROW()-3,BookieName[],2,FALSE)),DWbooks[Amount]))</f>
        <v>0</v>
      </c>
      <c r="E50" s="59">
        <f>IF(Data[Bookie]="","",SUMIF(BetTable[Bookie],(VLOOKUP(ROW()-3,BookieName[],2,FALSE)),BetTable[Stake])*-1)</f>
        <v>0</v>
      </c>
      <c r="F50" s="59">
        <f>IF(Data[Bookie]="","",SUMIF(BetTable[B2],(VLOOKUP(ROW()-3,BookieName[],2,FALSE)),BetTable[S2])*-1)</f>
        <v>0</v>
      </c>
      <c r="G50" s="59">
        <f>IF(Data[Bookie]="","",SUMIF(BetTable[B3],(VLOOKUP(ROW()-3,BookieName[],2,FALSE)),BetTable[S3])*-1)</f>
        <v>0</v>
      </c>
      <c r="H50" s="59">
        <f>IF(Data[Bookie]="","",SUMIF(BetTable[Bookie],(VLOOKUP(ROW()-3,BookieName[],2,FALSE)),BetTable[WBA1]))</f>
        <v>0</v>
      </c>
      <c r="I50" s="59">
        <f>IF(Data[Bookie]="","",SUMIF(BetTable[B2],(VLOOKUP(ROW()-3,BookieName[],2,FALSE)),BetTable[WBA2]))</f>
        <v>0</v>
      </c>
      <c r="J50" s="59">
        <f>IF(Data[Bookie]="","",SUMIF(BetTable[B3],(VLOOKUP(ROW()-3,BookieName[],2,FALSE)),BetTable[WBA3]))</f>
        <v>0</v>
      </c>
      <c r="K50" s="60">
        <f>IF(Data[Bookie]="","",SUMIF(LayTable[BackBook],(VLOOKUP(ROW()-3,BookieName[],2,FALSE)),LayTable[BackStake])*-1)</f>
        <v>0</v>
      </c>
      <c r="L50" s="60">
        <f>IF(Data[Bookie]="","",SUMIF(LayTable[LayBook],(VLOOKUP(ROW()-3,BookieName[],2,FALSE)),LayTable[LayLiability])*-1)</f>
        <v>0</v>
      </c>
      <c r="M50" s="60">
        <f>IF(Data[Bookie]="","",SUMIF(LayTable[BackBook],(VLOOKUP(ROW()-3,BookieName[],2,FALSE)),LayTable[WBABack]))</f>
        <v>0</v>
      </c>
      <c r="N50" s="60">
        <f>IF(Data[Bookie]="","",SUMIF(LayTable[LayBook],(VLOOKUP(ROW()-3,BookieName[],2,FALSE)),LayTable[WBALay]))</f>
        <v>0</v>
      </c>
      <c r="O50" s="60">
        <f>IF(Data[Bookie]="","",SUMIF(DWbonus[Bookie],(VLOOKUP(ROW()-3,BookieName[],2,FALSE)),DWbonus[Amount]))</f>
        <v>0</v>
      </c>
      <c r="P50" s="63">
        <f>IF(Data[Bookie]="","",SUM(Data[[#This Row],[Pending 1]:[PendingL2]]))</f>
        <v>0</v>
      </c>
      <c r="Q50" s="63">
        <f>IF(Data[Bookie]="","",SUMIFS(BetTable[Stake],BetTable[Bookie],(VLOOKUP(ROW()-3,BookieName[],2,FALSE)),BetTable[Result],""))</f>
        <v>0</v>
      </c>
      <c r="R50" s="63">
        <f>IF(Data[Bookie]="","",SUMIFS(BetTable[S2],BetTable[B2],(VLOOKUP(ROW()-3,BookieName[],2,FALSE)),BetTable[Result],""))</f>
        <v>0</v>
      </c>
      <c r="S50" s="63">
        <f>IF(Data[Bookie]="","",SUMIFS(BetTable[S3],BetTable[B3],(VLOOKUP(ROW()-3,BookieName[],2,FALSE)),BetTable[Result],""))</f>
        <v>0</v>
      </c>
      <c r="T50" s="63">
        <f>IF(Data[Bookie]="","",SUMIFS(LayTable[BackStake],LayTable[BackBook],(VLOOKUP(ROW()-3,BookieName[],2,FALSE)),LayTable[AR],""))</f>
        <v>0</v>
      </c>
      <c r="U50" s="63">
        <f>IF(Data[Bookie]="","",SUMIFS(LayTable[LayLiability],LayTable[LayBook],(VLOOKUP(ROW()-3,BookieName[],2,FALSE)),LayTable[AR],""))</f>
        <v>0</v>
      </c>
    </row>
    <row r="51" spans="1:21" x14ac:dyDescent="0.25">
      <c r="A51" s="59">
        <f t="shared" si="1"/>
        <v>48</v>
      </c>
      <c r="B51" s="60" t="str">
        <f>IFERROR(VLOOKUP(ROW()-3,BookieName[],2,FALSE),"")</f>
        <v>Interwetten</v>
      </c>
      <c r="C51" s="61">
        <f>IF(Data[Bookie]="","",SUM(Data[[#This Row],[D/W]:[Bonus and Adjustments]],))</f>
        <v>0</v>
      </c>
      <c r="D51" s="61">
        <f>IF(Data[Bookie]="","",SUMIF(DWbooks[Bookie],(VLOOKUP(ROW()-3,BookieName[],2,FALSE)),DWbooks[Amount]))</f>
        <v>0</v>
      </c>
      <c r="E51" s="59">
        <f>IF(Data[Bookie]="","",SUMIF(BetTable[Bookie],(VLOOKUP(ROW()-3,BookieName[],2,FALSE)),BetTable[Stake])*-1)</f>
        <v>0</v>
      </c>
      <c r="F51" s="59">
        <f>IF(Data[Bookie]="","",SUMIF(BetTable[B2],(VLOOKUP(ROW()-3,BookieName[],2,FALSE)),BetTable[S2])*-1)</f>
        <v>0</v>
      </c>
      <c r="G51" s="59">
        <f>IF(Data[Bookie]="","",SUMIF(BetTable[B3],(VLOOKUP(ROW()-3,BookieName[],2,FALSE)),BetTable[S3])*-1)</f>
        <v>0</v>
      </c>
      <c r="H51" s="59">
        <f>IF(Data[Bookie]="","",SUMIF(BetTable[Bookie],(VLOOKUP(ROW()-3,BookieName[],2,FALSE)),BetTable[WBA1]))</f>
        <v>0</v>
      </c>
      <c r="I51" s="59">
        <f>IF(Data[Bookie]="","",SUMIF(BetTable[B2],(VLOOKUP(ROW()-3,BookieName[],2,FALSE)),BetTable[WBA2]))</f>
        <v>0</v>
      </c>
      <c r="J51" s="59">
        <f>IF(Data[Bookie]="","",SUMIF(BetTable[B3],(VLOOKUP(ROW()-3,BookieName[],2,FALSE)),BetTable[WBA3]))</f>
        <v>0</v>
      </c>
      <c r="K51" s="60">
        <f>IF(Data[Bookie]="","",SUMIF(LayTable[BackBook],(VLOOKUP(ROW()-3,BookieName[],2,FALSE)),LayTable[BackStake])*-1)</f>
        <v>0</v>
      </c>
      <c r="L51" s="60">
        <f>IF(Data[Bookie]="","",SUMIF(LayTable[LayBook],(VLOOKUP(ROW()-3,BookieName[],2,FALSE)),LayTable[LayLiability])*-1)</f>
        <v>0</v>
      </c>
      <c r="M51" s="60">
        <f>IF(Data[Bookie]="","",SUMIF(LayTable[BackBook],(VLOOKUP(ROW()-3,BookieName[],2,FALSE)),LayTable[WBABack]))</f>
        <v>0</v>
      </c>
      <c r="N51" s="60">
        <f>IF(Data[Bookie]="","",SUMIF(LayTable[LayBook],(VLOOKUP(ROW()-3,BookieName[],2,FALSE)),LayTable[WBALay]))</f>
        <v>0</v>
      </c>
      <c r="O51" s="60">
        <f>IF(Data[Bookie]="","",SUMIF(DWbonus[Bookie],(VLOOKUP(ROW()-3,BookieName[],2,FALSE)),DWbonus[Amount]))</f>
        <v>0</v>
      </c>
      <c r="P51" s="63">
        <f>IF(Data[Bookie]="","",SUM(Data[[#This Row],[Pending 1]:[PendingL2]]))</f>
        <v>0</v>
      </c>
      <c r="Q51" s="63">
        <f>IF(Data[Bookie]="","",SUMIFS(BetTable[Stake],BetTable[Bookie],(VLOOKUP(ROW()-3,BookieName[],2,FALSE)),BetTable[Result],""))</f>
        <v>0</v>
      </c>
      <c r="R51" s="63">
        <f>IF(Data[Bookie]="","",SUMIFS(BetTable[S2],BetTable[B2],(VLOOKUP(ROW()-3,BookieName[],2,FALSE)),BetTable[Result],""))</f>
        <v>0</v>
      </c>
      <c r="S51" s="63">
        <f>IF(Data[Bookie]="","",SUMIFS(BetTable[S3],BetTable[B3],(VLOOKUP(ROW()-3,BookieName[],2,FALSE)),BetTable[Result],""))</f>
        <v>0</v>
      </c>
      <c r="T51" s="63">
        <f>IF(Data[Bookie]="","",SUMIFS(LayTable[BackStake],LayTable[BackBook],(VLOOKUP(ROW()-3,BookieName[],2,FALSE)),LayTable[AR],""))</f>
        <v>0</v>
      </c>
      <c r="U51" s="63">
        <f>IF(Data[Bookie]="","",SUMIFS(LayTable[LayLiability],LayTable[LayBook],(VLOOKUP(ROW()-3,BookieName[],2,FALSE)),LayTable[AR],""))</f>
        <v>0</v>
      </c>
    </row>
    <row r="52" spans="1:21" x14ac:dyDescent="0.25">
      <c r="A52" s="59">
        <f t="shared" si="1"/>
        <v>49</v>
      </c>
      <c r="B52" s="60" t="str">
        <f>IFERROR(VLOOKUP(ROW()-3,BookieName[],2,FALSE),"")</f>
        <v>JenningsBet</v>
      </c>
      <c r="C52" s="61">
        <f>IF(Data[Bookie]="","",SUM(Data[[#This Row],[D/W]:[Bonus and Adjustments]],))</f>
        <v>0</v>
      </c>
      <c r="D52" s="61">
        <f>IF(Data[Bookie]="","",SUMIF(DWbooks[Bookie],(VLOOKUP(ROW()-3,BookieName[],2,FALSE)),DWbooks[Amount]))</f>
        <v>0</v>
      </c>
      <c r="E52" s="59">
        <f>IF(Data[Bookie]="","",SUMIF(BetTable[Bookie],(VLOOKUP(ROW()-3,BookieName[],2,FALSE)),BetTable[Stake])*-1)</f>
        <v>0</v>
      </c>
      <c r="F52" s="59">
        <f>IF(Data[Bookie]="","",SUMIF(BetTable[B2],(VLOOKUP(ROW()-3,BookieName[],2,FALSE)),BetTable[S2])*-1)</f>
        <v>0</v>
      </c>
      <c r="G52" s="59">
        <f>IF(Data[Bookie]="","",SUMIF(BetTable[B3],(VLOOKUP(ROW()-3,BookieName[],2,FALSE)),BetTable[S3])*-1)</f>
        <v>0</v>
      </c>
      <c r="H52" s="59">
        <f>IF(Data[Bookie]="","",SUMIF(BetTable[Bookie],(VLOOKUP(ROW()-3,BookieName[],2,FALSE)),BetTable[WBA1]))</f>
        <v>0</v>
      </c>
      <c r="I52" s="59">
        <f>IF(Data[Bookie]="","",SUMIF(BetTable[B2],(VLOOKUP(ROW()-3,BookieName[],2,FALSE)),BetTable[WBA2]))</f>
        <v>0</v>
      </c>
      <c r="J52" s="59">
        <f>IF(Data[Bookie]="","",SUMIF(BetTable[B3],(VLOOKUP(ROW()-3,BookieName[],2,FALSE)),BetTable[WBA3]))</f>
        <v>0</v>
      </c>
      <c r="K52" s="60">
        <f>IF(Data[Bookie]="","",SUMIF(LayTable[BackBook],(VLOOKUP(ROW()-3,BookieName[],2,FALSE)),LayTable[BackStake])*-1)</f>
        <v>0</v>
      </c>
      <c r="L52" s="60">
        <f>IF(Data[Bookie]="","",SUMIF(LayTable[LayBook],(VLOOKUP(ROW()-3,BookieName[],2,FALSE)),LayTable[LayLiability])*-1)</f>
        <v>0</v>
      </c>
      <c r="M52" s="60">
        <f>IF(Data[Bookie]="","",SUMIF(LayTable[BackBook],(VLOOKUP(ROW()-3,BookieName[],2,FALSE)),LayTable[WBABack]))</f>
        <v>0</v>
      </c>
      <c r="N52" s="60">
        <f>IF(Data[Bookie]="","",SUMIF(LayTable[LayBook],(VLOOKUP(ROW()-3,BookieName[],2,FALSE)),LayTable[WBALay]))</f>
        <v>0</v>
      </c>
      <c r="O52" s="60">
        <f>IF(Data[Bookie]="","",SUMIF(DWbonus[Bookie],(VLOOKUP(ROW()-3,BookieName[],2,FALSE)),DWbonus[Amount]))</f>
        <v>0</v>
      </c>
      <c r="P52" s="63">
        <f>IF(Data[Bookie]="","",SUM(Data[[#This Row],[Pending 1]:[PendingL2]]))</f>
        <v>0</v>
      </c>
      <c r="Q52" s="63">
        <f>IF(Data[Bookie]="","",SUMIFS(BetTable[Stake],BetTable[Bookie],(VLOOKUP(ROW()-3,BookieName[],2,FALSE)),BetTable[Result],""))</f>
        <v>0</v>
      </c>
      <c r="R52" s="63">
        <f>IF(Data[Bookie]="","",SUMIFS(BetTable[S2],BetTable[B2],(VLOOKUP(ROW()-3,BookieName[],2,FALSE)),BetTable[Result],""))</f>
        <v>0</v>
      </c>
      <c r="S52" s="63">
        <f>IF(Data[Bookie]="","",SUMIFS(BetTable[S3],BetTable[B3],(VLOOKUP(ROW()-3,BookieName[],2,FALSE)),BetTable[Result],""))</f>
        <v>0</v>
      </c>
      <c r="T52" s="63">
        <f>IF(Data[Bookie]="","",SUMIFS(LayTable[BackStake],LayTable[BackBook],(VLOOKUP(ROW()-3,BookieName[],2,FALSE)),LayTable[AR],""))</f>
        <v>0</v>
      </c>
      <c r="U52" s="63">
        <f>IF(Data[Bookie]="","",SUMIFS(LayTable[LayLiability],LayTable[LayBook],(VLOOKUP(ROW()-3,BookieName[],2,FALSE)),LayTable[AR],""))</f>
        <v>0</v>
      </c>
    </row>
    <row r="53" spans="1:21" x14ac:dyDescent="0.25">
      <c r="A53" s="59">
        <f t="shared" si="1"/>
        <v>50</v>
      </c>
      <c r="B53" s="60" t="str">
        <f>IFERROR(VLOOKUP(ROW()-3,BookieName[],2,FALSE),"")</f>
        <v>Jetbull</v>
      </c>
      <c r="C53" s="61">
        <f>IF(Data[Bookie]="","",SUM(Data[[#This Row],[D/W]:[Bonus and Adjustments]],))</f>
        <v>0</v>
      </c>
      <c r="D53" s="61">
        <f>IF(Data[Bookie]="","",SUMIF(DWbooks[Bookie],(VLOOKUP(ROW()-3,BookieName[],2,FALSE)),DWbooks[Amount]))</f>
        <v>0</v>
      </c>
      <c r="E53" s="59">
        <f>IF(Data[Bookie]="","",SUMIF(BetTable[Bookie],(VLOOKUP(ROW()-3,BookieName[],2,FALSE)),BetTable[Stake])*-1)</f>
        <v>0</v>
      </c>
      <c r="F53" s="59">
        <f>IF(Data[Bookie]="","",SUMIF(BetTable[B2],(VLOOKUP(ROW()-3,BookieName[],2,FALSE)),BetTable[S2])*-1)</f>
        <v>0</v>
      </c>
      <c r="G53" s="59">
        <f>IF(Data[Bookie]="","",SUMIF(BetTable[B3],(VLOOKUP(ROW()-3,BookieName[],2,FALSE)),BetTable[S3])*-1)</f>
        <v>0</v>
      </c>
      <c r="H53" s="59">
        <f>IF(Data[Bookie]="","",SUMIF(BetTable[Bookie],(VLOOKUP(ROW()-3,BookieName[],2,FALSE)),BetTable[WBA1]))</f>
        <v>0</v>
      </c>
      <c r="I53" s="59">
        <f>IF(Data[Bookie]="","",SUMIF(BetTable[B2],(VLOOKUP(ROW()-3,BookieName[],2,FALSE)),BetTable[WBA2]))</f>
        <v>0</v>
      </c>
      <c r="J53" s="59">
        <f>IF(Data[Bookie]="","",SUMIF(BetTable[B3],(VLOOKUP(ROW()-3,BookieName[],2,FALSE)),BetTable[WBA3]))</f>
        <v>0</v>
      </c>
      <c r="K53" s="60">
        <f>IF(Data[Bookie]="","",SUMIF(LayTable[BackBook],(VLOOKUP(ROW()-3,BookieName[],2,FALSE)),LayTable[BackStake])*-1)</f>
        <v>0</v>
      </c>
      <c r="L53" s="60">
        <f>IF(Data[Bookie]="","",SUMIF(LayTable[LayBook],(VLOOKUP(ROW()-3,BookieName[],2,FALSE)),LayTable[LayLiability])*-1)</f>
        <v>0</v>
      </c>
      <c r="M53" s="60">
        <f>IF(Data[Bookie]="","",SUMIF(LayTable[BackBook],(VLOOKUP(ROW()-3,BookieName[],2,FALSE)),LayTable[WBABack]))</f>
        <v>0</v>
      </c>
      <c r="N53" s="60">
        <f>IF(Data[Bookie]="","",SUMIF(LayTable[LayBook],(VLOOKUP(ROW()-3,BookieName[],2,FALSE)),LayTable[WBALay]))</f>
        <v>0</v>
      </c>
      <c r="O53" s="60">
        <f>IF(Data[Bookie]="","",SUMIF(DWbonus[Bookie],(VLOOKUP(ROW()-3,BookieName[],2,FALSE)),DWbonus[Amount]))</f>
        <v>0</v>
      </c>
      <c r="P53" s="63">
        <f>IF(Data[Bookie]="","",SUM(Data[[#This Row],[Pending 1]:[PendingL2]]))</f>
        <v>0</v>
      </c>
      <c r="Q53" s="63">
        <f>IF(Data[Bookie]="","",SUMIFS(BetTable[Stake],BetTable[Bookie],(VLOOKUP(ROW()-3,BookieName[],2,FALSE)),BetTable[Result],""))</f>
        <v>0</v>
      </c>
      <c r="R53" s="63">
        <f>IF(Data[Bookie]="","",SUMIFS(BetTable[S2],BetTable[B2],(VLOOKUP(ROW()-3,BookieName[],2,FALSE)),BetTable[Result],""))</f>
        <v>0</v>
      </c>
      <c r="S53" s="63">
        <f>IF(Data[Bookie]="","",SUMIFS(BetTable[S3],BetTable[B3],(VLOOKUP(ROW()-3,BookieName[],2,FALSE)),BetTable[Result],""))</f>
        <v>0</v>
      </c>
      <c r="T53" s="63">
        <f>IF(Data[Bookie]="","",SUMIFS(LayTable[BackStake],LayTable[BackBook],(VLOOKUP(ROW()-3,BookieName[],2,FALSE)),LayTable[AR],""))</f>
        <v>0</v>
      </c>
      <c r="U53" s="63">
        <f>IF(Data[Bookie]="","",SUMIFS(LayTable[LayLiability],LayTable[LayBook],(VLOOKUP(ROW()-3,BookieName[],2,FALSE)),LayTable[AR],""))</f>
        <v>0</v>
      </c>
    </row>
    <row r="54" spans="1:21" x14ac:dyDescent="0.25">
      <c r="A54" s="59">
        <f t="shared" si="1"/>
        <v>51</v>
      </c>
      <c r="B54" s="60" t="str">
        <f>IFERROR(VLOOKUP(ROW()-3,BookieName[],2,FALSE),"")</f>
        <v>Ladbrokes</v>
      </c>
      <c r="C54" s="61">
        <f>IF(Data[Bookie]="","",SUM(Data[[#This Row],[D/W]:[Bonus and Adjustments]],))</f>
        <v>0</v>
      </c>
      <c r="D54" s="61">
        <f>IF(Data[Bookie]="","",SUMIF(DWbooks[Bookie],(VLOOKUP(ROW()-3,BookieName[],2,FALSE)),DWbooks[Amount]))</f>
        <v>0</v>
      </c>
      <c r="E54" s="59">
        <f>IF(Data[Bookie]="","",SUMIF(BetTable[Bookie],(VLOOKUP(ROW()-3,BookieName[],2,FALSE)),BetTable[Stake])*-1)</f>
        <v>0</v>
      </c>
      <c r="F54" s="59">
        <f>IF(Data[Bookie]="","",SUMIF(BetTable[B2],(VLOOKUP(ROW()-3,BookieName[],2,FALSE)),BetTable[S2])*-1)</f>
        <v>0</v>
      </c>
      <c r="G54" s="59">
        <f>IF(Data[Bookie]="","",SUMIF(BetTable[B3],(VLOOKUP(ROW()-3,BookieName[],2,FALSE)),BetTable[S3])*-1)</f>
        <v>0</v>
      </c>
      <c r="H54" s="59">
        <f>IF(Data[Bookie]="","",SUMIF(BetTable[Bookie],(VLOOKUP(ROW()-3,BookieName[],2,FALSE)),BetTable[WBA1]))</f>
        <v>0</v>
      </c>
      <c r="I54" s="59">
        <f>IF(Data[Bookie]="","",SUMIF(BetTable[B2],(VLOOKUP(ROW()-3,BookieName[],2,FALSE)),BetTable[WBA2]))</f>
        <v>0</v>
      </c>
      <c r="J54" s="59">
        <f>IF(Data[Bookie]="","",SUMIF(BetTable[B3],(VLOOKUP(ROW()-3,BookieName[],2,FALSE)),BetTable[WBA3]))</f>
        <v>0</v>
      </c>
      <c r="K54" s="60">
        <f>IF(Data[Bookie]="","",SUMIF(LayTable[BackBook],(VLOOKUP(ROW()-3,BookieName[],2,FALSE)),LayTable[BackStake])*-1)</f>
        <v>0</v>
      </c>
      <c r="L54" s="60">
        <f>IF(Data[Bookie]="","",SUMIF(LayTable[LayBook],(VLOOKUP(ROW()-3,BookieName[],2,FALSE)),LayTable[LayLiability])*-1)</f>
        <v>0</v>
      </c>
      <c r="M54" s="60">
        <f>IF(Data[Bookie]="","",SUMIF(LayTable[BackBook],(VLOOKUP(ROW()-3,BookieName[],2,FALSE)),LayTable[WBABack]))</f>
        <v>0</v>
      </c>
      <c r="N54" s="60">
        <f>IF(Data[Bookie]="","",SUMIF(LayTable[LayBook],(VLOOKUP(ROW()-3,BookieName[],2,FALSE)),LayTable[WBALay]))</f>
        <v>0</v>
      </c>
      <c r="O54" s="60">
        <f>IF(Data[Bookie]="","",SUMIF(DWbonus[Bookie],(VLOOKUP(ROW()-3,BookieName[],2,FALSE)),DWbonus[Amount]))</f>
        <v>0</v>
      </c>
      <c r="P54" s="63">
        <f>IF(Data[Bookie]="","",SUM(Data[[#This Row],[Pending 1]:[PendingL2]]))</f>
        <v>0</v>
      </c>
      <c r="Q54" s="63">
        <f>IF(Data[Bookie]="","",SUMIFS(BetTable[Stake],BetTable[Bookie],(VLOOKUP(ROW()-3,BookieName[],2,FALSE)),BetTable[Result],""))</f>
        <v>0</v>
      </c>
      <c r="R54" s="63">
        <f>IF(Data[Bookie]="","",SUMIFS(BetTable[S2],BetTable[B2],(VLOOKUP(ROW()-3,BookieName[],2,FALSE)),BetTable[Result],""))</f>
        <v>0</v>
      </c>
      <c r="S54" s="63">
        <f>IF(Data[Bookie]="","",SUMIFS(BetTable[S3],BetTable[B3],(VLOOKUP(ROW()-3,BookieName[],2,FALSE)),BetTable[Result],""))</f>
        <v>0</v>
      </c>
      <c r="T54" s="63">
        <f>IF(Data[Bookie]="","",SUMIFS(LayTable[BackStake],LayTable[BackBook],(VLOOKUP(ROW()-3,BookieName[],2,FALSE)),LayTable[AR],""))</f>
        <v>0</v>
      </c>
      <c r="U54" s="63">
        <f>IF(Data[Bookie]="","",SUMIFS(LayTable[LayLiability],LayTable[LayBook],(VLOOKUP(ROW()-3,BookieName[],2,FALSE)),LayTable[AR],""))</f>
        <v>0</v>
      </c>
    </row>
    <row r="55" spans="1:21" x14ac:dyDescent="0.25">
      <c r="A55" s="59">
        <f t="shared" si="1"/>
        <v>52</v>
      </c>
      <c r="B55" s="60" t="str">
        <f>IFERROR(VLOOKUP(ROW()-3,BookieName[],2,FALSE),"")</f>
        <v>LadbrokesAU</v>
      </c>
      <c r="C55" s="61">
        <f>IF(Data[Bookie]="","",SUM(Data[[#This Row],[D/W]:[Bonus and Adjustments]],))</f>
        <v>0</v>
      </c>
      <c r="D55" s="61">
        <f>IF(Data[Bookie]="","",SUMIF(DWbooks[Bookie],(VLOOKUP(ROW()-3,BookieName[],2,FALSE)),DWbooks[Amount]))</f>
        <v>0</v>
      </c>
      <c r="E55" s="59">
        <f>IF(Data[Bookie]="","",SUMIF(BetTable[Bookie],(VLOOKUP(ROW()-3,BookieName[],2,FALSE)),BetTable[Stake])*-1)</f>
        <v>0</v>
      </c>
      <c r="F55" s="59">
        <f>IF(Data[Bookie]="","",SUMIF(BetTable[B2],(VLOOKUP(ROW()-3,BookieName[],2,FALSE)),BetTable[S2])*-1)</f>
        <v>0</v>
      </c>
      <c r="G55" s="59">
        <f>IF(Data[Bookie]="","",SUMIF(BetTable[B3],(VLOOKUP(ROW()-3,BookieName[],2,FALSE)),BetTable[S3])*-1)</f>
        <v>0</v>
      </c>
      <c r="H55" s="59">
        <f>IF(Data[Bookie]="","",SUMIF(BetTable[Bookie],(VLOOKUP(ROW()-3,BookieName[],2,FALSE)),BetTable[WBA1]))</f>
        <v>0</v>
      </c>
      <c r="I55" s="59">
        <f>IF(Data[Bookie]="","",SUMIF(BetTable[B2],(VLOOKUP(ROW()-3,BookieName[],2,FALSE)),BetTable[WBA2]))</f>
        <v>0</v>
      </c>
      <c r="J55" s="59">
        <f>IF(Data[Bookie]="","",SUMIF(BetTable[B3],(VLOOKUP(ROW()-3,BookieName[],2,FALSE)),BetTable[WBA3]))</f>
        <v>0</v>
      </c>
      <c r="K55" s="60">
        <f>IF(Data[Bookie]="","",SUMIF(LayTable[BackBook],(VLOOKUP(ROW()-3,BookieName[],2,FALSE)),LayTable[BackStake])*-1)</f>
        <v>0</v>
      </c>
      <c r="L55" s="60">
        <f>IF(Data[Bookie]="","",SUMIF(LayTable[LayBook],(VLOOKUP(ROW()-3,BookieName[],2,FALSE)),LayTable[LayLiability])*-1)</f>
        <v>0</v>
      </c>
      <c r="M55" s="60">
        <f>IF(Data[Bookie]="","",SUMIF(LayTable[BackBook],(VLOOKUP(ROW()-3,BookieName[],2,FALSE)),LayTable[WBABack]))</f>
        <v>0</v>
      </c>
      <c r="N55" s="60">
        <f>IF(Data[Bookie]="","",SUMIF(LayTable[LayBook],(VLOOKUP(ROW()-3,BookieName[],2,FALSE)),LayTable[WBALay]))</f>
        <v>0</v>
      </c>
      <c r="O55" s="60">
        <f>IF(Data[Bookie]="","",SUMIF(DWbonus[Bookie],(VLOOKUP(ROW()-3,BookieName[],2,FALSE)),DWbonus[Amount]))</f>
        <v>0</v>
      </c>
      <c r="P55" s="63">
        <f>IF(Data[Bookie]="","",SUM(Data[[#This Row],[Pending 1]:[PendingL2]]))</f>
        <v>0</v>
      </c>
      <c r="Q55" s="63">
        <f>IF(Data[Bookie]="","",SUMIFS(BetTable[Stake],BetTable[Bookie],(VLOOKUP(ROW()-3,BookieName[],2,FALSE)),BetTable[Result],""))</f>
        <v>0</v>
      </c>
      <c r="R55" s="63">
        <f>IF(Data[Bookie]="","",SUMIFS(BetTable[S2],BetTable[B2],(VLOOKUP(ROW()-3,BookieName[],2,FALSE)),BetTable[Result],""))</f>
        <v>0</v>
      </c>
      <c r="S55" s="63">
        <f>IF(Data[Bookie]="","",SUMIFS(BetTable[S3],BetTable[B3],(VLOOKUP(ROW()-3,BookieName[],2,FALSE)),BetTable[Result],""))</f>
        <v>0</v>
      </c>
      <c r="T55" s="63">
        <f>IF(Data[Bookie]="","",SUMIFS(LayTable[BackStake],LayTable[BackBook],(VLOOKUP(ROW()-3,BookieName[],2,FALSE)),LayTable[AR],""))</f>
        <v>0</v>
      </c>
      <c r="U55" s="63">
        <f>IF(Data[Bookie]="","",SUMIFS(LayTable[LayLiability],LayTable[LayBook],(VLOOKUP(ROW()-3,BookieName[],2,FALSE)),LayTable[AR],""))</f>
        <v>0</v>
      </c>
    </row>
    <row r="56" spans="1:21" x14ac:dyDescent="0.25">
      <c r="A56" s="59">
        <f t="shared" si="1"/>
        <v>53</v>
      </c>
      <c r="B56" s="60" t="str">
        <f>IFERROR(VLOOKUP(ROW()-3,BookieName[],2,FALSE),"")</f>
        <v>LeoVegas</v>
      </c>
      <c r="C56" s="61">
        <f>IF(Data[Bookie]="","",SUM(Data[[#This Row],[D/W]:[Bonus and Adjustments]],))</f>
        <v>0</v>
      </c>
      <c r="D56" s="61">
        <f>IF(Data[Bookie]="","",SUMIF(DWbooks[Bookie],(VLOOKUP(ROW()-3,BookieName[],2,FALSE)),DWbooks[Amount]))</f>
        <v>0</v>
      </c>
      <c r="E56" s="59">
        <f>IF(Data[Bookie]="","",SUMIF(BetTable[Bookie],(VLOOKUP(ROW()-3,BookieName[],2,FALSE)),BetTable[Stake])*-1)</f>
        <v>0</v>
      </c>
      <c r="F56" s="59">
        <f>IF(Data[Bookie]="","",SUMIF(BetTable[B2],(VLOOKUP(ROW()-3,BookieName[],2,FALSE)),BetTable[S2])*-1)</f>
        <v>0</v>
      </c>
      <c r="G56" s="59">
        <f>IF(Data[Bookie]="","",SUMIF(BetTable[B3],(VLOOKUP(ROW()-3,BookieName[],2,FALSE)),BetTable[S3])*-1)</f>
        <v>0</v>
      </c>
      <c r="H56" s="59">
        <f>IF(Data[Bookie]="","",SUMIF(BetTable[Bookie],(VLOOKUP(ROW()-3,BookieName[],2,FALSE)),BetTable[WBA1]))</f>
        <v>0</v>
      </c>
      <c r="I56" s="59">
        <f>IF(Data[Bookie]="","",SUMIF(BetTable[B2],(VLOOKUP(ROW()-3,BookieName[],2,FALSE)),BetTable[WBA2]))</f>
        <v>0</v>
      </c>
      <c r="J56" s="59">
        <f>IF(Data[Bookie]="","",SUMIF(BetTable[B3],(VLOOKUP(ROW()-3,BookieName[],2,FALSE)),BetTable[WBA3]))</f>
        <v>0</v>
      </c>
      <c r="K56" s="60">
        <f>IF(Data[Bookie]="","",SUMIF(LayTable[BackBook],(VLOOKUP(ROW()-3,BookieName[],2,FALSE)),LayTable[BackStake])*-1)</f>
        <v>0</v>
      </c>
      <c r="L56" s="60">
        <f>IF(Data[Bookie]="","",SUMIF(LayTable[LayBook],(VLOOKUP(ROW()-3,BookieName[],2,FALSE)),LayTable[LayLiability])*-1)</f>
        <v>0</v>
      </c>
      <c r="M56" s="60">
        <f>IF(Data[Bookie]="","",SUMIF(LayTable[BackBook],(VLOOKUP(ROW()-3,BookieName[],2,FALSE)),LayTable[WBABack]))</f>
        <v>0</v>
      </c>
      <c r="N56" s="60">
        <f>IF(Data[Bookie]="","",SUMIF(LayTable[LayBook],(VLOOKUP(ROW()-3,BookieName[],2,FALSE)),LayTable[WBALay]))</f>
        <v>0</v>
      </c>
      <c r="O56" s="60">
        <f>IF(Data[Bookie]="","",SUMIF(DWbonus[Bookie],(VLOOKUP(ROW()-3,BookieName[],2,FALSE)),DWbonus[Amount]))</f>
        <v>0</v>
      </c>
      <c r="P56" s="63">
        <f>IF(Data[Bookie]="","",SUM(Data[[#This Row],[Pending 1]:[PendingL2]]))</f>
        <v>0</v>
      </c>
      <c r="Q56" s="63">
        <f>IF(Data[Bookie]="","",SUMIFS(BetTable[Stake],BetTable[Bookie],(VLOOKUP(ROW()-3,BookieName[],2,FALSE)),BetTable[Result],""))</f>
        <v>0</v>
      </c>
      <c r="R56" s="63">
        <f>IF(Data[Bookie]="","",SUMIFS(BetTable[S2],BetTable[B2],(VLOOKUP(ROW()-3,BookieName[],2,FALSE)),BetTable[Result],""))</f>
        <v>0</v>
      </c>
      <c r="S56" s="63">
        <f>IF(Data[Bookie]="","",SUMIFS(BetTable[S3],BetTable[B3],(VLOOKUP(ROW()-3,BookieName[],2,FALSE)),BetTable[Result],""))</f>
        <v>0</v>
      </c>
      <c r="T56" s="63">
        <f>IF(Data[Bookie]="","",SUMIFS(LayTable[BackStake],LayTable[BackBook],(VLOOKUP(ROW()-3,BookieName[],2,FALSE)),LayTable[AR],""))</f>
        <v>0</v>
      </c>
      <c r="U56" s="63">
        <f>IF(Data[Bookie]="","",SUMIFS(LayTable[LayLiability],LayTable[LayBook],(VLOOKUP(ROW()-3,BookieName[],2,FALSE)),LayTable[AR],""))</f>
        <v>0</v>
      </c>
    </row>
    <row r="57" spans="1:21" x14ac:dyDescent="0.25">
      <c r="A57" s="59">
        <f t="shared" si="1"/>
        <v>54</v>
      </c>
      <c r="B57" s="60" t="str">
        <f>IFERROR(VLOOKUP(ROW()-3,BookieName[],2,FALSE),"")</f>
        <v>Marathonbet</v>
      </c>
      <c r="C57" s="61">
        <f>IF(Data[Bookie]="","",SUM(Data[[#This Row],[D/W]:[Bonus and Adjustments]],))</f>
        <v>0</v>
      </c>
      <c r="D57" s="61">
        <f>IF(Data[Bookie]="","",SUMIF(DWbooks[Bookie],(VLOOKUP(ROW()-3,BookieName[],2,FALSE)),DWbooks[Amount]))</f>
        <v>0</v>
      </c>
      <c r="E57" s="59">
        <f>IF(Data[Bookie]="","",SUMIF(BetTable[Bookie],(VLOOKUP(ROW()-3,BookieName[],2,FALSE)),BetTable[Stake])*-1)</f>
        <v>0</v>
      </c>
      <c r="F57" s="59">
        <f>IF(Data[Bookie]="","",SUMIF(BetTable[B2],(VLOOKUP(ROW()-3,BookieName[],2,FALSE)),BetTable[S2])*-1)</f>
        <v>0</v>
      </c>
      <c r="G57" s="59">
        <f>IF(Data[Bookie]="","",SUMIF(BetTable[B3],(VLOOKUP(ROW()-3,BookieName[],2,FALSE)),BetTable[S3])*-1)</f>
        <v>0</v>
      </c>
      <c r="H57" s="59">
        <f>IF(Data[Bookie]="","",SUMIF(BetTable[Bookie],(VLOOKUP(ROW()-3,BookieName[],2,FALSE)),BetTable[WBA1]))</f>
        <v>0</v>
      </c>
      <c r="I57" s="59">
        <f>IF(Data[Bookie]="","",SUMIF(BetTable[B2],(VLOOKUP(ROW()-3,BookieName[],2,FALSE)),BetTable[WBA2]))</f>
        <v>0</v>
      </c>
      <c r="J57" s="59">
        <f>IF(Data[Bookie]="","",SUMIF(BetTable[B3],(VLOOKUP(ROW()-3,BookieName[],2,FALSE)),BetTable[WBA3]))</f>
        <v>0</v>
      </c>
      <c r="K57" s="60">
        <f>IF(Data[Bookie]="","",SUMIF(LayTable[BackBook],(VLOOKUP(ROW()-3,BookieName[],2,FALSE)),LayTable[BackStake])*-1)</f>
        <v>0</v>
      </c>
      <c r="L57" s="60">
        <f>IF(Data[Bookie]="","",SUMIF(LayTable[LayBook],(VLOOKUP(ROW()-3,BookieName[],2,FALSE)),LayTable[LayLiability])*-1)</f>
        <v>0</v>
      </c>
      <c r="M57" s="60">
        <f>IF(Data[Bookie]="","",SUMIF(LayTable[BackBook],(VLOOKUP(ROW()-3,BookieName[],2,FALSE)),LayTable[WBABack]))</f>
        <v>0</v>
      </c>
      <c r="N57" s="60">
        <f>IF(Data[Bookie]="","",SUMIF(LayTable[LayBook],(VLOOKUP(ROW()-3,BookieName[],2,FALSE)),LayTable[WBALay]))</f>
        <v>0</v>
      </c>
      <c r="O57" s="60">
        <f>IF(Data[Bookie]="","",SUMIF(DWbonus[Bookie],(VLOOKUP(ROW()-3,BookieName[],2,FALSE)),DWbonus[Amount]))</f>
        <v>0</v>
      </c>
      <c r="P57" s="63">
        <f>IF(Data[Bookie]="","",SUM(Data[[#This Row],[Pending 1]:[PendingL2]]))</f>
        <v>0</v>
      </c>
      <c r="Q57" s="63">
        <f>IF(Data[Bookie]="","",SUMIFS(BetTable[Stake],BetTable[Bookie],(VLOOKUP(ROW()-3,BookieName[],2,FALSE)),BetTable[Result],""))</f>
        <v>0</v>
      </c>
      <c r="R57" s="63">
        <f>IF(Data[Bookie]="","",SUMIFS(BetTable[S2],BetTable[B2],(VLOOKUP(ROW()-3,BookieName[],2,FALSE)),BetTable[Result],""))</f>
        <v>0</v>
      </c>
      <c r="S57" s="63">
        <f>IF(Data[Bookie]="","",SUMIFS(BetTable[S3],BetTable[B3],(VLOOKUP(ROW()-3,BookieName[],2,FALSE)),BetTable[Result],""))</f>
        <v>0</v>
      </c>
      <c r="T57" s="63">
        <f>IF(Data[Bookie]="","",SUMIFS(LayTable[BackStake],LayTable[BackBook],(VLOOKUP(ROW()-3,BookieName[],2,FALSE)),LayTable[AR],""))</f>
        <v>0</v>
      </c>
      <c r="U57" s="63">
        <f>IF(Data[Bookie]="","",SUMIFS(LayTable[LayLiability],LayTable[LayBook],(VLOOKUP(ROW()-3,BookieName[],2,FALSE)),LayTable[AR],""))</f>
        <v>0</v>
      </c>
    </row>
    <row r="58" spans="1:21" x14ac:dyDescent="0.25">
      <c r="A58" s="59">
        <f t="shared" si="1"/>
        <v>55</v>
      </c>
      <c r="B58" s="60" t="str">
        <f>IFERROR(VLOOKUP(ROW()-3,BookieName[],2,FALSE),"")</f>
        <v>Marathonbet.co.uk</v>
      </c>
      <c r="C58" s="61">
        <f>IF(Data[Bookie]="","",SUM(Data[[#This Row],[D/W]:[Bonus and Adjustments]],))</f>
        <v>0</v>
      </c>
      <c r="D58" s="61">
        <f>IF(Data[Bookie]="","",SUMIF(DWbooks[Bookie],(VLOOKUP(ROW()-3,BookieName[],2,FALSE)),DWbooks[Amount]))</f>
        <v>0</v>
      </c>
      <c r="E58" s="59">
        <f>IF(Data[Bookie]="","",SUMIF(BetTable[Bookie],(VLOOKUP(ROW()-3,BookieName[],2,FALSE)),BetTable[Stake])*-1)</f>
        <v>0</v>
      </c>
      <c r="F58" s="59">
        <f>IF(Data[Bookie]="","",SUMIF(BetTable[B2],(VLOOKUP(ROW()-3,BookieName[],2,FALSE)),BetTable[S2])*-1)</f>
        <v>0</v>
      </c>
      <c r="G58" s="59">
        <f>IF(Data[Bookie]="","",SUMIF(BetTable[B3],(VLOOKUP(ROW()-3,BookieName[],2,FALSE)),BetTable[S3])*-1)</f>
        <v>0</v>
      </c>
      <c r="H58" s="59">
        <f>IF(Data[Bookie]="","",SUMIF(BetTable[Bookie],(VLOOKUP(ROW()-3,BookieName[],2,FALSE)),BetTable[WBA1]))</f>
        <v>0</v>
      </c>
      <c r="I58" s="59">
        <f>IF(Data[Bookie]="","",SUMIF(BetTable[B2],(VLOOKUP(ROW()-3,BookieName[],2,FALSE)),BetTable[WBA2]))</f>
        <v>0</v>
      </c>
      <c r="J58" s="59">
        <f>IF(Data[Bookie]="","",SUMIF(BetTable[B3],(VLOOKUP(ROW()-3,BookieName[],2,FALSE)),BetTable[WBA3]))</f>
        <v>0</v>
      </c>
      <c r="K58" s="60">
        <f>IF(Data[Bookie]="","",SUMIF(LayTable[BackBook],(VLOOKUP(ROW()-3,BookieName[],2,FALSE)),LayTable[BackStake])*-1)</f>
        <v>0</v>
      </c>
      <c r="L58" s="60">
        <f>IF(Data[Bookie]="","",SUMIF(LayTable[LayBook],(VLOOKUP(ROW()-3,BookieName[],2,FALSE)),LayTable[LayLiability])*-1)</f>
        <v>0</v>
      </c>
      <c r="M58" s="60">
        <f>IF(Data[Bookie]="","",SUMIF(LayTable[BackBook],(VLOOKUP(ROW()-3,BookieName[],2,FALSE)),LayTable[WBABack]))</f>
        <v>0</v>
      </c>
      <c r="N58" s="60">
        <f>IF(Data[Bookie]="","",SUMIF(LayTable[LayBook],(VLOOKUP(ROW()-3,BookieName[],2,FALSE)),LayTable[WBALay]))</f>
        <v>0</v>
      </c>
      <c r="O58" s="60">
        <f>IF(Data[Bookie]="","",SUMIF(DWbonus[Bookie],(VLOOKUP(ROW()-3,BookieName[],2,FALSE)),DWbonus[Amount]))</f>
        <v>0</v>
      </c>
      <c r="P58" s="63">
        <f>IF(Data[Bookie]="","",SUM(Data[[#This Row],[Pending 1]:[PendingL2]]))</f>
        <v>0</v>
      </c>
      <c r="Q58" s="63">
        <f>IF(Data[Bookie]="","",SUMIFS(BetTable[Stake],BetTable[Bookie],(VLOOKUP(ROW()-3,BookieName[],2,FALSE)),BetTable[Result],""))</f>
        <v>0</v>
      </c>
      <c r="R58" s="63">
        <f>IF(Data[Bookie]="","",SUMIFS(BetTable[S2],BetTable[B2],(VLOOKUP(ROW()-3,BookieName[],2,FALSE)),BetTable[Result],""))</f>
        <v>0</v>
      </c>
      <c r="S58" s="63">
        <f>IF(Data[Bookie]="","",SUMIFS(BetTable[S3],BetTable[B3],(VLOOKUP(ROW()-3,BookieName[],2,FALSE)),BetTable[Result],""))</f>
        <v>0</v>
      </c>
      <c r="T58" s="63">
        <f>IF(Data[Bookie]="","",SUMIFS(LayTable[BackStake],LayTable[BackBook],(VLOOKUP(ROW()-3,BookieName[],2,FALSE)),LayTable[AR],""))</f>
        <v>0</v>
      </c>
      <c r="U58" s="63">
        <f>IF(Data[Bookie]="","",SUMIFS(LayTable[LayLiability],LayTable[LayBook],(VLOOKUP(ROW()-3,BookieName[],2,FALSE)),LayTable[AR],""))</f>
        <v>0</v>
      </c>
    </row>
    <row r="59" spans="1:21" x14ac:dyDescent="0.25">
      <c r="A59" s="59">
        <f t="shared" si="1"/>
        <v>56</v>
      </c>
      <c r="B59" s="60" t="str">
        <f>IFERROR(VLOOKUP(ROW()-3,BookieName[],2,FALSE),"")</f>
        <v>MatchBook</v>
      </c>
      <c r="C59" s="61">
        <f>IF(Data[Bookie]="","",SUM(Data[[#This Row],[D/W]:[Bonus and Adjustments]],))</f>
        <v>0</v>
      </c>
      <c r="D59" s="61">
        <f>IF(Data[Bookie]="","",SUMIF(DWbooks[Bookie],(VLOOKUP(ROW()-3,BookieName[],2,FALSE)),DWbooks[Amount]))</f>
        <v>0</v>
      </c>
      <c r="E59" s="59">
        <f>IF(Data[Bookie]="","",SUMIF(BetTable[Bookie],(VLOOKUP(ROW()-3,BookieName[],2,FALSE)),BetTable[Stake])*-1)</f>
        <v>0</v>
      </c>
      <c r="F59" s="59">
        <f>IF(Data[Bookie]="","",SUMIF(BetTable[B2],(VLOOKUP(ROW()-3,BookieName[],2,FALSE)),BetTable[S2])*-1)</f>
        <v>0</v>
      </c>
      <c r="G59" s="59">
        <f>IF(Data[Bookie]="","",SUMIF(BetTable[B3],(VLOOKUP(ROW()-3,BookieName[],2,FALSE)),BetTable[S3])*-1)</f>
        <v>0</v>
      </c>
      <c r="H59" s="59">
        <f>IF(Data[Bookie]="","",SUMIF(BetTable[Bookie],(VLOOKUP(ROW()-3,BookieName[],2,FALSE)),BetTable[WBA1]))</f>
        <v>0</v>
      </c>
      <c r="I59" s="59">
        <f>IF(Data[Bookie]="","",SUMIF(BetTable[B2],(VLOOKUP(ROW()-3,BookieName[],2,FALSE)),BetTable[WBA2]))</f>
        <v>0</v>
      </c>
      <c r="J59" s="59">
        <f>IF(Data[Bookie]="","",SUMIF(BetTable[B3],(VLOOKUP(ROW()-3,BookieName[],2,FALSE)),BetTable[WBA3]))</f>
        <v>0</v>
      </c>
      <c r="K59" s="60">
        <f>IF(Data[Bookie]="","",SUMIF(LayTable[BackBook],(VLOOKUP(ROW()-3,BookieName[],2,FALSE)),LayTable[BackStake])*-1)</f>
        <v>0</v>
      </c>
      <c r="L59" s="60">
        <f>IF(Data[Bookie]="","",SUMIF(LayTable[LayBook],(VLOOKUP(ROW()-3,BookieName[],2,FALSE)),LayTable[LayLiability])*-1)</f>
        <v>0</v>
      </c>
      <c r="M59" s="60">
        <f>IF(Data[Bookie]="","",SUMIF(LayTable[BackBook],(VLOOKUP(ROW()-3,BookieName[],2,FALSE)),LayTable[WBABack]))</f>
        <v>0</v>
      </c>
      <c r="N59" s="60">
        <f>IF(Data[Bookie]="","",SUMIF(LayTable[LayBook],(VLOOKUP(ROW()-3,BookieName[],2,FALSE)),LayTable[WBALay]))</f>
        <v>0</v>
      </c>
      <c r="O59" s="60">
        <f>IF(Data[Bookie]="","",SUMIF(DWbonus[Bookie],(VLOOKUP(ROW()-3,BookieName[],2,FALSE)),DWbonus[Amount]))</f>
        <v>0</v>
      </c>
      <c r="P59" s="63">
        <f>IF(Data[Bookie]="","",SUM(Data[[#This Row],[Pending 1]:[PendingL2]]))</f>
        <v>0</v>
      </c>
      <c r="Q59" s="63">
        <f>IF(Data[Bookie]="","",SUMIFS(BetTable[Stake],BetTable[Bookie],(VLOOKUP(ROW()-3,BookieName[],2,FALSE)),BetTable[Result],""))</f>
        <v>0</v>
      </c>
      <c r="R59" s="63">
        <f>IF(Data[Bookie]="","",SUMIFS(BetTable[S2],BetTable[B2],(VLOOKUP(ROW()-3,BookieName[],2,FALSE)),BetTable[Result],""))</f>
        <v>0</v>
      </c>
      <c r="S59" s="63">
        <f>IF(Data[Bookie]="","",SUMIFS(BetTable[S3],BetTable[B3],(VLOOKUP(ROW()-3,BookieName[],2,FALSE)),BetTable[Result],""))</f>
        <v>0</v>
      </c>
      <c r="T59" s="63">
        <f>IF(Data[Bookie]="","",SUMIFS(LayTable[BackStake],LayTable[BackBook],(VLOOKUP(ROW()-3,BookieName[],2,FALSE)),LayTable[AR],""))</f>
        <v>0</v>
      </c>
      <c r="U59" s="63">
        <f>IF(Data[Bookie]="","",SUMIFS(LayTable[LayLiability],LayTable[LayBook],(VLOOKUP(ROW()-3,BookieName[],2,FALSE)),LayTable[AR],""))</f>
        <v>0</v>
      </c>
    </row>
    <row r="60" spans="1:21" x14ac:dyDescent="0.25">
      <c r="A60" s="59">
        <f t="shared" si="1"/>
        <v>57</v>
      </c>
      <c r="B60" s="60" t="str">
        <f>IFERROR(VLOOKUP(ROW()-3,BookieName[],2,FALSE),"")</f>
        <v>Meridianbet</v>
      </c>
      <c r="C60" s="61">
        <f>IF(Data[Bookie]="","",SUM(Data[[#This Row],[D/W]:[Bonus and Adjustments]],))</f>
        <v>0</v>
      </c>
      <c r="D60" s="61">
        <f>IF(Data[Bookie]="","",SUMIF(DWbooks[Bookie],(VLOOKUP(ROW()-3,BookieName[],2,FALSE)),DWbooks[Amount]))</f>
        <v>0</v>
      </c>
      <c r="E60" s="59">
        <f>IF(Data[Bookie]="","",SUMIF(BetTable[Bookie],(VLOOKUP(ROW()-3,BookieName[],2,FALSE)),BetTable[Stake])*-1)</f>
        <v>0</v>
      </c>
      <c r="F60" s="59">
        <f>IF(Data[Bookie]="","",SUMIF(BetTable[B2],(VLOOKUP(ROW()-3,BookieName[],2,FALSE)),BetTable[S2])*-1)</f>
        <v>0</v>
      </c>
      <c r="G60" s="59">
        <f>IF(Data[Bookie]="","",SUMIF(BetTable[B3],(VLOOKUP(ROW()-3,BookieName[],2,FALSE)),BetTable[S3])*-1)</f>
        <v>0</v>
      </c>
      <c r="H60" s="59">
        <f>IF(Data[Bookie]="","",SUMIF(BetTable[Bookie],(VLOOKUP(ROW()-3,BookieName[],2,FALSE)),BetTable[WBA1]))</f>
        <v>0</v>
      </c>
      <c r="I60" s="59">
        <f>IF(Data[Bookie]="","",SUMIF(BetTable[B2],(VLOOKUP(ROW()-3,BookieName[],2,FALSE)),BetTable[WBA2]))</f>
        <v>0</v>
      </c>
      <c r="J60" s="59">
        <f>IF(Data[Bookie]="","",SUMIF(BetTable[B3],(VLOOKUP(ROW()-3,BookieName[],2,FALSE)),BetTable[WBA3]))</f>
        <v>0</v>
      </c>
      <c r="K60" s="60">
        <f>IF(Data[Bookie]="","",SUMIF(LayTable[BackBook],(VLOOKUP(ROW()-3,BookieName[],2,FALSE)),LayTable[BackStake])*-1)</f>
        <v>0</v>
      </c>
      <c r="L60" s="60">
        <f>IF(Data[Bookie]="","",SUMIF(LayTable[LayBook],(VLOOKUP(ROW()-3,BookieName[],2,FALSE)),LayTable[LayLiability])*-1)</f>
        <v>0</v>
      </c>
      <c r="M60" s="60">
        <f>IF(Data[Bookie]="","",SUMIF(LayTable[BackBook],(VLOOKUP(ROW()-3,BookieName[],2,FALSE)),LayTable[WBABack]))</f>
        <v>0</v>
      </c>
      <c r="N60" s="60">
        <f>IF(Data[Bookie]="","",SUMIF(LayTable[LayBook],(VLOOKUP(ROW()-3,BookieName[],2,FALSE)),LayTable[WBALay]))</f>
        <v>0</v>
      </c>
      <c r="O60" s="60">
        <f>IF(Data[Bookie]="","",SUMIF(DWbonus[Bookie],(VLOOKUP(ROW()-3,BookieName[],2,FALSE)),DWbonus[Amount]))</f>
        <v>0</v>
      </c>
      <c r="P60" s="63">
        <f>IF(Data[Bookie]="","",SUM(Data[[#This Row],[Pending 1]:[PendingL2]]))</f>
        <v>0</v>
      </c>
      <c r="Q60" s="63">
        <f>IF(Data[Bookie]="","",SUMIFS(BetTable[Stake],BetTable[Bookie],(VLOOKUP(ROW()-3,BookieName[],2,FALSE)),BetTable[Result],""))</f>
        <v>0</v>
      </c>
      <c r="R60" s="63">
        <f>IF(Data[Bookie]="","",SUMIFS(BetTable[S2],BetTable[B2],(VLOOKUP(ROW()-3,BookieName[],2,FALSE)),BetTable[Result],""))</f>
        <v>0</v>
      </c>
      <c r="S60" s="63">
        <f>IF(Data[Bookie]="","",SUMIFS(BetTable[S3],BetTable[B3],(VLOOKUP(ROW()-3,BookieName[],2,FALSE)),BetTable[Result],""))</f>
        <v>0</v>
      </c>
      <c r="T60" s="63">
        <f>IF(Data[Bookie]="","",SUMIFS(LayTable[BackStake],LayTable[BackBook],(VLOOKUP(ROW()-3,BookieName[],2,FALSE)),LayTable[AR],""))</f>
        <v>0</v>
      </c>
      <c r="U60" s="63">
        <f>IF(Data[Bookie]="","",SUMIFS(LayTable[LayLiability],LayTable[LayBook],(VLOOKUP(ROW()-3,BookieName[],2,FALSE)),LayTable[AR],""))</f>
        <v>0</v>
      </c>
    </row>
    <row r="61" spans="1:21" x14ac:dyDescent="0.25">
      <c r="A61" s="59">
        <f t="shared" si="1"/>
        <v>58</v>
      </c>
      <c r="B61" s="60" t="str">
        <f>IFERROR(VLOOKUP(ROW()-3,BookieName[],2,FALSE),"")</f>
        <v>Merrybet</v>
      </c>
      <c r="C61" s="61">
        <f>IF(Data[Bookie]="","",SUM(Data[[#This Row],[D/W]:[Bonus and Adjustments]],))</f>
        <v>0</v>
      </c>
      <c r="D61" s="61">
        <f>IF(Data[Bookie]="","",SUMIF(DWbooks[Bookie],(VLOOKUP(ROW()-3,BookieName[],2,FALSE)),DWbooks[Amount]))</f>
        <v>0</v>
      </c>
      <c r="E61" s="59">
        <f>IF(Data[Bookie]="","",SUMIF(BetTable[Bookie],(VLOOKUP(ROW()-3,BookieName[],2,FALSE)),BetTable[Stake])*-1)</f>
        <v>0</v>
      </c>
      <c r="F61" s="59">
        <f>IF(Data[Bookie]="","",SUMIF(BetTable[B2],(VLOOKUP(ROW()-3,BookieName[],2,FALSE)),BetTable[S2])*-1)</f>
        <v>0</v>
      </c>
      <c r="G61" s="59">
        <f>IF(Data[Bookie]="","",SUMIF(BetTable[B3],(VLOOKUP(ROW()-3,BookieName[],2,FALSE)),BetTable[S3])*-1)</f>
        <v>0</v>
      </c>
      <c r="H61" s="59">
        <f>IF(Data[Bookie]="","",SUMIF(BetTable[Bookie],(VLOOKUP(ROW()-3,BookieName[],2,FALSE)),BetTable[WBA1]))</f>
        <v>0</v>
      </c>
      <c r="I61" s="59">
        <f>IF(Data[Bookie]="","",SUMIF(BetTable[B2],(VLOOKUP(ROW()-3,BookieName[],2,FALSE)),BetTable[WBA2]))</f>
        <v>0</v>
      </c>
      <c r="J61" s="59">
        <f>IF(Data[Bookie]="","",SUMIF(BetTable[B3],(VLOOKUP(ROW()-3,BookieName[],2,FALSE)),BetTable[WBA3]))</f>
        <v>0</v>
      </c>
      <c r="K61" s="60">
        <f>IF(Data[Bookie]="","",SUMIF(LayTable[BackBook],(VLOOKUP(ROW()-3,BookieName[],2,FALSE)),LayTable[BackStake])*-1)</f>
        <v>0</v>
      </c>
      <c r="L61" s="60">
        <f>IF(Data[Bookie]="","",SUMIF(LayTable[LayBook],(VLOOKUP(ROW()-3,BookieName[],2,FALSE)),LayTable[LayLiability])*-1)</f>
        <v>0</v>
      </c>
      <c r="M61" s="60">
        <f>IF(Data[Bookie]="","",SUMIF(LayTable[BackBook],(VLOOKUP(ROW()-3,BookieName[],2,FALSE)),LayTable[WBABack]))</f>
        <v>0</v>
      </c>
      <c r="N61" s="60">
        <f>IF(Data[Bookie]="","",SUMIF(LayTable[LayBook],(VLOOKUP(ROW()-3,BookieName[],2,FALSE)),LayTable[WBALay]))</f>
        <v>0</v>
      </c>
      <c r="O61" s="60">
        <f>IF(Data[Bookie]="","",SUMIF(DWbonus[Bookie],(VLOOKUP(ROW()-3,BookieName[],2,FALSE)),DWbonus[Amount]))</f>
        <v>0</v>
      </c>
      <c r="P61" s="63">
        <f>IF(Data[Bookie]="","",SUM(Data[[#This Row],[Pending 1]:[PendingL2]]))</f>
        <v>0</v>
      </c>
      <c r="Q61" s="63">
        <f>IF(Data[Bookie]="","",SUMIFS(BetTable[Stake],BetTable[Bookie],(VLOOKUP(ROW()-3,BookieName[],2,FALSE)),BetTable[Result],""))</f>
        <v>0</v>
      </c>
      <c r="R61" s="63">
        <f>IF(Data[Bookie]="","",SUMIFS(BetTable[S2],BetTable[B2],(VLOOKUP(ROW()-3,BookieName[],2,FALSE)),BetTable[Result],""))</f>
        <v>0</v>
      </c>
      <c r="S61" s="63">
        <f>IF(Data[Bookie]="","",SUMIFS(BetTable[S3],BetTable[B3],(VLOOKUP(ROW()-3,BookieName[],2,FALSE)),BetTable[Result],""))</f>
        <v>0</v>
      </c>
      <c r="T61" s="63">
        <f>IF(Data[Bookie]="","",SUMIFS(LayTable[BackStake],LayTable[BackBook],(VLOOKUP(ROW()-3,BookieName[],2,FALSE)),LayTable[AR],""))</f>
        <v>0</v>
      </c>
      <c r="U61" s="63">
        <f>IF(Data[Bookie]="","",SUMIFS(LayTable[LayLiability],LayTable[LayBook],(VLOOKUP(ROW()-3,BookieName[],2,FALSE)),LayTable[AR],""))</f>
        <v>0</v>
      </c>
    </row>
    <row r="62" spans="1:21" x14ac:dyDescent="0.25">
      <c r="A62" s="59">
        <f t="shared" si="1"/>
        <v>59</v>
      </c>
      <c r="B62" s="60" t="str">
        <f>IFERROR(VLOOKUP(ROW()-3,BookieName[],2,FALSE),"")</f>
        <v>Mobilbet</v>
      </c>
      <c r="C62" s="61">
        <f>IF(Data[Bookie]="","",SUM(Data[[#This Row],[D/W]:[Bonus and Adjustments]],))</f>
        <v>0</v>
      </c>
      <c r="D62" s="61">
        <f>IF(Data[Bookie]="","",SUMIF(DWbooks[Bookie],(VLOOKUP(ROW()-3,BookieName[],2,FALSE)),DWbooks[Amount]))</f>
        <v>0</v>
      </c>
      <c r="E62" s="59">
        <f>IF(Data[Bookie]="","",SUMIF(BetTable[Bookie],(VLOOKUP(ROW()-3,BookieName[],2,FALSE)),BetTable[Stake])*-1)</f>
        <v>0</v>
      </c>
      <c r="F62" s="59">
        <f>IF(Data[Bookie]="","",SUMIF(BetTable[B2],(VLOOKUP(ROW()-3,BookieName[],2,FALSE)),BetTable[S2])*-1)</f>
        <v>0</v>
      </c>
      <c r="G62" s="59">
        <f>IF(Data[Bookie]="","",SUMIF(BetTable[B3],(VLOOKUP(ROW()-3,BookieName[],2,FALSE)),BetTable[S3])*-1)</f>
        <v>0</v>
      </c>
      <c r="H62" s="59">
        <f>IF(Data[Bookie]="","",SUMIF(BetTable[Bookie],(VLOOKUP(ROW()-3,BookieName[],2,FALSE)),BetTable[WBA1]))</f>
        <v>0</v>
      </c>
      <c r="I62" s="59">
        <f>IF(Data[Bookie]="","",SUMIF(BetTable[B2],(VLOOKUP(ROW()-3,BookieName[],2,FALSE)),BetTable[WBA2]))</f>
        <v>0</v>
      </c>
      <c r="J62" s="59">
        <f>IF(Data[Bookie]="","",SUMIF(BetTable[B3],(VLOOKUP(ROW()-3,BookieName[],2,FALSE)),BetTable[WBA3]))</f>
        <v>0</v>
      </c>
      <c r="K62" s="60">
        <f>IF(Data[Bookie]="","",SUMIF(LayTable[BackBook],(VLOOKUP(ROW()-3,BookieName[],2,FALSE)),LayTable[BackStake])*-1)</f>
        <v>0</v>
      </c>
      <c r="L62" s="60">
        <f>IF(Data[Bookie]="","",SUMIF(LayTable[LayBook],(VLOOKUP(ROW()-3,BookieName[],2,FALSE)),LayTable[LayLiability])*-1)</f>
        <v>0</v>
      </c>
      <c r="M62" s="60">
        <f>IF(Data[Bookie]="","",SUMIF(LayTable[BackBook],(VLOOKUP(ROW()-3,BookieName[],2,FALSE)),LayTable[WBABack]))</f>
        <v>0</v>
      </c>
      <c r="N62" s="60">
        <f>IF(Data[Bookie]="","",SUMIF(LayTable[LayBook],(VLOOKUP(ROW()-3,BookieName[],2,FALSE)),LayTable[WBALay]))</f>
        <v>0</v>
      </c>
      <c r="O62" s="60">
        <f>IF(Data[Bookie]="","",SUMIF(DWbonus[Bookie],(VLOOKUP(ROW()-3,BookieName[],2,FALSE)),DWbonus[Amount]))</f>
        <v>0</v>
      </c>
      <c r="P62" s="63">
        <f>IF(Data[Bookie]="","",SUM(Data[[#This Row],[Pending 1]:[PendingL2]]))</f>
        <v>0</v>
      </c>
      <c r="Q62" s="63">
        <f>IF(Data[Bookie]="","",SUMIFS(BetTable[Stake],BetTable[Bookie],(VLOOKUP(ROW()-3,BookieName[],2,FALSE)),BetTable[Result],""))</f>
        <v>0</v>
      </c>
      <c r="R62" s="63">
        <f>IF(Data[Bookie]="","",SUMIFS(BetTable[S2],BetTable[B2],(VLOOKUP(ROW()-3,BookieName[],2,FALSE)),BetTable[Result],""))</f>
        <v>0</v>
      </c>
      <c r="S62" s="63">
        <f>IF(Data[Bookie]="","",SUMIFS(BetTable[S3],BetTable[B3],(VLOOKUP(ROW()-3,BookieName[],2,FALSE)),BetTable[Result],""))</f>
        <v>0</v>
      </c>
      <c r="T62" s="63">
        <f>IF(Data[Bookie]="","",SUMIFS(LayTable[BackStake],LayTable[BackBook],(VLOOKUP(ROW()-3,BookieName[],2,FALSE)),LayTable[AR],""))</f>
        <v>0</v>
      </c>
      <c r="U62" s="63">
        <f>IF(Data[Bookie]="","",SUMIFS(LayTable[LayLiability],LayTable[LayBook],(VLOOKUP(ROW()-3,BookieName[],2,FALSE)),LayTable[AR],""))</f>
        <v>0</v>
      </c>
    </row>
    <row r="63" spans="1:21" x14ac:dyDescent="0.25">
      <c r="A63" s="59">
        <f t="shared" si="1"/>
        <v>60</v>
      </c>
      <c r="B63" s="60" t="str">
        <f>IFERROR(VLOOKUP(ROW()-3,BookieName[],2,FALSE),"")</f>
        <v>Mybet</v>
      </c>
      <c r="C63" s="61">
        <f>IF(Data[Bookie]="","",SUM(Data[[#This Row],[D/W]:[Bonus and Adjustments]],))</f>
        <v>0</v>
      </c>
      <c r="D63" s="61">
        <f>IF(Data[Bookie]="","",SUMIF(DWbooks[Bookie],(VLOOKUP(ROW()-3,BookieName[],2,FALSE)),DWbooks[Amount]))</f>
        <v>0</v>
      </c>
      <c r="E63" s="59">
        <f>IF(Data[Bookie]="","",SUMIF(BetTable[Bookie],(VLOOKUP(ROW()-3,BookieName[],2,FALSE)),BetTable[Stake])*-1)</f>
        <v>0</v>
      </c>
      <c r="F63" s="59">
        <f>IF(Data[Bookie]="","",SUMIF(BetTable[B2],(VLOOKUP(ROW()-3,BookieName[],2,FALSE)),BetTable[S2])*-1)</f>
        <v>0</v>
      </c>
      <c r="G63" s="59">
        <f>IF(Data[Bookie]="","",SUMIF(BetTable[B3],(VLOOKUP(ROW()-3,BookieName[],2,FALSE)),BetTable[S3])*-1)</f>
        <v>0</v>
      </c>
      <c r="H63" s="59">
        <f>IF(Data[Bookie]="","",SUMIF(BetTable[Bookie],(VLOOKUP(ROW()-3,BookieName[],2,FALSE)),BetTable[WBA1]))</f>
        <v>0</v>
      </c>
      <c r="I63" s="59">
        <f>IF(Data[Bookie]="","",SUMIF(BetTable[B2],(VLOOKUP(ROW()-3,BookieName[],2,FALSE)),BetTable[WBA2]))</f>
        <v>0</v>
      </c>
      <c r="J63" s="59">
        <f>IF(Data[Bookie]="","",SUMIF(BetTable[B3],(VLOOKUP(ROW()-3,BookieName[],2,FALSE)),BetTable[WBA3]))</f>
        <v>0</v>
      </c>
      <c r="K63" s="60">
        <f>IF(Data[Bookie]="","",SUMIF(LayTable[BackBook],(VLOOKUP(ROW()-3,BookieName[],2,FALSE)),LayTable[BackStake])*-1)</f>
        <v>0</v>
      </c>
      <c r="L63" s="60">
        <f>IF(Data[Bookie]="","",SUMIF(LayTable[LayBook],(VLOOKUP(ROW()-3,BookieName[],2,FALSE)),LayTable[LayLiability])*-1)</f>
        <v>0</v>
      </c>
      <c r="M63" s="60">
        <f>IF(Data[Bookie]="","",SUMIF(LayTable[BackBook],(VLOOKUP(ROW()-3,BookieName[],2,FALSE)),LayTable[WBABack]))</f>
        <v>0</v>
      </c>
      <c r="N63" s="60">
        <f>IF(Data[Bookie]="","",SUMIF(LayTable[LayBook],(VLOOKUP(ROW()-3,BookieName[],2,FALSE)),LayTable[WBALay]))</f>
        <v>0</v>
      </c>
      <c r="O63" s="60">
        <f>IF(Data[Bookie]="","",SUMIF(DWbonus[Bookie],(VLOOKUP(ROW()-3,BookieName[],2,FALSE)),DWbonus[Amount]))</f>
        <v>0</v>
      </c>
      <c r="P63" s="63">
        <f>IF(Data[Bookie]="","",SUM(Data[[#This Row],[Pending 1]:[PendingL2]]))</f>
        <v>0</v>
      </c>
      <c r="Q63" s="63">
        <f>IF(Data[Bookie]="","",SUMIFS(BetTable[Stake],BetTable[Bookie],(VLOOKUP(ROW()-3,BookieName[],2,FALSE)),BetTable[Result],""))</f>
        <v>0</v>
      </c>
      <c r="R63" s="63">
        <f>IF(Data[Bookie]="","",SUMIFS(BetTable[S2],BetTable[B2],(VLOOKUP(ROW()-3,BookieName[],2,FALSE)),BetTable[Result],""))</f>
        <v>0</v>
      </c>
      <c r="S63" s="63">
        <f>IF(Data[Bookie]="","",SUMIFS(BetTable[S3],BetTable[B3],(VLOOKUP(ROW()-3,BookieName[],2,FALSE)),BetTable[Result],""))</f>
        <v>0</v>
      </c>
      <c r="T63" s="63">
        <f>IF(Data[Bookie]="","",SUMIFS(LayTable[BackStake],LayTable[BackBook],(VLOOKUP(ROW()-3,BookieName[],2,FALSE)),LayTable[AR],""))</f>
        <v>0</v>
      </c>
      <c r="U63" s="63">
        <f>IF(Data[Bookie]="","",SUMIFS(LayTable[LayLiability],LayTable[LayBook],(VLOOKUP(ROW()-3,BookieName[],2,FALSE)),LayTable[AR],""))</f>
        <v>0</v>
      </c>
    </row>
    <row r="64" spans="1:21" x14ac:dyDescent="0.25">
      <c r="A64" s="59">
        <f t="shared" si="1"/>
        <v>61</v>
      </c>
      <c r="B64" s="60" t="str">
        <f>IFERROR(VLOOKUP(ROW()-3,BookieName[],2,FALSE),"")</f>
        <v>NairaBET</v>
      </c>
      <c r="C64" s="61">
        <f>IF(Data[Bookie]="","",SUM(Data[[#This Row],[D/W]:[Bonus and Adjustments]],))</f>
        <v>0</v>
      </c>
      <c r="D64" s="61">
        <f>IF(Data[Bookie]="","",SUMIF(DWbooks[Bookie],(VLOOKUP(ROW()-3,BookieName[],2,FALSE)),DWbooks[Amount]))</f>
        <v>0</v>
      </c>
      <c r="E64" s="59">
        <f>IF(Data[Bookie]="","",SUMIF(BetTable[Bookie],(VLOOKUP(ROW()-3,BookieName[],2,FALSE)),BetTable[Stake])*-1)</f>
        <v>0</v>
      </c>
      <c r="F64" s="59">
        <f>IF(Data[Bookie]="","",SUMIF(BetTable[B2],(VLOOKUP(ROW()-3,BookieName[],2,FALSE)),BetTable[S2])*-1)</f>
        <v>0</v>
      </c>
      <c r="G64" s="59">
        <f>IF(Data[Bookie]="","",SUMIF(BetTable[B3],(VLOOKUP(ROW()-3,BookieName[],2,FALSE)),BetTable[S3])*-1)</f>
        <v>0</v>
      </c>
      <c r="H64" s="59">
        <f>IF(Data[Bookie]="","",SUMIF(BetTable[Bookie],(VLOOKUP(ROW()-3,BookieName[],2,FALSE)),BetTable[WBA1]))</f>
        <v>0</v>
      </c>
      <c r="I64" s="59">
        <f>IF(Data[Bookie]="","",SUMIF(BetTable[B2],(VLOOKUP(ROW()-3,BookieName[],2,FALSE)),BetTable[WBA2]))</f>
        <v>0</v>
      </c>
      <c r="J64" s="59">
        <f>IF(Data[Bookie]="","",SUMIF(BetTable[B3],(VLOOKUP(ROW()-3,BookieName[],2,FALSE)),BetTable[WBA3]))</f>
        <v>0</v>
      </c>
      <c r="K64" s="60">
        <f>IF(Data[Bookie]="","",SUMIF(LayTable[BackBook],(VLOOKUP(ROW()-3,BookieName[],2,FALSE)),LayTable[BackStake])*-1)</f>
        <v>0</v>
      </c>
      <c r="L64" s="60">
        <f>IF(Data[Bookie]="","",SUMIF(LayTable[LayBook],(VLOOKUP(ROW()-3,BookieName[],2,FALSE)),LayTable[LayLiability])*-1)</f>
        <v>0</v>
      </c>
      <c r="M64" s="60">
        <f>IF(Data[Bookie]="","",SUMIF(LayTable[BackBook],(VLOOKUP(ROW()-3,BookieName[],2,FALSE)),LayTable[WBABack]))</f>
        <v>0</v>
      </c>
      <c r="N64" s="60">
        <f>IF(Data[Bookie]="","",SUMIF(LayTable[LayBook],(VLOOKUP(ROW()-3,BookieName[],2,FALSE)),LayTable[WBALay]))</f>
        <v>0</v>
      </c>
      <c r="O64" s="60">
        <f>IF(Data[Bookie]="","",SUMIF(DWbonus[Bookie],(VLOOKUP(ROW()-3,BookieName[],2,FALSE)),DWbonus[Amount]))</f>
        <v>0</v>
      </c>
      <c r="P64" s="63">
        <f>IF(Data[Bookie]="","",SUM(Data[[#This Row],[Pending 1]:[PendingL2]]))</f>
        <v>0</v>
      </c>
      <c r="Q64" s="63">
        <f>IF(Data[Bookie]="","",SUMIFS(BetTable[Stake],BetTable[Bookie],(VLOOKUP(ROW()-3,BookieName[],2,FALSE)),BetTable[Result],""))</f>
        <v>0</v>
      </c>
      <c r="R64" s="63">
        <f>IF(Data[Bookie]="","",SUMIFS(BetTable[S2],BetTable[B2],(VLOOKUP(ROW()-3,BookieName[],2,FALSE)),BetTable[Result],""))</f>
        <v>0</v>
      </c>
      <c r="S64" s="63">
        <f>IF(Data[Bookie]="","",SUMIFS(BetTable[S3],BetTable[B3],(VLOOKUP(ROW()-3,BookieName[],2,FALSE)),BetTable[Result],""))</f>
        <v>0</v>
      </c>
      <c r="T64" s="63">
        <f>IF(Data[Bookie]="","",SUMIFS(LayTable[BackStake],LayTable[BackBook],(VLOOKUP(ROW()-3,BookieName[],2,FALSE)),LayTable[AR],""))</f>
        <v>0</v>
      </c>
      <c r="U64" s="63">
        <f>IF(Data[Bookie]="","",SUMIFS(LayTable[LayLiability],LayTable[LayBook],(VLOOKUP(ROW()-3,BookieName[],2,FALSE)),LayTable[AR],""))</f>
        <v>0</v>
      </c>
    </row>
    <row r="65" spans="1:21" x14ac:dyDescent="0.25">
      <c r="A65" s="59">
        <f t="shared" si="1"/>
        <v>62</v>
      </c>
      <c r="B65" s="60" t="str">
        <f>IFERROR(VLOOKUP(ROW()-3,BookieName[],2,FALSE),"")</f>
        <v>NapoleonGames</v>
      </c>
      <c r="C65" s="61">
        <f>IF(Data[Bookie]="","",SUM(Data[[#This Row],[D/W]:[Bonus and Adjustments]],))</f>
        <v>0</v>
      </c>
      <c r="D65" s="61">
        <f>IF(Data[Bookie]="","",SUMIF(DWbooks[Bookie],(VLOOKUP(ROW()-3,BookieName[],2,FALSE)),DWbooks[Amount]))</f>
        <v>0</v>
      </c>
      <c r="E65" s="59">
        <f>IF(Data[Bookie]="","",SUMIF(BetTable[Bookie],(VLOOKUP(ROW()-3,BookieName[],2,FALSE)),BetTable[Stake])*-1)</f>
        <v>0</v>
      </c>
      <c r="F65" s="59">
        <f>IF(Data[Bookie]="","",SUMIF(BetTable[B2],(VLOOKUP(ROW()-3,BookieName[],2,FALSE)),BetTable[S2])*-1)</f>
        <v>0</v>
      </c>
      <c r="G65" s="59">
        <f>IF(Data[Bookie]="","",SUMIF(BetTable[B3],(VLOOKUP(ROW()-3,BookieName[],2,FALSE)),BetTable[S3])*-1)</f>
        <v>0</v>
      </c>
      <c r="H65" s="59">
        <f>IF(Data[Bookie]="","",SUMIF(BetTable[Bookie],(VLOOKUP(ROW()-3,BookieName[],2,FALSE)),BetTable[WBA1]))</f>
        <v>0</v>
      </c>
      <c r="I65" s="59">
        <f>IF(Data[Bookie]="","",SUMIF(BetTable[B2],(VLOOKUP(ROW()-3,BookieName[],2,FALSE)),BetTable[WBA2]))</f>
        <v>0</v>
      </c>
      <c r="J65" s="59">
        <f>IF(Data[Bookie]="","",SUMIF(BetTable[B3],(VLOOKUP(ROW()-3,BookieName[],2,FALSE)),BetTable[WBA3]))</f>
        <v>0</v>
      </c>
      <c r="K65" s="60">
        <f>IF(Data[Bookie]="","",SUMIF(LayTable[BackBook],(VLOOKUP(ROW()-3,BookieName[],2,FALSE)),LayTable[BackStake])*-1)</f>
        <v>0</v>
      </c>
      <c r="L65" s="60">
        <f>IF(Data[Bookie]="","",SUMIF(LayTable[LayBook],(VLOOKUP(ROW()-3,BookieName[],2,FALSE)),LayTable[LayLiability])*-1)</f>
        <v>0</v>
      </c>
      <c r="M65" s="60">
        <f>IF(Data[Bookie]="","",SUMIF(LayTable[BackBook],(VLOOKUP(ROW()-3,BookieName[],2,FALSE)),LayTable[WBABack]))</f>
        <v>0</v>
      </c>
      <c r="N65" s="60">
        <f>IF(Data[Bookie]="","",SUMIF(LayTable[LayBook],(VLOOKUP(ROW()-3,BookieName[],2,FALSE)),LayTable[WBALay]))</f>
        <v>0</v>
      </c>
      <c r="O65" s="60">
        <f>IF(Data[Bookie]="","",SUMIF(DWbonus[Bookie],(VLOOKUP(ROW()-3,BookieName[],2,FALSE)),DWbonus[Amount]))</f>
        <v>0</v>
      </c>
      <c r="P65" s="63">
        <f>IF(Data[Bookie]="","",SUM(Data[[#This Row],[Pending 1]:[PendingL2]]))</f>
        <v>0</v>
      </c>
      <c r="Q65" s="63">
        <f>IF(Data[Bookie]="","",SUMIFS(BetTable[Stake],BetTable[Bookie],(VLOOKUP(ROW()-3,BookieName[],2,FALSE)),BetTable[Result],""))</f>
        <v>0</v>
      </c>
      <c r="R65" s="63">
        <f>IF(Data[Bookie]="","",SUMIFS(BetTable[S2],BetTable[B2],(VLOOKUP(ROW()-3,BookieName[],2,FALSE)),BetTable[Result],""))</f>
        <v>0</v>
      </c>
      <c r="S65" s="63">
        <f>IF(Data[Bookie]="","",SUMIFS(BetTable[S3],BetTable[B3],(VLOOKUP(ROW()-3,BookieName[],2,FALSE)),BetTable[Result],""))</f>
        <v>0</v>
      </c>
      <c r="T65" s="63">
        <f>IF(Data[Bookie]="","",SUMIFS(LayTable[BackStake],LayTable[BackBook],(VLOOKUP(ROW()-3,BookieName[],2,FALSE)),LayTable[AR],""))</f>
        <v>0</v>
      </c>
      <c r="U65" s="63">
        <f>IF(Data[Bookie]="","",SUMIFS(LayTable[LayLiability],LayTable[LayBook],(VLOOKUP(ROW()-3,BookieName[],2,FALSE)),LayTable[AR],""))</f>
        <v>0</v>
      </c>
    </row>
    <row r="66" spans="1:21" x14ac:dyDescent="0.25">
      <c r="A66" s="59">
        <f t="shared" si="1"/>
        <v>63</v>
      </c>
      <c r="B66" s="60" t="str">
        <f>IFERROR(VLOOKUP(ROW()-3,BookieName[],2,FALSE),"")</f>
        <v>Netbet</v>
      </c>
      <c r="C66" s="61">
        <f>IF(Data[Bookie]="","",SUM(Data[[#This Row],[D/W]:[Bonus and Adjustments]],))</f>
        <v>0</v>
      </c>
      <c r="D66" s="61">
        <f>IF(Data[Bookie]="","",SUMIF(DWbooks[Bookie],(VLOOKUP(ROW()-3,BookieName[],2,FALSE)),DWbooks[Amount]))</f>
        <v>0</v>
      </c>
      <c r="E66" s="59">
        <f>IF(Data[Bookie]="","",SUMIF(BetTable[Bookie],(VLOOKUP(ROW()-3,BookieName[],2,FALSE)),BetTable[Stake])*-1)</f>
        <v>0</v>
      </c>
      <c r="F66" s="59">
        <f>IF(Data[Bookie]="","",SUMIF(BetTable[B2],(VLOOKUP(ROW()-3,BookieName[],2,FALSE)),BetTable[S2])*-1)</f>
        <v>0</v>
      </c>
      <c r="G66" s="59">
        <f>IF(Data[Bookie]="","",SUMIF(BetTable[B3],(VLOOKUP(ROW()-3,BookieName[],2,FALSE)),BetTable[S3])*-1)</f>
        <v>0</v>
      </c>
      <c r="H66" s="59">
        <f>IF(Data[Bookie]="","",SUMIF(BetTable[Bookie],(VLOOKUP(ROW()-3,BookieName[],2,FALSE)),BetTable[WBA1]))</f>
        <v>0</v>
      </c>
      <c r="I66" s="59">
        <f>IF(Data[Bookie]="","",SUMIF(BetTable[B2],(VLOOKUP(ROW()-3,BookieName[],2,FALSE)),BetTable[WBA2]))</f>
        <v>0</v>
      </c>
      <c r="J66" s="59">
        <f>IF(Data[Bookie]="","",SUMIF(BetTable[B3],(VLOOKUP(ROW()-3,BookieName[],2,FALSE)),BetTable[WBA3]))</f>
        <v>0</v>
      </c>
      <c r="K66" s="60">
        <f>IF(Data[Bookie]="","",SUMIF(LayTable[BackBook],(VLOOKUP(ROW()-3,BookieName[],2,FALSE)),LayTable[BackStake])*-1)</f>
        <v>0</v>
      </c>
      <c r="L66" s="60">
        <f>IF(Data[Bookie]="","",SUMIF(LayTable[LayBook],(VLOOKUP(ROW()-3,BookieName[],2,FALSE)),LayTable[LayLiability])*-1)</f>
        <v>0</v>
      </c>
      <c r="M66" s="60">
        <f>IF(Data[Bookie]="","",SUMIF(LayTable[BackBook],(VLOOKUP(ROW()-3,BookieName[],2,FALSE)),LayTable[WBABack]))</f>
        <v>0</v>
      </c>
      <c r="N66" s="60">
        <f>IF(Data[Bookie]="","",SUMIF(LayTable[LayBook],(VLOOKUP(ROW()-3,BookieName[],2,FALSE)),LayTable[WBALay]))</f>
        <v>0</v>
      </c>
      <c r="O66" s="60">
        <f>IF(Data[Bookie]="","",SUMIF(DWbonus[Bookie],(VLOOKUP(ROW()-3,BookieName[],2,FALSE)),DWbonus[Amount]))</f>
        <v>0</v>
      </c>
      <c r="P66" s="63">
        <f>IF(Data[Bookie]="","",SUM(Data[[#This Row],[Pending 1]:[PendingL2]]))</f>
        <v>0</v>
      </c>
      <c r="Q66" s="63">
        <f>IF(Data[Bookie]="","",SUMIFS(BetTable[Stake],BetTable[Bookie],(VLOOKUP(ROW()-3,BookieName[],2,FALSE)),BetTable[Result],""))</f>
        <v>0</v>
      </c>
      <c r="R66" s="63">
        <f>IF(Data[Bookie]="","",SUMIFS(BetTable[S2],BetTable[B2],(VLOOKUP(ROW()-3,BookieName[],2,FALSE)),BetTable[Result],""))</f>
        <v>0</v>
      </c>
      <c r="S66" s="63">
        <f>IF(Data[Bookie]="","",SUMIFS(BetTable[S3],BetTable[B3],(VLOOKUP(ROW()-3,BookieName[],2,FALSE)),BetTable[Result],""))</f>
        <v>0</v>
      </c>
      <c r="T66" s="63">
        <f>IF(Data[Bookie]="","",SUMIFS(LayTable[BackStake],LayTable[BackBook],(VLOOKUP(ROW()-3,BookieName[],2,FALSE)),LayTable[AR],""))</f>
        <v>0</v>
      </c>
      <c r="U66" s="63">
        <f>IF(Data[Bookie]="","",SUMIFS(LayTable[LayLiability],LayTable[LayBook],(VLOOKUP(ROW()-3,BookieName[],2,FALSE)),LayTable[AR],""))</f>
        <v>0</v>
      </c>
    </row>
    <row r="67" spans="1:21" x14ac:dyDescent="0.25">
      <c r="A67" s="59">
        <f t="shared" si="1"/>
        <v>64</v>
      </c>
      <c r="B67" s="60" t="str">
        <f>IFERROR(VLOOKUP(ROW()-3,BookieName[],2,FALSE),"")</f>
        <v>NordicBet</v>
      </c>
      <c r="C67" s="61">
        <f>IF(Data[Bookie]="","",SUM(Data[[#This Row],[D/W]:[Bonus and Adjustments]],))</f>
        <v>0</v>
      </c>
      <c r="D67" s="61">
        <f>IF(Data[Bookie]="","",SUMIF(DWbooks[Bookie],(VLOOKUP(ROW()-3,BookieName[],2,FALSE)),DWbooks[Amount]))</f>
        <v>0</v>
      </c>
      <c r="E67" s="59">
        <f>IF(Data[Bookie]="","",SUMIF(BetTable[Bookie],(VLOOKUP(ROW()-3,BookieName[],2,FALSE)),BetTable[Stake])*-1)</f>
        <v>0</v>
      </c>
      <c r="F67" s="59">
        <f>IF(Data[Bookie]="","",SUMIF(BetTable[B2],(VLOOKUP(ROW()-3,BookieName[],2,FALSE)),BetTable[S2])*-1)</f>
        <v>0</v>
      </c>
      <c r="G67" s="59">
        <f>IF(Data[Bookie]="","",SUMIF(BetTable[B3],(VLOOKUP(ROW()-3,BookieName[],2,FALSE)),BetTable[S3])*-1)</f>
        <v>0</v>
      </c>
      <c r="H67" s="59">
        <f>IF(Data[Bookie]="","",SUMIF(BetTable[Bookie],(VLOOKUP(ROW()-3,BookieName[],2,FALSE)),BetTable[WBA1]))</f>
        <v>0</v>
      </c>
      <c r="I67" s="59">
        <f>IF(Data[Bookie]="","",SUMIF(BetTable[B2],(VLOOKUP(ROW()-3,BookieName[],2,FALSE)),BetTable[WBA2]))</f>
        <v>0</v>
      </c>
      <c r="J67" s="59">
        <f>IF(Data[Bookie]="","",SUMIF(BetTable[B3],(VLOOKUP(ROW()-3,BookieName[],2,FALSE)),BetTable[WBA3]))</f>
        <v>0</v>
      </c>
      <c r="K67" s="60">
        <f>IF(Data[Bookie]="","",SUMIF(LayTable[BackBook],(VLOOKUP(ROW()-3,BookieName[],2,FALSE)),LayTable[BackStake])*-1)</f>
        <v>0</v>
      </c>
      <c r="L67" s="60">
        <f>IF(Data[Bookie]="","",SUMIF(LayTable[LayBook],(VLOOKUP(ROW()-3,BookieName[],2,FALSE)),LayTable[LayLiability])*-1)</f>
        <v>0</v>
      </c>
      <c r="M67" s="60">
        <f>IF(Data[Bookie]="","",SUMIF(LayTable[BackBook],(VLOOKUP(ROW()-3,BookieName[],2,FALSE)),LayTable[WBABack]))</f>
        <v>0</v>
      </c>
      <c r="N67" s="60">
        <f>IF(Data[Bookie]="","",SUMIF(LayTable[LayBook],(VLOOKUP(ROW()-3,BookieName[],2,FALSE)),LayTable[WBALay]))</f>
        <v>0</v>
      </c>
      <c r="O67" s="60">
        <f>IF(Data[Bookie]="","",SUMIF(DWbonus[Bookie],(VLOOKUP(ROW()-3,BookieName[],2,FALSE)),DWbonus[Amount]))</f>
        <v>0</v>
      </c>
      <c r="P67" s="63">
        <f>IF(Data[Bookie]="","",SUM(Data[[#This Row],[Pending 1]:[PendingL2]]))</f>
        <v>0</v>
      </c>
      <c r="Q67" s="63">
        <f>IF(Data[Bookie]="","",SUMIFS(BetTable[Stake],BetTable[Bookie],(VLOOKUP(ROW()-3,BookieName[],2,FALSE)),BetTable[Result],""))</f>
        <v>0</v>
      </c>
      <c r="R67" s="63">
        <f>IF(Data[Bookie]="","",SUMIFS(BetTable[S2],BetTable[B2],(VLOOKUP(ROW()-3,BookieName[],2,FALSE)),BetTable[Result],""))</f>
        <v>0</v>
      </c>
      <c r="S67" s="63">
        <f>IF(Data[Bookie]="","",SUMIFS(BetTable[S3],BetTable[B3],(VLOOKUP(ROW()-3,BookieName[],2,FALSE)),BetTable[Result],""))</f>
        <v>0</v>
      </c>
      <c r="T67" s="63">
        <f>IF(Data[Bookie]="","",SUMIFS(LayTable[BackStake],LayTable[BackBook],(VLOOKUP(ROW()-3,BookieName[],2,FALSE)),LayTable[AR],""))</f>
        <v>0</v>
      </c>
      <c r="U67" s="63">
        <f>IF(Data[Bookie]="","",SUMIFS(LayTable[LayLiability],LayTable[LayBook],(VLOOKUP(ROW()-3,BookieName[],2,FALSE)),LayTable[AR],""))</f>
        <v>0</v>
      </c>
    </row>
    <row r="68" spans="1:21" x14ac:dyDescent="0.25">
      <c r="A68" s="59">
        <f t="shared" ref="A68:A95" si="2">ROW()-3</f>
        <v>65</v>
      </c>
      <c r="B68" s="60" t="str">
        <f>IFERROR(VLOOKUP(ROW()-3,BookieName[],2,FALSE),"")</f>
        <v>Novibet</v>
      </c>
      <c r="C68" s="61">
        <f>IF(Data[Bookie]="","",SUM(Data[[#This Row],[D/W]:[Bonus and Adjustments]],))</f>
        <v>0</v>
      </c>
      <c r="D68" s="61">
        <f>IF(Data[Bookie]="","",SUMIF(DWbooks[Bookie],(VLOOKUP(ROW()-3,BookieName[],2,FALSE)),DWbooks[Amount]))</f>
        <v>0</v>
      </c>
      <c r="E68" s="59">
        <f>IF(Data[Bookie]="","",SUMIF(BetTable[Bookie],(VLOOKUP(ROW()-3,BookieName[],2,FALSE)),BetTable[Stake])*-1)</f>
        <v>0</v>
      </c>
      <c r="F68" s="59">
        <f>IF(Data[Bookie]="","",SUMIF(BetTable[B2],(VLOOKUP(ROW()-3,BookieName[],2,FALSE)),BetTable[S2])*-1)</f>
        <v>0</v>
      </c>
      <c r="G68" s="59">
        <f>IF(Data[Bookie]="","",SUMIF(BetTable[B3],(VLOOKUP(ROW()-3,BookieName[],2,FALSE)),BetTable[S3])*-1)</f>
        <v>0</v>
      </c>
      <c r="H68" s="59">
        <f>IF(Data[Bookie]="","",SUMIF(BetTable[Bookie],(VLOOKUP(ROW()-3,BookieName[],2,FALSE)),BetTable[WBA1]))</f>
        <v>0</v>
      </c>
      <c r="I68" s="59">
        <f>IF(Data[Bookie]="","",SUMIF(BetTable[B2],(VLOOKUP(ROW()-3,BookieName[],2,FALSE)),BetTable[WBA2]))</f>
        <v>0</v>
      </c>
      <c r="J68" s="59">
        <f>IF(Data[Bookie]="","",SUMIF(BetTable[B3],(VLOOKUP(ROW()-3,BookieName[],2,FALSE)),BetTable[WBA3]))</f>
        <v>0</v>
      </c>
      <c r="K68" s="60">
        <f>IF(Data[Bookie]="","",SUMIF(LayTable[BackBook],(VLOOKUP(ROW()-3,BookieName[],2,FALSE)),LayTable[BackStake])*-1)</f>
        <v>0</v>
      </c>
      <c r="L68" s="60">
        <f>IF(Data[Bookie]="","",SUMIF(LayTable[LayBook],(VLOOKUP(ROW()-3,BookieName[],2,FALSE)),LayTable[LayLiability])*-1)</f>
        <v>0</v>
      </c>
      <c r="M68" s="60">
        <f>IF(Data[Bookie]="","",SUMIF(LayTable[BackBook],(VLOOKUP(ROW()-3,BookieName[],2,FALSE)),LayTable[WBABack]))</f>
        <v>0</v>
      </c>
      <c r="N68" s="60">
        <f>IF(Data[Bookie]="","",SUMIF(LayTable[LayBook],(VLOOKUP(ROW()-3,BookieName[],2,FALSE)),LayTable[WBALay]))</f>
        <v>0</v>
      </c>
      <c r="O68" s="60">
        <f>IF(Data[Bookie]="","",SUMIF(DWbonus[Bookie],(VLOOKUP(ROW()-3,BookieName[],2,FALSE)),DWbonus[Amount]))</f>
        <v>0</v>
      </c>
      <c r="P68" s="63">
        <f>IF(Data[Bookie]="","",SUM(Data[[#This Row],[Pending 1]:[PendingL2]]))</f>
        <v>0</v>
      </c>
      <c r="Q68" s="63">
        <f>IF(Data[Bookie]="","",SUMIFS(BetTable[Stake],BetTable[Bookie],(VLOOKUP(ROW()-3,BookieName[],2,FALSE)),BetTable[Result],""))</f>
        <v>0</v>
      </c>
      <c r="R68" s="63">
        <f>IF(Data[Bookie]="","",SUMIFS(BetTable[S2],BetTable[B2],(VLOOKUP(ROW()-3,BookieName[],2,FALSE)),BetTable[Result],""))</f>
        <v>0</v>
      </c>
      <c r="S68" s="63">
        <f>IF(Data[Bookie]="","",SUMIFS(BetTable[S3],BetTable[B3],(VLOOKUP(ROW()-3,BookieName[],2,FALSE)),BetTable[Result],""))</f>
        <v>0</v>
      </c>
      <c r="T68" s="63">
        <f>IF(Data[Bookie]="","",SUMIFS(LayTable[BackStake],LayTable[BackBook],(VLOOKUP(ROW()-3,BookieName[],2,FALSE)),LayTable[AR],""))</f>
        <v>0</v>
      </c>
      <c r="U68" s="63">
        <f>IF(Data[Bookie]="","",SUMIFS(LayTable[LayLiability],LayTable[LayBook],(VLOOKUP(ROW()-3,BookieName[],2,FALSE)),LayTable[AR],""))</f>
        <v>0</v>
      </c>
    </row>
    <row r="69" spans="1:21" x14ac:dyDescent="0.25">
      <c r="A69" s="59">
        <f t="shared" si="2"/>
        <v>66</v>
      </c>
      <c r="B69" s="60" t="str">
        <f>IFERROR(VLOOKUP(ROW()-3,BookieName[],2,FALSE),"")</f>
        <v>Noxwin</v>
      </c>
      <c r="C69" s="61">
        <f>IF(Data[Bookie]="","",SUM(Data[[#This Row],[D/W]:[Bonus and Adjustments]],))</f>
        <v>0</v>
      </c>
      <c r="D69" s="61">
        <f>IF(Data[Bookie]="","",SUMIF(DWbooks[Bookie],(VLOOKUP(ROW()-3,BookieName[],2,FALSE)),DWbooks[Amount]))</f>
        <v>0</v>
      </c>
      <c r="E69" s="59">
        <f>IF(Data[Bookie]="","",SUMIF(BetTable[Bookie],(VLOOKUP(ROW()-3,BookieName[],2,FALSE)),BetTable[Stake])*-1)</f>
        <v>0</v>
      </c>
      <c r="F69" s="59">
        <f>IF(Data[Bookie]="","",SUMIF(BetTable[B2],(VLOOKUP(ROW()-3,BookieName[],2,FALSE)),BetTable[S2])*-1)</f>
        <v>0</v>
      </c>
      <c r="G69" s="59">
        <f>IF(Data[Bookie]="","",SUMIF(BetTable[B3],(VLOOKUP(ROW()-3,BookieName[],2,FALSE)),BetTable[S3])*-1)</f>
        <v>0</v>
      </c>
      <c r="H69" s="59">
        <f>IF(Data[Bookie]="","",SUMIF(BetTable[Bookie],(VLOOKUP(ROW()-3,BookieName[],2,FALSE)),BetTable[WBA1]))</f>
        <v>0</v>
      </c>
      <c r="I69" s="59">
        <f>IF(Data[Bookie]="","",SUMIF(BetTable[B2],(VLOOKUP(ROW()-3,BookieName[],2,FALSE)),BetTable[WBA2]))</f>
        <v>0</v>
      </c>
      <c r="J69" s="59">
        <f>IF(Data[Bookie]="","",SUMIF(BetTable[B3],(VLOOKUP(ROW()-3,BookieName[],2,FALSE)),BetTable[WBA3]))</f>
        <v>0</v>
      </c>
      <c r="K69" s="60">
        <f>IF(Data[Bookie]="","",SUMIF(LayTable[BackBook],(VLOOKUP(ROW()-3,BookieName[],2,FALSE)),LayTable[BackStake])*-1)</f>
        <v>0</v>
      </c>
      <c r="L69" s="60">
        <f>IF(Data[Bookie]="","",SUMIF(LayTable[LayBook],(VLOOKUP(ROW()-3,BookieName[],2,FALSE)),LayTable[LayLiability])*-1)</f>
        <v>0</v>
      </c>
      <c r="M69" s="60">
        <f>IF(Data[Bookie]="","",SUMIF(LayTable[BackBook],(VLOOKUP(ROW()-3,BookieName[],2,FALSE)),LayTable[WBABack]))</f>
        <v>0</v>
      </c>
      <c r="N69" s="60">
        <f>IF(Data[Bookie]="","",SUMIF(LayTable[LayBook],(VLOOKUP(ROW()-3,BookieName[],2,FALSE)),LayTable[WBALay]))</f>
        <v>0</v>
      </c>
      <c r="O69" s="60">
        <f>IF(Data[Bookie]="","",SUMIF(DWbonus[Bookie],(VLOOKUP(ROW()-3,BookieName[],2,FALSE)),DWbonus[Amount]))</f>
        <v>0</v>
      </c>
      <c r="P69" s="63">
        <f>IF(Data[Bookie]="","",SUM(Data[[#This Row],[Pending 1]:[PendingL2]]))</f>
        <v>0</v>
      </c>
      <c r="Q69" s="63">
        <f>IF(Data[Bookie]="","",SUMIFS(BetTable[Stake],BetTable[Bookie],(VLOOKUP(ROW()-3,BookieName[],2,FALSE)),BetTable[Result],""))</f>
        <v>0</v>
      </c>
      <c r="R69" s="63">
        <f>IF(Data[Bookie]="","",SUMIFS(BetTable[S2],BetTable[B2],(VLOOKUP(ROW()-3,BookieName[],2,FALSE)),BetTable[Result],""))</f>
        <v>0</v>
      </c>
      <c r="S69" s="63">
        <f>IF(Data[Bookie]="","",SUMIFS(BetTable[S3],BetTable[B3],(VLOOKUP(ROW()-3,BookieName[],2,FALSE)),BetTable[Result],""))</f>
        <v>0</v>
      </c>
      <c r="T69" s="63">
        <f>IF(Data[Bookie]="","",SUMIFS(LayTable[BackStake],LayTable[BackBook],(VLOOKUP(ROW()-3,BookieName[],2,FALSE)),LayTable[AR],""))</f>
        <v>0</v>
      </c>
      <c r="U69" s="63">
        <f>IF(Data[Bookie]="","",SUMIFS(LayTable[LayLiability],LayTable[LayBook],(VLOOKUP(ROW()-3,BookieName[],2,FALSE)),LayTable[AR],""))</f>
        <v>0</v>
      </c>
    </row>
    <row r="70" spans="1:21" x14ac:dyDescent="0.25">
      <c r="A70" s="59">
        <f t="shared" si="2"/>
        <v>67</v>
      </c>
      <c r="B70" s="60" t="str">
        <f>IFERROR(VLOOKUP(ROW()-3,BookieName[],2,FALSE),"")</f>
        <v>PaddyPower</v>
      </c>
      <c r="C70" s="61">
        <f>IF(Data[Bookie]="","",SUM(Data[[#This Row],[D/W]:[Bonus and Adjustments]],))</f>
        <v>0</v>
      </c>
      <c r="D70" s="61">
        <f>IF(Data[Bookie]="","",SUMIF(DWbooks[Bookie],(VLOOKUP(ROW()-3,BookieName[],2,FALSE)),DWbooks[Amount]))</f>
        <v>0</v>
      </c>
      <c r="E70" s="59">
        <f>IF(Data[Bookie]="","",SUMIF(BetTable[Bookie],(VLOOKUP(ROW()-3,BookieName[],2,FALSE)),BetTable[Stake])*-1)</f>
        <v>0</v>
      </c>
      <c r="F70" s="59">
        <f>IF(Data[Bookie]="","",SUMIF(BetTable[B2],(VLOOKUP(ROW()-3,BookieName[],2,FALSE)),BetTable[S2])*-1)</f>
        <v>0</v>
      </c>
      <c r="G70" s="59">
        <f>IF(Data[Bookie]="","",SUMIF(BetTable[B3],(VLOOKUP(ROW()-3,BookieName[],2,FALSE)),BetTable[S3])*-1)</f>
        <v>0</v>
      </c>
      <c r="H70" s="59">
        <f>IF(Data[Bookie]="","",SUMIF(BetTable[Bookie],(VLOOKUP(ROW()-3,BookieName[],2,FALSE)),BetTable[WBA1]))</f>
        <v>0</v>
      </c>
      <c r="I70" s="59">
        <f>IF(Data[Bookie]="","",SUMIF(BetTable[B2],(VLOOKUP(ROW()-3,BookieName[],2,FALSE)),BetTable[WBA2]))</f>
        <v>0</v>
      </c>
      <c r="J70" s="59">
        <f>IF(Data[Bookie]="","",SUMIF(BetTable[B3],(VLOOKUP(ROW()-3,BookieName[],2,FALSE)),BetTable[WBA3]))</f>
        <v>0</v>
      </c>
      <c r="K70" s="60">
        <f>IF(Data[Bookie]="","",SUMIF(LayTable[BackBook],(VLOOKUP(ROW()-3,BookieName[],2,FALSE)),LayTable[BackStake])*-1)</f>
        <v>0</v>
      </c>
      <c r="L70" s="60">
        <f>IF(Data[Bookie]="","",SUMIF(LayTable[LayBook],(VLOOKUP(ROW()-3,BookieName[],2,FALSE)),LayTable[LayLiability])*-1)</f>
        <v>0</v>
      </c>
      <c r="M70" s="60">
        <f>IF(Data[Bookie]="","",SUMIF(LayTable[BackBook],(VLOOKUP(ROW()-3,BookieName[],2,FALSE)),LayTable[WBABack]))</f>
        <v>0</v>
      </c>
      <c r="N70" s="60">
        <f>IF(Data[Bookie]="","",SUMIF(LayTable[LayBook],(VLOOKUP(ROW()-3,BookieName[],2,FALSE)),LayTable[WBALay]))</f>
        <v>0</v>
      </c>
      <c r="O70" s="60">
        <f>IF(Data[Bookie]="","",SUMIF(DWbonus[Bookie],(VLOOKUP(ROW()-3,BookieName[],2,FALSE)),DWbonus[Amount]))</f>
        <v>0</v>
      </c>
      <c r="P70" s="63">
        <f>IF(Data[Bookie]="","",SUM(Data[[#This Row],[Pending 1]:[PendingL2]]))</f>
        <v>0</v>
      </c>
      <c r="Q70" s="63">
        <f>IF(Data[Bookie]="","",SUMIFS(BetTable[Stake],BetTable[Bookie],(VLOOKUP(ROW()-3,BookieName[],2,FALSE)),BetTable[Result],""))</f>
        <v>0</v>
      </c>
      <c r="R70" s="63">
        <f>IF(Data[Bookie]="","",SUMIFS(BetTable[S2],BetTable[B2],(VLOOKUP(ROW()-3,BookieName[],2,FALSE)),BetTable[Result],""))</f>
        <v>0</v>
      </c>
      <c r="S70" s="63">
        <f>IF(Data[Bookie]="","",SUMIFS(BetTable[S3],BetTable[B3],(VLOOKUP(ROW()-3,BookieName[],2,FALSE)),BetTable[Result],""))</f>
        <v>0</v>
      </c>
      <c r="T70" s="63">
        <f>IF(Data[Bookie]="","",SUMIFS(LayTable[BackStake],LayTable[BackBook],(VLOOKUP(ROW()-3,BookieName[],2,FALSE)),LayTable[AR],""))</f>
        <v>0</v>
      </c>
      <c r="U70" s="63">
        <f>IF(Data[Bookie]="","",SUMIFS(LayTable[LayLiability],LayTable[LayBook],(VLOOKUP(ROW()-3,BookieName[],2,FALSE)),LayTable[AR],""))</f>
        <v>0</v>
      </c>
    </row>
    <row r="71" spans="1:21" x14ac:dyDescent="0.25">
      <c r="A71" s="59">
        <f t="shared" si="2"/>
        <v>68</v>
      </c>
      <c r="B71" s="60" t="str">
        <f>IFERROR(VLOOKUP(ROW()-3,BookieName[],2,FALSE),"")</f>
        <v>Paf</v>
      </c>
      <c r="C71" s="61">
        <f>IF(Data[Bookie]="","",SUM(Data[[#This Row],[D/W]:[Bonus and Adjustments]],))</f>
        <v>0</v>
      </c>
      <c r="D71" s="61">
        <f>IF(Data[Bookie]="","",SUMIF(DWbooks[Bookie],(VLOOKUP(ROW()-3,BookieName[],2,FALSE)),DWbooks[Amount]))</f>
        <v>0</v>
      </c>
      <c r="E71" s="59">
        <f>IF(Data[Bookie]="","",SUMIF(BetTable[Bookie],(VLOOKUP(ROW()-3,BookieName[],2,FALSE)),BetTable[Stake])*-1)</f>
        <v>0</v>
      </c>
      <c r="F71" s="59">
        <f>IF(Data[Bookie]="","",SUMIF(BetTable[B2],(VLOOKUP(ROW()-3,BookieName[],2,FALSE)),BetTable[S2])*-1)</f>
        <v>0</v>
      </c>
      <c r="G71" s="59">
        <f>IF(Data[Bookie]="","",SUMIF(BetTable[B3],(VLOOKUP(ROW()-3,BookieName[],2,FALSE)),BetTable[S3])*-1)</f>
        <v>0</v>
      </c>
      <c r="H71" s="59">
        <f>IF(Data[Bookie]="","",SUMIF(BetTable[Bookie],(VLOOKUP(ROW()-3,BookieName[],2,FALSE)),BetTable[WBA1]))</f>
        <v>0</v>
      </c>
      <c r="I71" s="59">
        <f>IF(Data[Bookie]="","",SUMIF(BetTable[B2],(VLOOKUP(ROW()-3,BookieName[],2,FALSE)),BetTable[WBA2]))</f>
        <v>0</v>
      </c>
      <c r="J71" s="59">
        <f>IF(Data[Bookie]="","",SUMIF(BetTable[B3],(VLOOKUP(ROW()-3,BookieName[],2,FALSE)),BetTable[WBA3]))</f>
        <v>0</v>
      </c>
      <c r="K71" s="60">
        <f>IF(Data[Bookie]="","",SUMIF(LayTable[BackBook],(VLOOKUP(ROW()-3,BookieName[],2,FALSE)),LayTable[BackStake])*-1)</f>
        <v>0</v>
      </c>
      <c r="L71" s="60">
        <f>IF(Data[Bookie]="","",SUMIF(LayTable[LayBook],(VLOOKUP(ROW()-3,BookieName[],2,FALSE)),LayTable[LayLiability])*-1)</f>
        <v>0</v>
      </c>
      <c r="M71" s="60">
        <f>IF(Data[Bookie]="","",SUMIF(LayTable[BackBook],(VLOOKUP(ROW()-3,BookieName[],2,FALSE)),LayTable[WBABack]))</f>
        <v>0</v>
      </c>
      <c r="N71" s="60">
        <f>IF(Data[Bookie]="","",SUMIF(LayTable[LayBook],(VLOOKUP(ROW()-3,BookieName[],2,FALSE)),LayTable[WBALay]))</f>
        <v>0</v>
      </c>
      <c r="O71" s="60">
        <f>IF(Data[Bookie]="","",SUMIF(DWbonus[Bookie],(VLOOKUP(ROW()-3,BookieName[],2,FALSE)),DWbonus[Amount]))</f>
        <v>0</v>
      </c>
      <c r="P71" s="63">
        <f>IF(Data[Bookie]="","",SUM(Data[[#This Row],[Pending 1]:[PendingL2]]))</f>
        <v>0</v>
      </c>
      <c r="Q71" s="63">
        <f>IF(Data[Bookie]="","",SUMIFS(BetTable[Stake],BetTable[Bookie],(VLOOKUP(ROW()-3,BookieName[],2,FALSE)),BetTable[Result],""))</f>
        <v>0</v>
      </c>
      <c r="R71" s="63">
        <f>IF(Data[Bookie]="","",SUMIFS(BetTable[S2],BetTable[B2],(VLOOKUP(ROW()-3,BookieName[],2,FALSE)),BetTable[Result],""))</f>
        <v>0</v>
      </c>
      <c r="S71" s="63">
        <f>IF(Data[Bookie]="","",SUMIFS(BetTable[S3],BetTable[B3],(VLOOKUP(ROW()-3,BookieName[],2,FALSE)),BetTable[Result],""))</f>
        <v>0</v>
      </c>
      <c r="T71" s="63">
        <f>IF(Data[Bookie]="","",SUMIFS(LayTable[BackStake],LayTable[BackBook],(VLOOKUP(ROW()-3,BookieName[],2,FALSE)),LayTable[AR],""))</f>
        <v>0</v>
      </c>
      <c r="U71" s="63">
        <f>IF(Data[Bookie]="","",SUMIFS(LayTable[LayLiability],LayTable[LayBook],(VLOOKUP(ROW()-3,BookieName[],2,FALSE)),LayTable[AR],""))</f>
        <v>0</v>
      </c>
    </row>
    <row r="72" spans="1:21" x14ac:dyDescent="0.25">
      <c r="A72" s="59">
        <f t="shared" si="2"/>
        <v>69</v>
      </c>
      <c r="B72" s="60" t="str">
        <f>IFERROR(VLOOKUP(ROW()-3,BookieName[],2,FALSE),"")</f>
        <v>PartyPoker</v>
      </c>
      <c r="C72" s="61">
        <f>IF(Data[Bookie]="","",SUM(Data[[#This Row],[D/W]:[Bonus and Adjustments]],))</f>
        <v>0</v>
      </c>
      <c r="D72" s="61">
        <f>IF(Data[Bookie]="","",SUMIF(DWbooks[Bookie],(VLOOKUP(ROW()-3,BookieName[],2,FALSE)),DWbooks[Amount]))</f>
        <v>0</v>
      </c>
      <c r="E72" s="59">
        <f>IF(Data[Bookie]="","",SUMIF(BetTable[Bookie],(VLOOKUP(ROW()-3,BookieName[],2,FALSE)),BetTable[Stake])*-1)</f>
        <v>0</v>
      </c>
      <c r="F72" s="59">
        <f>IF(Data[Bookie]="","",SUMIF(BetTable[B2],(VLOOKUP(ROW()-3,BookieName[],2,FALSE)),BetTable[S2])*-1)</f>
        <v>0</v>
      </c>
      <c r="G72" s="59">
        <f>IF(Data[Bookie]="","",SUMIF(BetTable[B3],(VLOOKUP(ROW()-3,BookieName[],2,FALSE)),BetTable[S3])*-1)</f>
        <v>0</v>
      </c>
      <c r="H72" s="59">
        <f>IF(Data[Bookie]="","",SUMIF(BetTable[Bookie],(VLOOKUP(ROW()-3,BookieName[],2,FALSE)),BetTable[WBA1]))</f>
        <v>0</v>
      </c>
      <c r="I72" s="59">
        <f>IF(Data[Bookie]="","",SUMIF(BetTable[B2],(VLOOKUP(ROW()-3,BookieName[],2,FALSE)),BetTable[WBA2]))</f>
        <v>0</v>
      </c>
      <c r="J72" s="59">
        <f>IF(Data[Bookie]="","",SUMIF(BetTable[B3],(VLOOKUP(ROW()-3,BookieName[],2,FALSE)),BetTable[WBA3]))</f>
        <v>0</v>
      </c>
      <c r="K72" s="60">
        <f>IF(Data[Bookie]="","",SUMIF(LayTable[BackBook],(VLOOKUP(ROW()-3,BookieName[],2,FALSE)),LayTable[BackStake])*-1)</f>
        <v>0</v>
      </c>
      <c r="L72" s="60">
        <f>IF(Data[Bookie]="","",SUMIF(LayTable[LayBook],(VLOOKUP(ROW()-3,BookieName[],2,FALSE)),LayTable[LayLiability])*-1)</f>
        <v>0</v>
      </c>
      <c r="M72" s="60">
        <f>IF(Data[Bookie]="","",SUMIF(LayTable[BackBook],(VLOOKUP(ROW()-3,BookieName[],2,FALSE)),LayTable[WBABack]))</f>
        <v>0</v>
      </c>
      <c r="N72" s="60">
        <f>IF(Data[Bookie]="","",SUMIF(LayTable[LayBook],(VLOOKUP(ROW()-3,BookieName[],2,FALSE)),LayTable[WBALay]))</f>
        <v>0</v>
      </c>
      <c r="O72" s="60">
        <f>IF(Data[Bookie]="","",SUMIF(DWbonus[Bookie],(VLOOKUP(ROW()-3,BookieName[],2,FALSE)),DWbonus[Amount]))</f>
        <v>0</v>
      </c>
      <c r="P72" s="63">
        <f>IF(Data[Bookie]="","",SUM(Data[[#This Row],[Pending 1]:[PendingL2]]))</f>
        <v>0</v>
      </c>
      <c r="Q72" s="63">
        <f>IF(Data[Bookie]="","",SUMIFS(BetTable[Stake],BetTable[Bookie],(VLOOKUP(ROW()-3,BookieName[],2,FALSE)),BetTable[Result],""))</f>
        <v>0</v>
      </c>
      <c r="R72" s="63">
        <f>IF(Data[Bookie]="","",SUMIFS(BetTable[S2],BetTable[B2],(VLOOKUP(ROW()-3,BookieName[],2,FALSE)),BetTable[Result],""))</f>
        <v>0</v>
      </c>
      <c r="S72" s="63">
        <f>IF(Data[Bookie]="","",SUMIFS(BetTable[S3],BetTable[B3],(VLOOKUP(ROW()-3,BookieName[],2,FALSE)),BetTable[Result],""))</f>
        <v>0</v>
      </c>
      <c r="T72" s="63">
        <f>IF(Data[Bookie]="","",SUMIFS(LayTable[BackStake],LayTable[BackBook],(VLOOKUP(ROW()-3,BookieName[],2,FALSE)),LayTable[AR],""))</f>
        <v>0</v>
      </c>
      <c r="U72" s="63">
        <f>IF(Data[Bookie]="","",SUMIFS(LayTable[LayLiability],LayTable[LayBook],(VLOOKUP(ROW()-3,BookieName[],2,FALSE)),LayTable[AR],""))</f>
        <v>0</v>
      </c>
    </row>
    <row r="73" spans="1:21" x14ac:dyDescent="0.25">
      <c r="A73" s="59">
        <f t="shared" si="2"/>
        <v>70</v>
      </c>
      <c r="B73" s="60" t="str">
        <f>IFERROR(VLOOKUP(ROW()-3,BookieName[],2,FALSE),"")</f>
        <v>Pinnacle</v>
      </c>
      <c r="C73" s="61">
        <f>IF(Data[Bookie]="","",SUM(Data[[#This Row],[D/W]:[Bonus and Adjustments]],))</f>
        <v>0</v>
      </c>
      <c r="D73" s="61">
        <f>IF(Data[Bookie]="","",SUMIF(DWbooks[Bookie],(VLOOKUP(ROW()-3,BookieName[],2,FALSE)),DWbooks[Amount]))</f>
        <v>0</v>
      </c>
      <c r="E73" s="59">
        <f>IF(Data[Bookie]="","",SUMIF(BetTable[Bookie],(VLOOKUP(ROW()-3,BookieName[],2,FALSE)),BetTable[Stake])*-1)</f>
        <v>0</v>
      </c>
      <c r="F73" s="59">
        <f>IF(Data[Bookie]="","",SUMIF(BetTable[B2],(VLOOKUP(ROW()-3,BookieName[],2,FALSE)),BetTable[S2])*-1)</f>
        <v>0</v>
      </c>
      <c r="G73" s="59">
        <f>IF(Data[Bookie]="","",SUMIF(BetTable[B3],(VLOOKUP(ROW()-3,BookieName[],2,FALSE)),BetTable[S3])*-1)</f>
        <v>0</v>
      </c>
      <c r="H73" s="59">
        <f>IF(Data[Bookie]="","",SUMIF(BetTable[Bookie],(VLOOKUP(ROW()-3,BookieName[],2,FALSE)),BetTable[WBA1]))</f>
        <v>0</v>
      </c>
      <c r="I73" s="59">
        <f>IF(Data[Bookie]="","",SUMIF(BetTable[B2],(VLOOKUP(ROW()-3,BookieName[],2,FALSE)),BetTable[WBA2]))</f>
        <v>0</v>
      </c>
      <c r="J73" s="59">
        <f>IF(Data[Bookie]="","",SUMIF(BetTable[B3],(VLOOKUP(ROW()-3,BookieName[],2,FALSE)),BetTable[WBA3]))</f>
        <v>0</v>
      </c>
      <c r="K73" s="60">
        <f>IF(Data[Bookie]="","",SUMIF(LayTable[BackBook],(VLOOKUP(ROW()-3,BookieName[],2,FALSE)),LayTable[BackStake])*-1)</f>
        <v>0</v>
      </c>
      <c r="L73" s="60">
        <f>IF(Data[Bookie]="","",SUMIF(LayTable[LayBook],(VLOOKUP(ROW()-3,BookieName[],2,FALSE)),LayTable[LayLiability])*-1)</f>
        <v>0</v>
      </c>
      <c r="M73" s="60">
        <f>IF(Data[Bookie]="","",SUMIF(LayTable[BackBook],(VLOOKUP(ROW()-3,BookieName[],2,FALSE)),LayTable[WBABack]))</f>
        <v>0</v>
      </c>
      <c r="N73" s="60">
        <f>IF(Data[Bookie]="","",SUMIF(LayTable[LayBook],(VLOOKUP(ROW()-3,BookieName[],2,FALSE)),LayTable[WBALay]))</f>
        <v>0</v>
      </c>
      <c r="O73" s="60">
        <f>IF(Data[Bookie]="","",SUMIF(DWbonus[Bookie],(VLOOKUP(ROW()-3,BookieName[],2,FALSE)),DWbonus[Amount]))</f>
        <v>0</v>
      </c>
      <c r="P73" s="63">
        <f>IF(Data[Bookie]="","",SUM(Data[[#This Row],[Pending 1]:[PendingL2]]))</f>
        <v>0</v>
      </c>
      <c r="Q73" s="63">
        <f>IF(Data[Bookie]="","",SUMIFS(BetTable[Stake],BetTable[Bookie],(VLOOKUP(ROW()-3,BookieName[],2,FALSE)),BetTable[Result],""))</f>
        <v>0</v>
      </c>
      <c r="R73" s="63">
        <f>IF(Data[Bookie]="","",SUMIFS(BetTable[S2],BetTable[B2],(VLOOKUP(ROW()-3,BookieName[],2,FALSE)),BetTable[Result],""))</f>
        <v>0</v>
      </c>
      <c r="S73" s="63">
        <f>IF(Data[Bookie]="","",SUMIFS(BetTable[S3],BetTable[B3],(VLOOKUP(ROW()-3,BookieName[],2,FALSE)),BetTable[Result],""))</f>
        <v>0</v>
      </c>
      <c r="T73" s="63">
        <f>IF(Data[Bookie]="","",SUMIFS(LayTable[BackStake],LayTable[BackBook],(VLOOKUP(ROW()-3,BookieName[],2,FALSE)),LayTable[AR],""))</f>
        <v>0</v>
      </c>
      <c r="U73" s="63">
        <f>IF(Data[Bookie]="","",SUMIFS(LayTable[LayLiability],LayTable[LayBook],(VLOOKUP(ROW()-3,BookieName[],2,FALSE)),LayTable[AR],""))</f>
        <v>0</v>
      </c>
    </row>
    <row r="74" spans="1:21" x14ac:dyDescent="0.25">
      <c r="A74" s="59">
        <f t="shared" si="2"/>
        <v>71</v>
      </c>
      <c r="B74" s="60" t="str">
        <f>IFERROR(VLOOKUP(ROW()-3,BookieName[],2,FALSE),"")</f>
        <v>PlanetWin365</v>
      </c>
      <c r="C74" s="61">
        <f>IF(Data[Bookie]="","",SUM(Data[[#This Row],[D/W]:[Bonus and Adjustments]],))</f>
        <v>0</v>
      </c>
      <c r="D74" s="61">
        <f>IF(Data[Bookie]="","",SUMIF(DWbooks[Bookie],(VLOOKUP(ROW()-3,BookieName[],2,FALSE)),DWbooks[Amount]))</f>
        <v>0</v>
      </c>
      <c r="E74" s="59">
        <f>IF(Data[Bookie]="","",SUMIF(BetTable[Bookie],(VLOOKUP(ROW()-3,BookieName[],2,FALSE)),BetTable[Stake])*-1)</f>
        <v>0</v>
      </c>
      <c r="F74" s="59">
        <f>IF(Data[Bookie]="","",SUMIF(BetTable[B2],(VLOOKUP(ROW()-3,BookieName[],2,FALSE)),BetTable[S2])*-1)</f>
        <v>0</v>
      </c>
      <c r="G74" s="59">
        <f>IF(Data[Bookie]="","",SUMIF(BetTable[B3],(VLOOKUP(ROW()-3,BookieName[],2,FALSE)),BetTable[S3])*-1)</f>
        <v>0</v>
      </c>
      <c r="H74" s="59">
        <f>IF(Data[Bookie]="","",SUMIF(BetTable[Bookie],(VLOOKUP(ROW()-3,BookieName[],2,FALSE)),BetTable[WBA1]))</f>
        <v>0</v>
      </c>
      <c r="I74" s="59">
        <f>IF(Data[Bookie]="","",SUMIF(BetTable[B2],(VLOOKUP(ROW()-3,BookieName[],2,FALSE)),BetTable[WBA2]))</f>
        <v>0</v>
      </c>
      <c r="J74" s="59">
        <f>IF(Data[Bookie]="","",SUMIF(BetTable[B3],(VLOOKUP(ROW()-3,BookieName[],2,FALSE)),BetTable[WBA3]))</f>
        <v>0</v>
      </c>
      <c r="K74" s="60">
        <f>IF(Data[Bookie]="","",SUMIF(LayTable[BackBook],(VLOOKUP(ROW()-3,BookieName[],2,FALSE)),LayTable[BackStake])*-1)</f>
        <v>0</v>
      </c>
      <c r="L74" s="60">
        <f>IF(Data[Bookie]="","",SUMIF(LayTable[LayBook],(VLOOKUP(ROW()-3,BookieName[],2,FALSE)),LayTable[LayLiability])*-1)</f>
        <v>0</v>
      </c>
      <c r="M74" s="60">
        <f>IF(Data[Bookie]="","",SUMIF(LayTable[BackBook],(VLOOKUP(ROW()-3,BookieName[],2,FALSE)),LayTable[WBABack]))</f>
        <v>0</v>
      </c>
      <c r="N74" s="60">
        <f>IF(Data[Bookie]="","",SUMIF(LayTable[LayBook],(VLOOKUP(ROW()-3,BookieName[],2,FALSE)),LayTable[WBALay]))</f>
        <v>0</v>
      </c>
      <c r="O74" s="60">
        <f>IF(Data[Bookie]="","",SUMIF(DWbonus[Bookie],(VLOOKUP(ROW()-3,BookieName[],2,FALSE)),DWbonus[Amount]))</f>
        <v>0</v>
      </c>
      <c r="P74" s="63">
        <f>IF(Data[Bookie]="","",SUM(Data[[#This Row],[Pending 1]:[PendingL2]]))</f>
        <v>0</v>
      </c>
      <c r="Q74" s="63">
        <f>IF(Data[Bookie]="","",SUMIFS(BetTable[Stake],BetTable[Bookie],(VLOOKUP(ROW()-3,BookieName[],2,FALSE)),BetTable[Result],""))</f>
        <v>0</v>
      </c>
      <c r="R74" s="63">
        <f>IF(Data[Bookie]="","",SUMIFS(BetTable[S2],BetTable[B2],(VLOOKUP(ROW()-3,BookieName[],2,FALSE)),BetTable[Result],""))</f>
        <v>0</v>
      </c>
      <c r="S74" s="63">
        <f>IF(Data[Bookie]="","",SUMIFS(BetTable[S3],BetTable[B3],(VLOOKUP(ROW()-3,BookieName[],2,FALSE)),BetTable[Result],""))</f>
        <v>0</v>
      </c>
      <c r="T74" s="63">
        <f>IF(Data[Bookie]="","",SUMIFS(LayTable[BackStake],LayTable[BackBook],(VLOOKUP(ROW()-3,BookieName[],2,FALSE)),LayTable[AR],""))</f>
        <v>0</v>
      </c>
      <c r="U74" s="63">
        <f>IF(Data[Bookie]="","",SUMIFS(LayTable[LayLiability],LayTable[LayBook],(VLOOKUP(ROW()-3,BookieName[],2,FALSE)),LayTable[AR],""))</f>
        <v>0</v>
      </c>
    </row>
    <row r="75" spans="1:21" x14ac:dyDescent="0.25">
      <c r="A75" s="59">
        <f t="shared" si="2"/>
        <v>72</v>
      </c>
      <c r="B75" s="60" t="str">
        <f>IFERROR(VLOOKUP(ROW()-3,BookieName[],2,FALSE),"")</f>
        <v>Rivalo</v>
      </c>
      <c r="C75" s="61">
        <f>IF(Data[Bookie]="","",SUM(Data[[#This Row],[D/W]:[Bonus and Adjustments]],))</f>
        <v>0</v>
      </c>
      <c r="D75" s="61">
        <f>IF(Data[Bookie]="","",SUMIF(DWbooks[Bookie],(VLOOKUP(ROW()-3,BookieName[],2,FALSE)),DWbooks[Amount]))</f>
        <v>0</v>
      </c>
      <c r="E75" s="59">
        <f>IF(Data[Bookie]="","",SUMIF(BetTable[Bookie],(VLOOKUP(ROW()-3,BookieName[],2,FALSE)),BetTable[Stake])*-1)</f>
        <v>0</v>
      </c>
      <c r="F75" s="59">
        <f>IF(Data[Bookie]="","",SUMIF(BetTable[B2],(VLOOKUP(ROW()-3,BookieName[],2,FALSE)),BetTable[S2])*-1)</f>
        <v>0</v>
      </c>
      <c r="G75" s="59">
        <f>IF(Data[Bookie]="","",SUMIF(BetTable[B3],(VLOOKUP(ROW()-3,BookieName[],2,FALSE)),BetTable[S3])*-1)</f>
        <v>0</v>
      </c>
      <c r="H75" s="59">
        <f>IF(Data[Bookie]="","",SUMIF(BetTable[Bookie],(VLOOKUP(ROW()-3,BookieName[],2,FALSE)),BetTable[WBA1]))</f>
        <v>0</v>
      </c>
      <c r="I75" s="59">
        <f>IF(Data[Bookie]="","",SUMIF(BetTable[B2],(VLOOKUP(ROW()-3,BookieName[],2,FALSE)),BetTable[WBA2]))</f>
        <v>0</v>
      </c>
      <c r="J75" s="59">
        <f>IF(Data[Bookie]="","",SUMIF(BetTable[B3],(VLOOKUP(ROW()-3,BookieName[],2,FALSE)),BetTable[WBA3]))</f>
        <v>0</v>
      </c>
      <c r="K75" s="60">
        <f>IF(Data[Bookie]="","",SUMIF(LayTable[BackBook],(VLOOKUP(ROW()-3,BookieName[],2,FALSE)),LayTable[BackStake])*-1)</f>
        <v>0</v>
      </c>
      <c r="L75" s="60">
        <f>IF(Data[Bookie]="","",SUMIF(LayTable[LayBook],(VLOOKUP(ROW()-3,BookieName[],2,FALSE)),LayTable[LayLiability])*-1)</f>
        <v>0</v>
      </c>
      <c r="M75" s="60">
        <f>IF(Data[Bookie]="","",SUMIF(LayTable[BackBook],(VLOOKUP(ROW()-3,BookieName[],2,FALSE)),LayTable[WBABack]))</f>
        <v>0</v>
      </c>
      <c r="N75" s="60">
        <f>IF(Data[Bookie]="","",SUMIF(LayTable[LayBook],(VLOOKUP(ROW()-3,BookieName[],2,FALSE)),LayTable[WBALay]))</f>
        <v>0</v>
      </c>
      <c r="O75" s="60">
        <f>IF(Data[Bookie]="","",SUMIF(DWbonus[Bookie],(VLOOKUP(ROW()-3,BookieName[],2,FALSE)),DWbonus[Amount]))</f>
        <v>0</v>
      </c>
      <c r="P75" s="63">
        <f>IF(Data[Bookie]="","",SUM(Data[[#This Row],[Pending 1]:[PendingL2]]))</f>
        <v>0</v>
      </c>
      <c r="Q75" s="63">
        <f>IF(Data[Bookie]="","",SUMIFS(BetTable[Stake],BetTable[Bookie],(VLOOKUP(ROW()-3,BookieName[],2,FALSE)),BetTable[Result],""))</f>
        <v>0</v>
      </c>
      <c r="R75" s="63">
        <f>IF(Data[Bookie]="","",SUMIFS(BetTable[S2],BetTable[B2],(VLOOKUP(ROW()-3,BookieName[],2,FALSE)),BetTable[Result],""))</f>
        <v>0</v>
      </c>
      <c r="S75" s="63">
        <f>IF(Data[Bookie]="","",SUMIFS(BetTable[S3],BetTable[B3],(VLOOKUP(ROW()-3,BookieName[],2,FALSE)),BetTable[Result],""))</f>
        <v>0</v>
      </c>
      <c r="T75" s="63">
        <f>IF(Data[Bookie]="","",SUMIFS(LayTable[BackStake],LayTable[BackBook],(VLOOKUP(ROW()-3,BookieName[],2,FALSE)),LayTable[AR],""))</f>
        <v>0</v>
      </c>
      <c r="U75" s="63">
        <f>IF(Data[Bookie]="","",SUMIFS(LayTable[LayLiability],LayTable[LayBook],(VLOOKUP(ROW()-3,BookieName[],2,FALSE)),LayTable[AR],""))</f>
        <v>0</v>
      </c>
    </row>
    <row r="76" spans="1:21" x14ac:dyDescent="0.25">
      <c r="A76" s="59">
        <f t="shared" si="2"/>
        <v>73</v>
      </c>
      <c r="B76" s="60" t="str">
        <f>IFERROR(VLOOKUP(ROW()-3,BookieName[],2,FALSE),"")</f>
        <v>SBO</v>
      </c>
      <c r="C76" s="61">
        <f>IF(Data[Bookie]="","",SUM(Data[[#This Row],[D/W]:[Bonus and Adjustments]],))</f>
        <v>868.94000000000233</v>
      </c>
      <c r="D76" s="61">
        <f>IF(Data[Bookie]="","",SUMIF(DWbooks[Bookie],(VLOOKUP(ROW()-3,BookieName[],2,FALSE)),DWbooks[Amount]))</f>
        <v>0</v>
      </c>
      <c r="E76" s="59">
        <f>IF(Data[Bookie]="","",SUMIF(BetTable[Bookie],(VLOOKUP(ROW()-3,BookieName[],2,FALSE)),BetTable[Stake])*-1)</f>
        <v>-18263</v>
      </c>
      <c r="F76" s="59">
        <f>IF(Data[Bookie]="","",SUMIF(BetTable[B2],(VLOOKUP(ROW()-3,BookieName[],2,FALSE)),BetTable[S2])*-1)</f>
        <v>0</v>
      </c>
      <c r="G76" s="59">
        <f>IF(Data[Bookie]="","",SUMIF(BetTable[B3],(VLOOKUP(ROW()-3,BookieName[],2,FALSE)),BetTable[S3])*-1)</f>
        <v>0</v>
      </c>
      <c r="H76" s="59">
        <f>IF(Data[Bookie]="","",SUMIF(BetTable[Bookie],(VLOOKUP(ROW()-3,BookieName[],2,FALSE)),BetTable[WBA1]))</f>
        <v>19131.940000000002</v>
      </c>
      <c r="I76" s="59">
        <f>IF(Data[Bookie]="","",SUMIF(BetTable[B2],(VLOOKUP(ROW()-3,BookieName[],2,FALSE)),BetTable[WBA2]))</f>
        <v>0</v>
      </c>
      <c r="J76" s="59">
        <f>IF(Data[Bookie]="","",SUMIF(BetTable[B3],(VLOOKUP(ROW()-3,BookieName[],2,FALSE)),BetTable[WBA3]))</f>
        <v>0</v>
      </c>
      <c r="K76" s="60">
        <f>IF(Data[Bookie]="","",SUMIF(LayTable[BackBook],(VLOOKUP(ROW()-3,BookieName[],2,FALSE)),LayTable[BackStake])*-1)</f>
        <v>0</v>
      </c>
      <c r="L76" s="60">
        <f>IF(Data[Bookie]="","",SUMIF(LayTable[LayBook],(VLOOKUP(ROW()-3,BookieName[],2,FALSE)),LayTable[LayLiability])*-1)</f>
        <v>0</v>
      </c>
      <c r="M76" s="60">
        <f>IF(Data[Bookie]="","",SUMIF(LayTable[BackBook],(VLOOKUP(ROW()-3,BookieName[],2,FALSE)),LayTable[WBABack]))</f>
        <v>0</v>
      </c>
      <c r="N76" s="60">
        <f>IF(Data[Bookie]="","",SUMIF(LayTable[LayBook],(VLOOKUP(ROW()-3,BookieName[],2,FALSE)),LayTable[WBALay]))</f>
        <v>0</v>
      </c>
      <c r="O76" s="60">
        <f>IF(Data[Bookie]="","",SUMIF(DWbonus[Bookie],(VLOOKUP(ROW()-3,BookieName[],2,FALSE)),DWbonus[Amount]))</f>
        <v>0</v>
      </c>
      <c r="P76" s="63">
        <f>IF(Data[Bookie]="","",SUM(Data[[#This Row],[Pending 1]:[PendingL2]]))</f>
        <v>0</v>
      </c>
      <c r="Q76" s="63">
        <f>IF(Data[Bookie]="","",SUMIFS(BetTable[Stake],BetTable[Bookie],(VLOOKUP(ROW()-3,BookieName[],2,FALSE)),BetTable[Result],""))</f>
        <v>0</v>
      </c>
      <c r="R76" s="63">
        <f>IF(Data[Bookie]="","",SUMIFS(BetTable[S2],BetTable[B2],(VLOOKUP(ROW()-3,BookieName[],2,FALSE)),BetTable[Result],""))</f>
        <v>0</v>
      </c>
      <c r="S76" s="63">
        <f>IF(Data[Bookie]="","",SUMIFS(BetTable[S3],BetTable[B3],(VLOOKUP(ROW()-3,BookieName[],2,FALSE)),BetTable[Result],""))</f>
        <v>0</v>
      </c>
      <c r="T76" s="63">
        <f>IF(Data[Bookie]="","",SUMIFS(LayTable[BackStake],LayTable[BackBook],(VLOOKUP(ROW()-3,BookieName[],2,FALSE)),LayTable[AR],""))</f>
        <v>0</v>
      </c>
      <c r="U76" s="63">
        <f>IF(Data[Bookie]="","",SUMIFS(LayTable[LayLiability],LayTable[LayBook],(VLOOKUP(ROW()-3,BookieName[],2,FALSE)),LayTable[AR],""))</f>
        <v>0</v>
      </c>
    </row>
    <row r="77" spans="1:21" x14ac:dyDescent="0.25">
      <c r="A77" s="59">
        <f t="shared" si="2"/>
        <v>74</v>
      </c>
      <c r="B77" s="60" t="str">
        <f>IFERROR(VLOOKUP(ROW()-3,BookieName[],2,FALSE),"")</f>
        <v>Smarkets</v>
      </c>
      <c r="C77" s="61">
        <f>IF(Data[Bookie]="","",SUM(Data[[#This Row],[D/W]:[Bonus and Adjustments]],))</f>
        <v>0</v>
      </c>
      <c r="D77" s="61">
        <f>IF(Data[Bookie]="","",SUMIF(DWbooks[Bookie],(VLOOKUP(ROW()-3,BookieName[],2,FALSE)),DWbooks[Amount]))</f>
        <v>0</v>
      </c>
      <c r="E77" s="59">
        <f>IF(Data[Bookie]="","",SUMIF(BetTable[Bookie],(VLOOKUP(ROW()-3,BookieName[],2,FALSE)),BetTable[Stake])*-1)</f>
        <v>0</v>
      </c>
      <c r="F77" s="59">
        <f>IF(Data[Bookie]="","",SUMIF(BetTable[B2],(VLOOKUP(ROW()-3,BookieName[],2,FALSE)),BetTable[S2])*-1)</f>
        <v>0</v>
      </c>
      <c r="G77" s="59">
        <f>IF(Data[Bookie]="","",SUMIF(BetTable[B3],(VLOOKUP(ROW()-3,BookieName[],2,FALSE)),BetTable[S3])*-1)</f>
        <v>0</v>
      </c>
      <c r="H77" s="59">
        <f>IF(Data[Bookie]="","",SUMIF(BetTable[Bookie],(VLOOKUP(ROW()-3,BookieName[],2,FALSE)),BetTable[WBA1]))</f>
        <v>0</v>
      </c>
      <c r="I77" s="59">
        <f>IF(Data[Bookie]="","",SUMIF(BetTable[B2],(VLOOKUP(ROW()-3,BookieName[],2,FALSE)),BetTable[WBA2]))</f>
        <v>0</v>
      </c>
      <c r="J77" s="59">
        <f>IF(Data[Bookie]="","",SUMIF(BetTable[B3],(VLOOKUP(ROW()-3,BookieName[],2,FALSE)),BetTable[WBA3]))</f>
        <v>0</v>
      </c>
      <c r="K77" s="60">
        <f>IF(Data[Bookie]="","",SUMIF(LayTable[BackBook],(VLOOKUP(ROW()-3,BookieName[],2,FALSE)),LayTable[BackStake])*-1)</f>
        <v>0</v>
      </c>
      <c r="L77" s="60">
        <f>IF(Data[Bookie]="","",SUMIF(LayTable[LayBook],(VLOOKUP(ROW()-3,BookieName[],2,FALSE)),LayTable[LayLiability])*-1)</f>
        <v>0</v>
      </c>
      <c r="M77" s="60">
        <f>IF(Data[Bookie]="","",SUMIF(LayTable[BackBook],(VLOOKUP(ROW()-3,BookieName[],2,FALSE)),LayTable[WBABack]))</f>
        <v>0</v>
      </c>
      <c r="N77" s="60">
        <f>IF(Data[Bookie]="","",SUMIF(LayTable[LayBook],(VLOOKUP(ROW()-3,BookieName[],2,FALSE)),LayTable[WBALay]))</f>
        <v>0</v>
      </c>
      <c r="O77" s="60">
        <f>IF(Data[Bookie]="","",SUMIF(DWbonus[Bookie],(VLOOKUP(ROW()-3,BookieName[],2,FALSE)),DWbonus[Amount]))</f>
        <v>0</v>
      </c>
      <c r="P77" s="63">
        <f>IF(Data[Bookie]="","",SUM(Data[[#This Row],[Pending 1]:[PendingL2]]))</f>
        <v>0</v>
      </c>
      <c r="Q77" s="63">
        <f>IF(Data[Bookie]="","",SUMIFS(BetTable[Stake],BetTable[Bookie],(VLOOKUP(ROW()-3,BookieName[],2,FALSE)),BetTable[Result],""))</f>
        <v>0</v>
      </c>
      <c r="R77" s="63">
        <f>IF(Data[Bookie]="","",SUMIFS(BetTable[S2],BetTable[B2],(VLOOKUP(ROW()-3,BookieName[],2,FALSE)),BetTable[Result],""))</f>
        <v>0</v>
      </c>
      <c r="S77" s="63">
        <f>IF(Data[Bookie]="","",SUMIFS(BetTable[S3],BetTable[B3],(VLOOKUP(ROW()-3,BookieName[],2,FALSE)),BetTable[Result],""))</f>
        <v>0</v>
      </c>
      <c r="T77" s="63">
        <f>IF(Data[Bookie]="","",SUMIFS(LayTable[BackStake],LayTable[BackBook],(VLOOKUP(ROW()-3,BookieName[],2,FALSE)),LayTable[AR],""))</f>
        <v>0</v>
      </c>
      <c r="U77" s="63">
        <f>IF(Data[Bookie]="","",SUMIFS(LayTable[LayLiability],LayTable[LayBook],(VLOOKUP(ROW()-3,BookieName[],2,FALSE)),LayTable[AR],""))</f>
        <v>0</v>
      </c>
    </row>
    <row r="78" spans="1:21" x14ac:dyDescent="0.25">
      <c r="A78" s="59">
        <f t="shared" si="2"/>
        <v>75</v>
      </c>
      <c r="B78" s="60" t="str">
        <f>IFERROR(VLOOKUP(ROW()-3,BookieName[],2,FALSE),"")</f>
        <v>Sportingbet</v>
      </c>
      <c r="C78" s="61">
        <f>IF(Data[Bookie]="","",SUM(Data[[#This Row],[D/W]:[Bonus and Adjustments]],))</f>
        <v>0</v>
      </c>
      <c r="D78" s="61">
        <f>IF(Data[Bookie]="","",SUMIF(DWbooks[Bookie],(VLOOKUP(ROW()-3,BookieName[],2,FALSE)),DWbooks[Amount]))</f>
        <v>0</v>
      </c>
      <c r="E78" s="59">
        <f>IF(Data[Bookie]="","",SUMIF(BetTable[Bookie],(VLOOKUP(ROW()-3,BookieName[],2,FALSE)),BetTable[Stake])*-1)</f>
        <v>0</v>
      </c>
      <c r="F78" s="59">
        <f>IF(Data[Bookie]="","",SUMIF(BetTable[B2],(VLOOKUP(ROW()-3,BookieName[],2,FALSE)),BetTable[S2])*-1)</f>
        <v>0</v>
      </c>
      <c r="G78" s="59">
        <f>IF(Data[Bookie]="","",SUMIF(BetTable[B3],(VLOOKUP(ROW()-3,BookieName[],2,FALSE)),BetTable[S3])*-1)</f>
        <v>0</v>
      </c>
      <c r="H78" s="59">
        <f>IF(Data[Bookie]="","",SUMIF(BetTable[Bookie],(VLOOKUP(ROW()-3,BookieName[],2,FALSE)),BetTable[WBA1]))</f>
        <v>0</v>
      </c>
      <c r="I78" s="59">
        <f>IF(Data[Bookie]="","",SUMIF(BetTable[B2],(VLOOKUP(ROW()-3,BookieName[],2,FALSE)),BetTable[WBA2]))</f>
        <v>0</v>
      </c>
      <c r="J78" s="59">
        <f>IF(Data[Bookie]="","",SUMIF(BetTable[B3],(VLOOKUP(ROW()-3,BookieName[],2,FALSE)),BetTable[WBA3]))</f>
        <v>0</v>
      </c>
      <c r="K78" s="60">
        <f>IF(Data[Bookie]="","",SUMIF(LayTable[BackBook],(VLOOKUP(ROW()-3,BookieName[],2,FALSE)),LayTable[BackStake])*-1)</f>
        <v>0</v>
      </c>
      <c r="L78" s="60">
        <f>IF(Data[Bookie]="","",SUMIF(LayTable[LayBook],(VLOOKUP(ROW()-3,BookieName[],2,FALSE)),LayTable[LayLiability])*-1)</f>
        <v>0</v>
      </c>
      <c r="M78" s="60">
        <f>IF(Data[Bookie]="","",SUMIF(LayTable[BackBook],(VLOOKUP(ROW()-3,BookieName[],2,FALSE)),LayTable[WBABack]))</f>
        <v>0</v>
      </c>
      <c r="N78" s="60">
        <f>IF(Data[Bookie]="","",SUMIF(LayTable[LayBook],(VLOOKUP(ROW()-3,BookieName[],2,FALSE)),LayTable[WBALay]))</f>
        <v>0</v>
      </c>
      <c r="O78" s="60">
        <f>IF(Data[Bookie]="","",SUMIF(DWbonus[Bookie],(VLOOKUP(ROW()-3,BookieName[],2,FALSE)),DWbonus[Amount]))</f>
        <v>0</v>
      </c>
      <c r="P78" s="63">
        <f>IF(Data[Bookie]="","",SUM(Data[[#This Row],[Pending 1]:[PendingL2]]))</f>
        <v>0</v>
      </c>
      <c r="Q78" s="63">
        <f>IF(Data[Bookie]="","",SUMIFS(BetTable[Stake],BetTable[Bookie],(VLOOKUP(ROW()-3,BookieName[],2,FALSE)),BetTable[Result],""))</f>
        <v>0</v>
      </c>
      <c r="R78" s="63">
        <f>IF(Data[Bookie]="","",SUMIFS(BetTable[S2],BetTable[B2],(VLOOKUP(ROW()-3,BookieName[],2,FALSE)),BetTable[Result],""))</f>
        <v>0</v>
      </c>
      <c r="S78" s="63">
        <f>IF(Data[Bookie]="","",SUMIFS(BetTable[S3],BetTable[B3],(VLOOKUP(ROW()-3,BookieName[],2,FALSE)),BetTable[Result],""))</f>
        <v>0</v>
      </c>
      <c r="T78" s="63">
        <f>IF(Data[Bookie]="","",SUMIFS(LayTable[BackStake],LayTable[BackBook],(VLOOKUP(ROW()-3,BookieName[],2,FALSE)),LayTable[AR],""))</f>
        <v>0</v>
      </c>
      <c r="U78" s="63">
        <f>IF(Data[Bookie]="","",SUMIFS(LayTable[LayLiability],LayTable[LayBook],(VLOOKUP(ROW()-3,BookieName[],2,FALSE)),LayTable[AR],""))</f>
        <v>0</v>
      </c>
    </row>
    <row r="79" spans="1:21" x14ac:dyDescent="0.25">
      <c r="A79" s="59">
        <f t="shared" si="2"/>
        <v>76</v>
      </c>
      <c r="B79" s="60" t="str">
        <f>IFERROR(VLOOKUP(ROW()-3,BookieName[],2,FALSE),"")</f>
        <v>Sportsbetting</v>
      </c>
      <c r="C79" s="61">
        <f>IF(Data[Bookie]="","",SUM(Data[[#This Row],[D/W]:[Bonus and Adjustments]],))</f>
        <v>0</v>
      </c>
      <c r="D79" s="61">
        <f>IF(Data[Bookie]="","",SUMIF(DWbooks[Bookie],(VLOOKUP(ROW()-3,BookieName[],2,FALSE)),DWbooks[Amount]))</f>
        <v>0</v>
      </c>
      <c r="E79" s="59">
        <f>IF(Data[Bookie]="","",SUMIF(BetTable[Bookie],(VLOOKUP(ROW()-3,BookieName[],2,FALSE)),BetTable[Stake])*-1)</f>
        <v>0</v>
      </c>
      <c r="F79" s="59">
        <f>IF(Data[Bookie]="","",SUMIF(BetTable[B2],(VLOOKUP(ROW()-3,BookieName[],2,FALSE)),BetTable[S2])*-1)</f>
        <v>0</v>
      </c>
      <c r="G79" s="59">
        <f>IF(Data[Bookie]="","",SUMIF(BetTable[B3],(VLOOKUP(ROW()-3,BookieName[],2,FALSE)),BetTable[S3])*-1)</f>
        <v>0</v>
      </c>
      <c r="H79" s="59">
        <f>IF(Data[Bookie]="","",SUMIF(BetTable[Bookie],(VLOOKUP(ROW()-3,BookieName[],2,FALSE)),BetTable[WBA1]))</f>
        <v>0</v>
      </c>
      <c r="I79" s="59">
        <f>IF(Data[Bookie]="","",SUMIF(BetTable[B2],(VLOOKUP(ROW()-3,BookieName[],2,FALSE)),BetTable[WBA2]))</f>
        <v>0</v>
      </c>
      <c r="J79" s="59">
        <f>IF(Data[Bookie]="","",SUMIF(BetTable[B3],(VLOOKUP(ROW()-3,BookieName[],2,FALSE)),BetTable[WBA3]))</f>
        <v>0</v>
      </c>
      <c r="K79" s="60">
        <f>IF(Data[Bookie]="","",SUMIF(LayTable[BackBook],(VLOOKUP(ROW()-3,BookieName[],2,FALSE)),LayTable[BackStake])*-1)</f>
        <v>0</v>
      </c>
      <c r="L79" s="60">
        <f>IF(Data[Bookie]="","",SUMIF(LayTable[LayBook],(VLOOKUP(ROW()-3,BookieName[],2,FALSE)),LayTable[LayLiability])*-1)</f>
        <v>0</v>
      </c>
      <c r="M79" s="60">
        <f>IF(Data[Bookie]="","",SUMIF(LayTable[BackBook],(VLOOKUP(ROW()-3,BookieName[],2,FALSE)),LayTable[WBABack]))</f>
        <v>0</v>
      </c>
      <c r="N79" s="60">
        <f>IF(Data[Bookie]="","",SUMIF(LayTable[LayBook],(VLOOKUP(ROW()-3,BookieName[],2,FALSE)),LayTable[WBALay]))</f>
        <v>0</v>
      </c>
      <c r="O79" s="60">
        <f>IF(Data[Bookie]="","",SUMIF(DWbonus[Bookie],(VLOOKUP(ROW()-3,BookieName[],2,FALSE)),DWbonus[Amount]))</f>
        <v>0</v>
      </c>
      <c r="P79" s="63">
        <f>IF(Data[Bookie]="","",SUM(Data[[#This Row],[Pending 1]:[PendingL2]]))</f>
        <v>0</v>
      </c>
      <c r="Q79" s="63">
        <f>IF(Data[Bookie]="","",SUMIFS(BetTable[Stake],BetTable[Bookie],(VLOOKUP(ROW()-3,BookieName[],2,FALSE)),BetTable[Result],""))</f>
        <v>0</v>
      </c>
      <c r="R79" s="63">
        <f>IF(Data[Bookie]="","",SUMIFS(BetTable[S2],BetTable[B2],(VLOOKUP(ROW()-3,BookieName[],2,FALSE)),BetTable[Result],""))</f>
        <v>0</v>
      </c>
      <c r="S79" s="63">
        <f>IF(Data[Bookie]="","",SUMIFS(BetTable[S3],BetTable[B3],(VLOOKUP(ROW()-3,BookieName[],2,FALSE)),BetTable[Result],""))</f>
        <v>0</v>
      </c>
      <c r="T79" s="63">
        <f>IF(Data[Bookie]="","",SUMIFS(LayTable[BackStake],LayTable[BackBook],(VLOOKUP(ROW()-3,BookieName[],2,FALSE)),LayTable[AR],""))</f>
        <v>0</v>
      </c>
      <c r="U79" s="63">
        <f>IF(Data[Bookie]="","",SUMIFS(LayTable[LayLiability],LayTable[LayBook],(VLOOKUP(ROW()-3,BookieName[],2,FALSE)),LayTable[AR],""))</f>
        <v>0</v>
      </c>
    </row>
    <row r="80" spans="1:21" x14ac:dyDescent="0.25">
      <c r="A80" s="59">
        <f t="shared" si="2"/>
        <v>77</v>
      </c>
      <c r="B80" s="60" t="str">
        <f>IFERROR(VLOOKUP(ROW()-3,BookieName[],2,FALSE),"")</f>
        <v>StanleybetDK</v>
      </c>
      <c r="C80" s="61">
        <f>IF(Data[Bookie]="","",SUM(Data[[#This Row],[D/W]:[Bonus and Adjustments]],))</f>
        <v>0</v>
      </c>
      <c r="D80" s="61">
        <f>IF(Data[Bookie]="","",SUMIF(DWbooks[Bookie],(VLOOKUP(ROW()-3,BookieName[],2,FALSE)),DWbooks[Amount]))</f>
        <v>0</v>
      </c>
      <c r="E80" s="59">
        <f>IF(Data[Bookie]="","",SUMIF(BetTable[Bookie],(VLOOKUP(ROW()-3,BookieName[],2,FALSE)),BetTable[Stake])*-1)</f>
        <v>0</v>
      </c>
      <c r="F80" s="59">
        <f>IF(Data[Bookie]="","",SUMIF(BetTable[B2],(VLOOKUP(ROW()-3,BookieName[],2,FALSE)),BetTable[S2])*-1)</f>
        <v>0</v>
      </c>
      <c r="G80" s="59">
        <f>IF(Data[Bookie]="","",SUMIF(BetTable[B3],(VLOOKUP(ROW()-3,BookieName[],2,FALSE)),BetTable[S3])*-1)</f>
        <v>0</v>
      </c>
      <c r="H80" s="59">
        <f>IF(Data[Bookie]="","",SUMIF(BetTable[Bookie],(VLOOKUP(ROW()-3,BookieName[],2,FALSE)),BetTable[WBA1]))</f>
        <v>0</v>
      </c>
      <c r="I80" s="59">
        <f>IF(Data[Bookie]="","",SUMIF(BetTable[B2],(VLOOKUP(ROW()-3,BookieName[],2,FALSE)),BetTable[WBA2]))</f>
        <v>0</v>
      </c>
      <c r="J80" s="59">
        <f>IF(Data[Bookie]="","",SUMIF(BetTable[B3],(VLOOKUP(ROW()-3,BookieName[],2,FALSE)),BetTable[WBA3]))</f>
        <v>0</v>
      </c>
      <c r="K80" s="60">
        <f>IF(Data[Bookie]="","",SUMIF(LayTable[BackBook],(VLOOKUP(ROW()-3,BookieName[],2,FALSE)),LayTable[BackStake])*-1)</f>
        <v>0</v>
      </c>
      <c r="L80" s="60">
        <f>IF(Data[Bookie]="","",SUMIF(LayTable[LayBook],(VLOOKUP(ROW()-3,BookieName[],2,FALSE)),LayTable[LayLiability])*-1)</f>
        <v>0</v>
      </c>
      <c r="M80" s="60">
        <f>IF(Data[Bookie]="","",SUMIF(LayTable[BackBook],(VLOOKUP(ROW()-3,BookieName[],2,FALSE)),LayTable[WBABack]))</f>
        <v>0</v>
      </c>
      <c r="N80" s="60">
        <f>IF(Data[Bookie]="","",SUMIF(LayTable[LayBook],(VLOOKUP(ROW()-3,BookieName[],2,FALSE)),LayTable[WBALay]))</f>
        <v>0</v>
      </c>
      <c r="O80" s="60">
        <f>IF(Data[Bookie]="","",SUMIF(DWbonus[Bookie],(VLOOKUP(ROW()-3,BookieName[],2,FALSE)),DWbonus[Amount]))</f>
        <v>0</v>
      </c>
      <c r="P80" s="63">
        <f>IF(Data[Bookie]="","",SUM(Data[[#This Row],[Pending 1]:[PendingL2]]))</f>
        <v>0</v>
      </c>
      <c r="Q80" s="63">
        <f>IF(Data[Bookie]="","",SUMIFS(BetTable[Stake],BetTable[Bookie],(VLOOKUP(ROW()-3,BookieName[],2,FALSE)),BetTable[Result],""))</f>
        <v>0</v>
      </c>
      <c r="R80" s="63">
        <f>IF(Data[Bookie]="","",SUMIFS(BetTable[S2],BetTable[B2],(VLOOKUP(ROW()-3,BookieName[],2,FALSE)),BetTable[Result],""))</f>
        <v>0</v>
      </c>
      <c r="S80" s="63">
        <f>IF(Data[Bookie]="","",SUMIFS(BetTable[S3],BetTable[B3],(VLOOKUP(ROW()-3,BookieName[],2,FALSE)),BetTable[Result],""))</f>
        <v>0</v>
      </c>
      <c r="T80" s="63">
        <f>IF(Data[Bookie]="","",SUMIFS(LayTable[BackStake],LayTable[BackBook],(VLOOKUP(ROW()-3,BookieName[],2,FALSE)),LayTable[AR],""))</f>
        <v>0</v>
      </c>
      <c r="U80" s="63">
        <f>IF(Data[Bookie]="","",SUMIFS(LayTable[LayLiability],LayTable[LayBook],(VLOOKUP(ROW()-3,BookieName[],2,FALSE)),LayTable[AR],""))</f>
        <v>0</v>
      </c>
    </row>
    <row r="81" spans="1:21" x14ac:dyDescent="0.25">
      <c r="A81" s="59">
        <f t="shared" si="2"/>
        <v>78</v>
      </c>
      <c r="B81" s="60" t="str">
        <f>IFERROR(VLOOKUP(ROW()-3,BookieName[],2,FALSE),"")</f>
        <v>Stoiximan</v>
      </c>
      <c r="C81" s="61">
        <f>IF(Data[Bookie]="","",SUM(Data[[#This Row],[D/W]:[Bonus and Adjustments]],))</f>
        <v>0</v>
      </c>
      <c r="D81" s="61">
        <f>IF(Data[Bookie]="","",SUMIF(DWbooks[Bookie],(VLOOKUP(ROW()-3,BookieName[],2,FALSE)),DWbooks[Amount]))</f>
        <v>0</v>
      </c>
      <c r="E81" s="59">
        <f>IF(Data[Bookie]="","",SUMIF(BetTable[Bookie],(VLOOKUP(ROW()-3,BookieName[],2,FALSE)),BetTable[Stake])*-1)</f>
        <v>0</v>
      </c>
      <c r="F81" s="59">
        <f>IF(Data[Bookie]="","",SUMIF(BetTable[B2],(VLOOKUP(ROW()-3,BookieName[],2,FALSE)),BetTable[S2])*-1)</f>
        <v>0</v>
      </c>
      <c r="G81" s="59">
        <f>IF(Data[Bookie]="","",SUMIF(BetTable[B3],(VLOOKUP(ROW()-3,BookieName[],2,FALSE)),BetTable[S3])*-1)</f>
        <v>0</v>
      </c>
      <c r="H81" s="59">
        <f>IF(Data[Bookie]="","",SUMIF(BetTable[Bookie],(VLOOKUP(ROW()-3,BookieName[],2,FALSE)),BetTable[WBA1]))</f>
        <v>0</v>
      </c>
      <c r="I81" s="59">
        <f>IF(Data[Bookie]="","",SUMIF(BetTable[B2],(VLOOKUP(ROW()-3,BookieName[],2,FALSE)),BetTable[WBA2]))</f>
        <v>0</v>
      </c>
      <c r="J81" s="59">
        <f>IF(Data[Bookie]="","",SUMIF(BetTable[B3],(VLOOKUP(ROW()-3,BookieName[],2,FALSE)),BetTable[WBA3]))</f>
        <v>0</v>
      </c>
      <c r="K81" s="60">
        <f>IF(Data[Bookie]="","",SUMIF(LayTable[BackBook],(VLOOKUP(ROW()-3,BookieName[],2,FALSE)),LayTable[BackStake])*-1)</f>
        <v>0</v>
      </c>
      <c r="L81" s="60">
        <f>IF(Data[Bookie]="","",SUMIF(LayTable[LayBook],(VLOOKUP(ROW()-3,BookieName[],2,FALSE)),LayTable[LayLiability])*-1)</f>
        <v>0</v>
      </c>
      <c r="M81" s="60">
        <f>IF(Data[Bookie]="","",SUMIF(LayTable[BackBook],(VLOOKUP(ROW()-3,BookieName[],2,FALSE)),LayTable[WBABack]))</f>
        <v>0</v>
      </c>
      <c r="N81" s="60">
        <f>IF(Data[Bookie]="","",SUMIF(LayTable[LayBook],(VLOOKUP(ROW()-3,BookieName[],2,FALSE)),LayTable[WBALay]))</f>
        <v>0</v>
      </c>
      <c r="O81" s="60">
        <f>IF(Data[Bookie]="","",SUMIF(DWbonus[Bookie],(VLOOKUP(ROW()-3,BookieName[],2,FALSE)),DWbonus[Amount]))</f>
        <v>0</v>
      </c>
      <c r="P81" s="63">
        <f>IF(Data[Bookie]="","",SUM(Data[[#This Row],[Pending 1]:[PendingL2]]))</f>
        <v>0</v>
      </c>
      <c r="Q81" s="63">
        <f>IF(Data[Bookie]="","",SUMIFS(BetTable[Stake],BetTable[Bookie],(VLOOKUP(ROW()-3,BookieName[],2,FALSE)),BetTable[Result],""))</f>
        <v>0</v>
      </c>
      <c r="R81" s="63">
        <f>IF(Data[Bookie]="","",SUMIFS(BetTable[S2],BetTable[B2],(VLOOKUP(ROW()-3,BookieName[],2,FALSE)),BetTable[Result],""))</f>
        <v>0</v>
      </c>
      <c r="S81" s="63">
        <f>IF(Data[Bookie]="","",SUMIFS(BetTable[S3],BetTable[B3],(VLOOKUP(ROW()-3,BookieName[],2,FALSE)),BetTable[Result],""))</f>
        <v>0</v>
      </c>
      <c r="T81" s="63">
        <f>IF(Data[Bookie]="","",SUMIFS(LayTable[BackStake],LayTable[BackBook],(VLOOKUP(ROW()-3,BookieName[],2,FALSE)),LayTable[AR],""))</f>
        <v>0</v>
      </c>
      <c r="U81" s="63">
        <f>IF(Data[Bookie]="","",SUMIFS(LayTable[LayLiability],LayTable[LayBook],(VLOOKUP(ROW()-3,BookieName[],2,FALSE)),LayTable[AR],""))</f>
        <v>0</v>
      </c>
    </row>
    <row r="82" spans="1:21" x14ac:dyDescent="0.25">
      <c r="A82" s="59">
        <f t="shared" si="2"/>
        <v>79</v>
      </c>
      <c r="B82" s="60" t="str">
        <f>IFERROR(VLOOKUP(ROW()-3,BookieName[],2,FALSE),"")</f>
        <v>TabAU</v>
      </c>
      <c r="C82" s="61">
        <f>IF(Data[Bookie]="","",SUM(Data[[#This Row],[D/W]:[Bonus and Adjustments]],))</f>
        <v>0</v>
      </c>
      <c r="D82" s="61">
        <f>IF(Data[Bookie]="","",SUMIF(DWbooks[Bookie],(VLOOKUP(ROW()-3,BookieName[],2,FALSE)),DWbooks[Amount]))</f>
        <v>0</v>
      </c>
      <c r="E82" s="59">
        <f>IF(Data[Bookie]="","",SUMIF(BetTable[Bookie],(VLOOKUP(ROW()-3,BookieName[],2,FALSE)),BetTable[Stake])*-1)</f>
        <v>0</v>
      </c>
      <c r="F82" s="59">
        <f>IF(Data[Bookie]="","",SUMIF(BetTable[B2],(VLOOKUP(ROW()-3,BookieName[],2,FALSE)),BetTable[S2])*-1)</f>
        <v>0</v>
      </c>
      <c r="G82" s="59">
        <f>IF(Data[Bookie]="","",SUMIF(BetTable[B3],(VLOOKUP(ROW()-3,BookieName[],2,FALSE)),BetTable[S3])*-1)</f>
        <v>0</v>
      </c>
      <c r="H82" s="59">
        <f>IF(Data[Bookie]="","",SUMIF(BetTable[Bookie],(VLOOKUP(ROW()-3,BookieName[],2,FALSE)),BetTable[WBA1]))</f>
        <v>0</v>
      </c>
      <c r="I82" s="59">
        <f>IF(Data[Bookie]="","",SUMIF(BetTable[B2],(VLOOKUP(ROW()-3,BookieName[],2,FALSE)),BetTable[WBA2]))</f>
        <v>0</v>
      </c>
      <c r="J82" s="59">
        <f>IF(Data[Bookie]="","",SUMIF(BetTable[B3],(VLOOKUP(ROW()-3,BookieName[],2,FALSE)),BetTable[WBA3]))</f>
        <v>0</v>
      </c>
      <c r="K82" s="60">
        <f>IF(Data[Bookie]="","",SUMIF(LayTable[BackBook],(VLOOKUP(ROW()-3,BookieName[],2,FALSE)),LayTable[BackStake])*-1)</f>
        <v>0</v>
      </c>
      <c r="L82" s="60">
        <f>IF(Data[Bookie]="","",SUMIF(LayTable[LayBook],(VLOOKUP(ROW()-3,BookieName[],2,FALSE)),LayTable[LayLiability])*-1)</f>
        <v>0</v>
      </c>
      <c r="M82" s="60">
        <f>IF(Data[Bookie]="","",SUMIF(LayTable[BackBook],(VLOOKUP(ROW()-3,BookieName[],2,FALSE)),LayTable[WBABack]))</f>
        <v>0</v>
      </c>
      <c r="N82" s="60">
        <f>IF(Data[Bookie]="","",SUMIF(LayTable[LayBook],(VLOOKUP(ROW()-3,BookieName[],2,FALSE)),LayTable[WBALay]))</f>
        <v>0</v>
      </c>
      <c r="O82" s="60">
        <f>IF(Data[Bookie]="","",SUMIF(DWbonus[Bookie],(VLOOKUP(ROW()-3,BookieName[],2,FALSE)),DWbonus[Amount]))</f>
        <v>0</v>
      </c>
      <c r="P82" s="63">
        <f>IF(Data[Bookie]="","",SUM(Data[[#This Row],[Pending 1]:[PendingL2]]))</f>
        <v>0</v>
      </c>
      <c r="Q82" s="63">
        <f>IF(Data[Bookie]="","",SUMIFS(BetTable[Stake],BetTable[Bookie],(VLOOKUP(ROW()-3,BookieName[],2,FALSE)),BetTable[Result],""))</f>
        <v>0</v>
      </c>
      <c r="R82" s="63">
        <f>IF(Data[Bookie]="","",SUMIFS(BetTable[S2],BetTable[B2],(VLOOKUP(ROW()-3,BookieName[],2,FALSE)),BetTable[Result],""))</f>
        <v>0</v>
      </c>
      <c r="S82" s="63">
        <f>IF(Data[Bookie]="","",SUMIFS(BetTable[S3],BetTable[B3],(VLOOKUP(ROW()-3,BookieName[],2,FALSE)),BetTable[Result],""))</f>
        <v>0</v>
      </c>
      <c r="T82" s="63">
        <f>IF(Data[Bookie]="","",SUMIFS(LayTable[BackStake],LayTable[BackBook],(VLOOKUP(ROW()-3,BookieName[],2,FALSE)),LayTable[AR],""))</f>
        <v>0</v>
      </c>
      <c r="U82" s="63">
        <f>IF(Data[Bookie]="","",SUMIFS(LayTable[LayLiability],LayTable[LayBook],(VLOOKUP(ROW()-3,BookieName[],2,FALSE)),LayTable[AR],""))</f>
        <v>0</v>
      </c>
    </row>
    <row r="83" spans="1:21" x14ac:dyDescent="0.25">
      <c r="A83" s="59">
        <f t="shared" si="2"/>
        <v>80</v>
      </c>
      <c r="B83" s="60" t="str">
        <f>IFERROR(VLOOKUP(ROW()-3,BookieName[],2,FALSE),"")</f>
        <v>Tatts</v>
      </c>
      <c r="C83" s="61">
        <f>IF(Data[Bookie]="","",SUM(Data[[#This Row],[D/W]:[Bonus and Adjustments]],))</f>
        <v>0</v>
      </c>
      <c r="D83" s="61">
        <f>IF(Data[Bookie]="","",SUMIF(DWbooks[Bookie],(VLOOKUP(ROW()-3,BookieName[],2,FALSE)),DWbooks[Amount]))</f>
        <v>0</v>
      </c>
      <c r="E83" s="59">
        <f>IF(Data[Bookie]="","",SUMIF(BetTable[Bookie],(VLOOKUP(ROW()-3,BookieName[],2,FALSE)),BetTable[Stake])*-1)</f>
        <v>0</v>
      </c>
      <c r="F83" s="59">
        <f>IF(Data[Bookie]="","",SUMIF(BetTable[B2],(VLOOKUP(ROW()-3,BookieName[],2,FALSE)),BetTable[S2])*-1)</f>
        <v>0</v>
      </c>
      <c r="G83" s="59">
        <f>IF(Data[Bookie]="","",SUMIF(BetTable[B3],(VLOOKUP(ROW()-3,BookieName[],2,FALSE)),BetTable[S3])*-1)</f>
        <v>0</v>
      </c>
      <c r="H83" s="59">
        <f>IF(Data[Bookie]="","",SUMIF(BetTable[Bookie],(VLOOKUP(ROW()-3,BookieName[],2,FALSE)),BetTable[WBA1]))</f>
        <v>0</v>
      </c>
      <c r="I83" s="59">
        <f>IF(Data[Bookie]="","",SUMIF(BetTable[B2],(VLOOKUP(ROW()-3,BookieName[],2,FALSE)),BetTable[WBA2]))</f>
        <v>0</v>
      </c>
      <c r="J83" s="59">
        <f>IF(Data[Bookie]="","",SUMIF(BetTable[B3],(VLOOKUP(ROW()-3,BookieName[],2,FALSE)),BetTable[WBA3]))</f>
        <v>0</v>
      </c>
      <c r="K83" s="60">
        <f>IF(Data[Bookie]="","",SUMIF(LayTable[BackBook],(VLOOKUP(ROW()-3,BookieName[],2,FALSE)),LayTable[BackStake])*-1)</f>
        <v>0</v>
      </c>
      <c r="L83" s="60">
        <f>IF(Data[Bookie]="","",SUMIF(LayTable[LayBook],(VLOOKUP(ROW()-3,BookieName[],2,FALSE)),LayTable[LayLiability])*-1)</f>
        <v>0</v>
      </c>
      <c r="M83" s="60">
        <f>IF(Data[Bookie]="","",SUMIF(LayTable[BackBook],(VLOOKUP(ROW()-3,BookieName[],2,FALSE)),LayTable[WBABack]))</f>
        <v>0</v>
      </c>
      <c r="N83" s="60">
        <f>IF(Data[Bookie]="","",SUMIF(LayTable[LayBook],(VLOOKUP(ROW()-3,BookieName[],2,FALSE)),LayTable[WBALay]))</f>
        <v>0</v>
      </c>
      <c r="O83" s="60">
        <f>IF(Data[Bookie]="","",SUMIF(DWbonus[Bookie],(VLOOKUP(ROW()-3,BookieName[],2,FALSE)),DWbonus[Amount]))</f>
        <v>0</v>
      </c>
      <c r="P83" s="63">
        <f>IF(Data[Bookie]="","",SUM(Data[[#This Row],[Pending 1]:[PendingL2]]))</f>
        <v>0</v>
      </c>
      <c r="Q83" s="63">
        <f>IF(Data[Bookie]="","",SUMIFS(BetTable[Stake],BetTable[Bookie],(VLOOKUP(ROW()-3,BookieName[],2,FALSE)),BetTable[Result],""))</f>
        <v>0</v>
      </c>
      <c r="R83" s="63">
        <f>IF(Data[Bookie]="","",SUMIFS(BetTable[S2],BetTable[B2],(VLOOKUP(ROW()-3,BookieName[],2,FALSE)),BetTable[Result],""))</f>
        <v>0</v>
      </c>
      <c r="S83" s="63">
        <f>IF(Data[Bookie]="","",SUMIFS(BetTable[S3],BetTable[B3],(VLOOKUP(ROW()-3,BookieName[],2,FALSE)),BetTable[Result],""))</f>
        <v>0</v>
      </c>
      <c r="T83" s="63">
        <f>IF(Data[Bookie]="","",SUMIFS(LayTable[BackStake],LayTable[BackBook],(VLOOKUP(ROW()-3,BookieName[],2,FALSE)),LayTable[AR],""))</f>
        <v>0</v>
      </c>
      <c r="U83" s="63">
        <f>IF(Data[Bookie]="","",SUMIFS(LayTable[LayLiability],LayTable[LayBook],(VLOOKUP(ROW()-3,BookieName[],2,FALSE)),LayTable[AR],""))</f>
        <v>0</v>
      </c>
    </row>
    <row r="84" spans="1:21" x14ac:dyDescent="0.25">
      <c r="A84" s="59">
        <f t="shared" si="2"/>
        <v>81</v>
      </c>
      <c r="B84" s="60" t="str">
        <f>IFERROR(VLOOKUP(ROW()-3,BookieName[],2,FALSE),"")</f>
        <v>TheGreek</v>
      </c>
      <c r="C84" s="61">
        <f>IF(Data[Bookie]="","",SUM(Data[[#This Row],[D/W]:[Bonus and Adjustments]],))</f>
        <v>0</v>
      </c>
      <c r="D84" s="61">
        <f>IF(Data[Bookie]="","",SUMIF(DWbooks[Bookie],(VLOOKUP(ROW()-3,BookieName[],2,FALSE)),DWbooks[Amount]))</f>
        <v>0</v>
      </c>
      <c r="E84" s="59">
        <f>IF(Data[Bookie]="","",SUMIF(BetTable[Bookie],(VLOOKUP(ROW()-3,BookieName[],2,FALSE)),BetTable[Stake])*-1)</f>
        <v>0</v>
      </c>
      <c r="F84" s="59">
        <f>IF(Data[Bookie]="","",SUMIF(BetTable[B2],(VLOOKUP(ROW()-3,BookieName[],2,FALSE)),BetTable[S2])*-1)</f>
        <v>0</v>
      </c>
      <c r="G84" s="59">
        <f>IF(Data[Bookie]="","",SUMIF(BetTable[B3],(VLOOKUP(ROW()-3,BookieName[],2,FALSE)),BetTable[S3])*-1)</f>
        <v>0</v>
      </c>
      <c r="H84" s="59">
        <f>IF(Data[Bookie]="","",SUMIF(BetTable[Bookie],(VLOOKUP(ROW()-3,BookieName[],2,FALSE)),BetTable[WBA1]))</f>
        <v>0</v>
      </c>
      <c r="I84" s="59">
        <f>IF(Data[Bookie]="","",SUMIF(BetTable[B2],(VLOOKUP(ROW()-3,BookieName[],2,FALSE)),BetTable[WBA2]))</f>
        <v>0</v>
      </c>
      <c r="J84" s="59">
        <f>IF(Data[Bookie]="","",SUMIF(BetTable[B3],(VLOOKUP(ROW()-3,BookieName[],2,FALSE)),BetTable[WBA3]))</f>
        <v>0</v>
      </c>
      <c r="K84" s="60">
        <f>IF(Data[Bookie]="","",SUMIF(LayTable[BackBook],(VLOOKUP(ROW()-3,BookieName[],2,FALSE)),LayTable[BackStake])*-1)</f>
        <v>0</v>
      </c>
      <c r="L84" s="60">
        <f>IF(Data[Bookie]="","",SUMIF(LayTable[LayBook],(VLOOKUP(ROW()-3,BookieName[],2,FALSE)),LayTable[LayLiability])*-1)</f>
        <v>0</v>
      </c>
      <c r="M84" s="60">
        <f>IF(Data[Bookie]="","",SUMIF(LayTable[BackBook],(VLOOKUP(ROW()-3,BookieName[],2,FALSE)),LayTable[WBABack]))</f>
        <v>0</v>
      </c>
      <c r="N84" s="60">
        <f>IF(Data[Bookie]="","",SUMIF(LayTable[LayBook],(VLOOKUP(ROW()-3,BookieName[],2,FALSE)),LayTable[WBALay]))</f>
        <v>0</v>
      </c>
      <c r="O84" s="60">
        <f>IF(Data[Bookie]="","",SUMIF(DWbonus[Bookie],(VLOOKUP(ROW()-3,BookieName[],2,FALSE)),DWbonus[Amount]))</f>
        <v>0</v>
      </c>
      <c r="P84" s="63">
        <f>IF(Data[Bookie]="","",SUM(Data[[#This Row],[Pending 1]:[PendingL2]]))</f>
        <v>0</v>
      </c>
      <c r="Q84" s="63">
        <f>IF(Data[Bookie]="","",SUMIFS(BetTable[Stake],BetTable[Bookie],(VLOOKUP(ROW()-3,BookieName[],2,FALSE)),BetTable[Result],""))</f>
        <v>0</v>
      </c>
      <c r="R84" s="63">
        <f>IF(Data[Bookie]="","",SUMIFS(BetTable[S2],BetTable[B2],(VLOOKUP(ROW()-3,BookieName[],2,FALSE)),BetTable[Result],""))</f>
        <v>0</v>
      </c>
      <c r="S84" s="63">
        <f>IF(Data[Bookie]="","",SUMIFS(BetTable[S3],BetTable[B3],(VLOOKUP(ROW()-3,BookieName[],2,FALSE)),BetTable[Result],""))</f>
        <v>0</v>
      </c>
      <c r="T84" s="63">
        <f>IF(Data[Bookie]="","",SUMIFS(LayTable[BackStake],LayTable[BackBook],(VLOOKUP(ROW()-3,BookieName[],2,FALSE)),LayTable[AR],""))</f>
        <v>0</v>
      </c>
      <c r="U84" s="63">
        <f>IF(Data[Bookie]="","",SUMIFS(LayTable[LayLiability],LayTable[LayBook],(VLOOKUP(ROW()-3,BookieName[],2,FALSE)),LayTable[AR],""))</f>
        <v>0</v>
      </c>
    </row>
    <row r="85" spans="1:21" x14ac:dyDescent="0.25">
      <c r="A85" s="59">
        <f t="shared" si="2"/>
        <v>82</v>
      </c>
      <c r="B85" s="60" t="str">
        <f>IFERROR(VLOOKUP(ROW()-3,BookieName[],2,FALSE),"")</f>
        <v>Tipico</v>
      </c>
      <c r="C85" s="61">
        <f>IF(Data[Bookie]="","",SUM(Data[[#This Row],[D/W]:[Bonus and Adjustments]],))</f>
        <v>0</v>
      </c>
      <c r="D85" s="61">
        <f>IF(Data[Bookie]="","",SUMIF(DWbooks[Bookie],(VLOOKUP(ROW()-3,BookieName[],2,FALSE)),DWbooks[Amount]))</f>
        <v>0</v>
      </c>
      <c r="E85" s="59">
        <f>IF(Data[Bookie]="","",SUMIF(BetTable[Bookie],(VLOOKUP(ROW()-3,BookieName[],2,FALSE)),BetTable[Stake])*-1)</f>
        <v>0</v>
      </c>
      <c r="F85" s="59">
        <f>IF(Data[Bookie]="","",SUMIF(BetTable[B2],(VLOOKUP(ROW()-3,BookieName[],2,FALSE)),BetTable[S2])*-1)</f>
        <v>0</v>
      </c>
      <c r="G85" s="59">
        <f>IF(Data[Bookie]="","",SUMIF(BetTable[B3],(VLOOKUP(ROW()-3,BookieName[],2,FALSE)),BetTable[S3])*-1)</f>
        <v>0</v>
      </c>
      <c r="H85" s="59">
        <f>IF(Data[Bookie]="","",SUMIF(BetTable[Bookie],(VLOOKUP(ROW()-3,BookieName[],2,FALSE)),BetTable[WBA1]))</f>
        <v>0</v>
      </c>
      <c r="I85" s="59">
        <f>IF(Data[Bookie]="","",SUMIF(BetTable[B2],(VLOOKUP(ROW()-3,BookieName[],2,FALSE)),BetTable[WBA2]))</f>
        <v>0</v>
      </c>
      <c r="J85" s="59">
        <f>IF(Data[Bookie]="","",SUMIF(BetTable[B3],(VLOOKUP(ROW()-3,BookieName[],2,FALSE)),BetTable[WBA3]))</f>
        <v>0</v>
      </c>
      <c r="K85" s="60">
        <f>IF(Data[Bookie]="","",SUMIF(LayTable[BackBook],(VLOOKUP(ROW()-3,BookieName[],2,FALSE)),LayTable[BackStake])*-1)</f>
        <v>0</v>
      </c>
      <c r="L85" s="60">
        <f>IF(Data[Bookie]="","",SUMIF(LayTable[LayBook],(VLOOKUP(ROW()-3,BookieName[],2,FALSE)),LayTable[LayLiability])*-1)</f>
        <v>0</v>
      </c>
      <c r="M85" s="60">
        <f>IF(Data[Bookie]="","",SUMIF(LayTable[BackBook],(VLOOKUP(ROW()-3,BookieName[],2,FALSE)),LayTable[WBABack]))</f>
        <v>0</v>
      </c>
      <c r="N85" s="60">
        <f>IF(Data[Bookie]="","",SUMIF(LayTable[LayBook],(VLOOKUP(ROW()-3,BookieName[],2,FALSE)),LayTable[WBALay]))</f>
        <v>0</v>
      </c>
      <c r="O85" s="60">
        <f>IF(Data[Bookie]="","",SUMIF(DWbonus[Bookie],(VLOOKUP(ROW()-3,BookieName[],2,FALSE)),DWbonus[Amount]))</f>
        <v>0</v>
      </c>
      <c r="P85" s="63">
        <f>IF(Data[Bookie]="","",SUM(Data[[#This Row],[Pending 1]:[PendingL2]]))</f>
        <v>0</v>
      </c>
      <c r="Q85" s="63">
        <f>IF(Data[Bookie]="","",SUMIFS(BetTable[Stake],BetTable[Bookie],(VLOOKUP(ROW()-3,BookieName[],2,FALSE)),BetTable[Result],""))</f>
        <v>0</v>
      </c>
      <c r="R85" s="63">
        <f>IF(Data[Bookie]="","",SUMIFS(BetTable[S2],BetTable[B2],(VLOOKUP(ROW()-3,BookieName[],2,FALSE)),BetTable[Result],""))</f>
        <v>0</v>
      </c>
      <c r="S85" s="63">
        <f>IF(Data[Bookie]="","",SUMIFS(BetTable[S3],BetTable[B3],(VLOOKUP(ROW()-3,BookieName[],2,FALSE)),BetTable[Result],""))</f>
        <v>0</v>
      </c>
      <c r="T85" s="63">
        <f>IF(Data[Bookie]="","",SUMIFS(LayTable[BackStake],LayTable[BackBook],(VLOOKUP(ROW()-3,BookieName[],2,FALSE)),LayTable[AR],""))</f>
        <v>0</v>
      </c>
      <c r="U85" s="63">
        <f>IF(Data[Bookie]="","",SUMIFS(LayTable[LayLiability],LayTable[LayBook],(VLOOKUP(ROW()-3,BookieName[],2,FALSE)),LayTable[AR],""))</f>
        <v>0</v>
      </c>
    </row>
    <row r="86" spans="1:21" x14ac:dyDescent="0.25">
      <c r="A86" s="59">
        <f t="shared" si="2"/>
        <v>83</v>
      </c>
      <c r="B86" s="60" t="str">
        <f>IFERROR(VLOOKUP(ROW()-3,BookieName[],2,FALSE),"")</f>
        <v>TitanBet</v>
      </c>
      <c r="C86" s="61">
        <f>IF(Data[Bookie]="","",SUM(Data[[#This Row],[D/W]:[Bonus and Adjustments]],))</f>
        <v>0</v>
      </c>
      <c r="D86" s="61">
        <f>IF(Data[Bookie]="","",SUMIF(DWbooks[Bookie],(VLOOKUP(ROW()-3,BookieName[],2,FALSE)),DWbooks[Amount]))</f>
        <v>0</v>
      </c>
      <c r="E86" s="59">
        <f>IF(Data[Bookie]="","",SUMIF(BetTable[Bookie],(VLOOKUP(ROW()-3,BookieName[],2,FALSE)),BetTable[Stake])*-1)</f>
        <v>0</v>
      </c>
      <c r="F86" s="59">
        <f>IF(Data[Bookie]="","",SUMIF(BetTable[B2],(VLOOKUP(ROW()-3,BookieName[],2,FALSE)),BetTable[S2])*-1)</f>
        <v>0</v>
      </c>
      <c r="G86" s="59">
        <f>IF(Data[Bookie]="","",SUMIF(BetTable[B3],(VLOOKUP(ROW()-3,BookieName[],2,FALSE)),BetTable[S3])*-1)</f>
        <v>0</v>
      </c>
      <c r="H86" s="59">
        <f>IF(Data[Bookie]="","",SUMIF(BetTable[Bookie],(VLOOKUP(ROW()-3,BookieName[],2,FALSE)),BetTable[WBA1]))</f>
        <v>0</v>
      </c>
      <c r="I86" s="59">
        <f>IF(Data[Bookie]="","",SUMIF(BetTable[B2],(VLOOKUP(ROW()-3,BookieName[],2,FALSE)),BetTable[WBA2]))</f>
        <v>0</v>
      </c>
      <c r="J86" s="59">
        <f>IF(Data[Bookie]="","",SUMIF(BetTable[B3],(VLOOKUP(ROW()-3,BookieName[],2,FALSE)),BetTable[WBA3]))</f>
        <v>0</v>
      </c>
      <c r="K86" s="60">
        <f>IF(Data[Bookie]="","",SUMIF(LayTable[BackBook],(VLOOKUP(ROW()-3,BookieName[],2,FALSE)),LayTable[BackStake])*-1)</f>
        <v>0</v>
      </c>
      <c r="L86" s="60">
        <f>IF(Data[Bookie]="","",SUMIF(LayTable[LayBook],(VLOOKUP(ROW()-3,BookieName[],2,FALSE)),LayTable[LayLiability])*-1)</f>
        <v>0</v>
      </c>
      <c r="M86" s="60">
        <f>IF(Data[Bookie]="","",SUMIF(LayTable[BackBook],(VLOOKUP(ROW()-3,BookieName[],2,FALSE)),LayTable[WBABack]))</f>
        <v>0</v>
      </c>
      <c r="N86" s="60">
        <f>IF(Data[Bookie]="","",SUMIF(LayTable[LayBook],(VLOOKUP(ROW()-3,BookieName[],2,FALSE)),LayTable[WBALay]))</f>
        <v>0</v>
      </c>
      <c r="O86" s="60">
        <f>IF(Data[Bookie]="","",SUMIF(DWbonus[Bookie],(VLOOKUP(ROW()-3,BookieName[],2,FALSE)),DWbonus[Amount]))</f>
        <v>0</v>
      </c>
      <c r="P86" s="63">
        <f>IF(Data[Bookie]="","",SUM(Data[[#This Row],[Pending 1]:[PendingL2]]))</f>
        <v>0</v>
      </c>
      <c r="Q86" s="63">
        <f>IF(Data[Bookie]="","",SUMIFS(BetTable[Stake],BetTable[Bookie],(VLOOKUP(ROW()-3,BookieName[],2,FALSE)),BetTable[Result],""))</f>
        <v>0</v>
      </c>
      <c r="R86" s="63">
        <f>IF(Data[Bookie]="","",SUMIFS(BetTable[S2],BetTable[B2],(VLOOKUP(ROW()-3,BookieName[],2,FALSE)),BetTable[Result],""))</f>
        <v>0</v>
      </c>
      <c r="S86" s="63">
        <f>IF(Data[Bookie]="","",SUMIFS(BetTable[S3],BetTable[B3],(VLOOKUP(ROW()-3,BookieName[],2,FALSE)),BetTable[Result],""))</f>
        <v>0</v>
      </c>
      <c r="T86" s="63">
        <f>IF(Data[Bookie]="","",SUMIFS(LayTable[BackStake],LayTable[BackBook],(VLOOKUP(ROW()-3,BookieName[],2,FALSE)),LayTable[AR],""))</f>
        <v>0</v>
      </c>
      <c r="U86" s="63">
        <f>IF(Data[Bookie]="","",SUMIFS(LayTable[LayLiability],LayTable[LayBook],(VLOOKUP(ROW()-3,BookieName[],2,FALSE)),LayTable[AR],""))</f>
        <v>0</v>
      </c>
    </row>
    <row r="87" spans="1:21" x14ac:dyDescent="0.25">
      <c r="A87" s="59">
        <f t="shared" si="2"/>
        <v>84</v>
      </c>
      <c r="B87" s="60" t="str">
        <f>IFERROR(VLOOKUP(ROW()-3,BookieName[],2,FALSE),"")</f>
        <v>TLCBet</v>
      </c>
      <c r="C87" s="61">
        <f>IF(Data[Bookie]="","",SUM(Data[[#This Row],[D/W]:[Bonus and Adjustments]],))</f>
        <v>0</v>
      </c>
      <c r="D87" s="61">
        <f>IF(Data[Bookie]="","",SUMIF(DWbooks[Bookie],(VLOOKUP(ROW()-3,BookieName[],2,FALSE)),DWbooks[Amount]))</f>
        <v>0</v>
      </c>
      <c r="E87" s="59">
        <f>IF(Data[Bookie]="","",SUMIF(BetTable[Bookie],(VLOOKUP(ROW()-3,BookieName[],2,FALSE)),BetTable[Stake])*-1)</f>
        <v>0</v>
      </c>
      <c r="F87" s="59">
        <f>IF(Data[Bookie]="","",SUMIF(BetTable[B2],(VLOOKUP(ROW()-3,BookieName[],2,FALSE)),BetTable[S2])*-1)</f>
        <v>0</v>
      </c>
      <c r="G87" s="59">
        <f>IF(Data[Bookie]="","",SUMIF(BetTable[B3],(VLOOKUP(ROW()-3,BookieName[],2,FALSE)),BetTable[S3])*-1)</f>
        <v>0</v>
      </c>
      <c r="H87" s="59">
        <f>IF(Data[Bookie]="","",SUMIF(BetTable[Bookie],(VLOOKUP(ROW()-3,BookieName[],2,FALSE)),BetTable[WBA1]))</f>
        <v>0</v>
      </c>
      <c r="I87" s="59">
        <f>IF(Data[Bookie]="","",SUMIF(BetTable[B2],(VLOOKUP(ROW()-3,BookieName[],2,FALSE)),BetTable[WBA2]))</f>
        <v>0</v>
      </c>
      <c r="J87" s="59">
        <f>IF(Data[Bookie]="","",SUMIF(BetTable[B3],(VLOOKUP(ROW()-3,BookieName[],2,FALSE)),BetTable[WBA3]))</f>
        <v>0</v>
      </c>
      <c r="K87" s="60">
        <f>IF(Data[Bookie]="","",SUMIF(LayTable[BackBook],(VLOOKUP(ROW()-3,BookieName[],2,FALSE)),LayTable[BackStake])*-1)</f>
        <v>0</v>
      </c>
      <c r="L87" s="60">
        <f>IF(Data[Bookie]="","",SUMIF(LayTable[LayBook],(VLOOKUP(ROW()-3,BookieName[],2,FALSE)),LayTable[LayLiability])*-1)</f>
        <v>0</v>
      </c>
      <c r="M87" s="60">
        <f>IF(Data[Bookie]="","",SUMIF(LayTable[BackBook],(VLOOKUP(ROW()-3,BookieName[],2,FALSE)),LayTable[WBABack]))</f>
        <v>0</v>
      </c>
      <c r="N87" s="60">
        <f>IF(Data[Bookie]="","",SUMIF(LayTable[LayBook],(VLOOKUP(ROW()-3,BookieName[],2,FALSE)),LayTable[WBALay]))</f>
        <v>0</v>
      </c>
      <c r="O87" s="60">
        <f>IF(Data[Bookie]="","",SUMIF(DWbonus[Bookie],(VLOOKUP(ROW()-3,BookieName[],2,FALSE)),DWbonus[Amount]))</f>
        <v>0</v>
      </c>
      <c r="P87" s="63">
        <f>IF(Data[Bookie]="","",SUM(Data[[#This Row],[Pending 1]:[PendingL2]]))</f>
        <v>0</v>
      </c>
      <c r="Q87" s="63">
        <f>IF(Data[Bookie]="","",SUMIFS(BetTable[Stake],BetTable[Bookie],(VLOOKUP(ROW()-3,BookieName[],2,FALSE)),BetTable[Result],""))</f>
        <v>0</v>
      </c>
      <c r="R87" s="63">
        <f>IF(Data[Bookie]="","",SUMIFS(BetTable[S2],BetTable[B2],(VLOOKUP(ROW()-3,BookieName[],2,FALSE)),BetTable[Result],""))</f>
        <v>0</v>
      </c>
      <c r="S87" s="63">
        <f>IF(Data[Bookie]="","",SUMIFS(BetTable[S3],BetTable[B3],(VLOOKUP(ROW()-3,BookieName[],2,FALSE)),BetTable[Result],""))</f>
        <v>0</v>
      </c>
      <c r="T87" s="63">
        <f>IF(Data[Bookie]="","",SUMIFS(LayTable[BackStake],LayTable[BackBook],(VLOOKUP(ROW()-3,BookieName[],2,FALSE)),LayTable[AR],""))</f>
        <v>0</v>
      </c>
      <c r="U87" s="63">
        <f>IF(Data[Bookie]="","",SUMIFS(LayTable[LayLiability],LayTable[LayBook],(VLOOKUP(ROW()-3,BookieName[],2,FALSE)),LayTable[AR],""))</f>
        <v>0</v>
      </c>
    </row>
    <row r="88" spans="1:21" x14ac:dyDescent="0.25">
      <c r="A88" s="59">
        <f t="shared" si="2"/>
        <v>85</v>
      </c>
      <c r="B88" s="60" t="str">
        <f>IFERROR(VLOOKUP(ROW()-3,BookieName[],2,FALSE),"")</f>
        <v>TLCBetUK</v>
      </c>
      <c r="C88" s="61">
        <f>IF(Data[Bookie]="","",SUM(Data[[#This Row],[D/W]:[Bonus and Adjustments]],))</f>
        <v>0</v>
      </c>
      <c r="D88" s="61">
        <f>IF(Data[Bookie]="","",SUMIF(DWbooks[Bookie],(VLOOKUP(ROW()-3,BookieName[],2,FALSE)),DWbooks[Amount]))</f>
        <v>0</v>
      </c>
      <c r="E88" s="59">
        <f>IF(Data[Bookie]="","",SUMIF(BetTable[Bookie],(VLOOKUP(ROW()-3,BookieName[],2,FALSE)),BetTable[Stake])*-1)</f>
        <v>0</v>
      </c>
      <c r="F88" s="59">
        <f>IF(Data[Bookie]="","",SUMIF(BetTable[B2],(VLOOKUP(ROW()-3,BookieName[],2,FALSE)),BetTable[S2])*-1)</f>
        <v>0</v>
      </c>
      <c r="G88" s="59">
        <f>IF(Data[Bookie]="","",SUMIF(BetTable[B3],(VLOOKUP(ROW()-3,BookieName[],2,FALSE)),BetTable[S3])*-1)</f>
        <v>0</v>
      </c>
      <c r="H88" s="59">
        <f>IF(Data[Bookie]="","",SUMIF(BetTable[Bookie],(VLOOKUP(ROW()-3,BookieName[],2,FALSE)),BetTable[WBA1]))</f>
        <v>0</v>
      </c>
      <c r="I88" s="59">
        <f>IF(Data[Bookie]="","",SUMIF(BetTable[B2],(VLOOKUP(ROW()-3,BookieName[],2,FALSE)),BetTable[WBA2]))</f>
        <v>0</v>
      </c>
      <c r="J88" s="59">
        <f>IF(Data[Bookie]="","",SUMIF(BetTable[B3],(VLOOKUP(ROW()-3,BookieName[],2,FALSE)),BetTable[WBA3]))</f>
        <v>0</v>
      </c>
      <c r="K88" s="60">
        <f>IF(Data[Bookie]="","",SUMIF(LayTable[BackBook],(VLOOKUP(ROW()-3,BookieName[],2,FALSE)),LayTable[BackStake])*-1)</f>
        <v>0</v>
      </c>
      <c r="L88" s="60">
        <f>IF(Data[Bookie]="","",SUMIF(LayTable[LayBook],(VLOOKUP(ROW()-3,BookieName[],2,FALSE)),LayTable[LayLiability])*-1)</f>
        <v>0</v>
      </c>
      <c r="M88" s="60">
        <f>IF(Data[Bookie]="","",SUMIF(LayTable[BackBook],(VLOOKUP(ROW()-3,BookieName[],2,FALSE)),LayTable[WBABack]))</f>
        <v>0</v>
      </c>
      <c r="N88" s="60">
        <f>IF(Data[Bookie]="","",SUMIF(LayTable[LayBook],(VLOOKUP(ROW()-3,BookieName[],2,FALSE)),LayTable[WBALay]))</f>
        <v>0</v>
      </c>
      <c r="O88" s="60">
        <f>IF(Data[Bookie]="","",SUMIF(DWbonus[Bookie],(VLOOKUP(ROW()-3,BookieName[],2,FALSE)),DWbonus[Amount]))</f>
        <v>0</v>
      </c>
      <c r="P88" s="63">
        <f>IF(Data[Bookie]="","",SUM(Data[[#This Row],[Pending 1]:[PendingL2]]))</f>
        <v>0</v>
      </c>
      <c r="Q88" s="63">
        <f>IF(Data[Bookie]="","",SUMIFS(BetTable[Stake],BetTable[Bookie],(VLOOKUP(ROW()-3,BookieName[],2,FALSE)),BetTable[Result],""))</f>
        <v>0</v>
      </c>
      <c r="R88" s="63">
        <f>IF(Data[Bookie]="","",SUMIFS(BetTable[S2],BetTable[B2],(VLOOKUP(ROW()-3,BookieName[],2,FALSE)),BetTable[Result],""))</f>
        <v>0</v>
      </c>
      <c r="S88" s="63">
        <f>IF(Data[Bookie]="","",SUMIFS(BetTable[S3],BetTable[B3],(VLOOKUP(ROW()-3,BookieName[],2,FALSE)),BetTable[Result],""))</f>
        <v>0</v>
      </c>
      <c r="T88" s="63">
        <f>IF(Data[Bookie]="","",SUMIFS(LayTable[BackStake],LayTable[BackBook],(VLOOKUP(ROW()-3,BookieName[],2,FALSE)),LayTable[AR],""))</f>
        <v>0</v>
      </c>
      <c r="U88" s="63">
        <f>IF(Data[Bookie]="","",SUMIFS(LayTable[LayLiability],LayTable[LayBook],(VLOOKUP(ROW()-3,BookieName[],2,FALSE)),LayTable[AR],""))</f>
        <v>0</v>
      </c>
    </row>
    <row r="89" spans="1:21" x14ac:dyDescent="0.25">
      <c r="A89" s="59">
        <f t="shared" si="2"/>
        <v>86</v>
      </c>
      <c r="B89" s="60" t="str">
        <f>IFERROR(VLOOKUP(ROW()-3,BookieName[],2,FALSE),"")</f>
        <v>Unibet</v>
      </c>
      <c r="C89" s="61">
        <f>IF(Data[Bookie]="","",SUM(Data[[#This Row],[D/W]:[Bonus and Adjustments]],))</f>
        <v>0</v>
      </c>
      <c r="D89" s="61">
        <f>IF(Data[Bookie]="","",SUMIF(DWbooks[Bookie],(VLOOKUP(ROW()-3,BookieName[],2,FALSE)),DWbooks[Amount]))</f>
        <v>0</v>
      </c>
      <c r="E89" s="59">
        <f>IF(Data[Bookie]="","",SUMIF(BetTable[Bookie],(VLOOKUP(ROW()-3,BookieName[],2,FALSE)),BetTable[Stake])*-1)</f>
        <v>0</v>
      </c>
      <c r="F89" s="59">
        <f>IF(Data[Bookie]="","",SUMIF(BetTable[B2],(VLOOKUP(ROW()-3,BookieName[],2,FALSE)),BetTable[S2])*-1)</f>
        <v>0</v>
      </c>
      <c r="G89" s="59">
        <f>IF(Data[Bookie]="","",SUMIF(BetTable[B3],(VLOOKUP(ROW()-3,BookieName[],2,FALSE)),BetTable[S3])*-1)</f>
        <v>0</v>
      </c>
      <c r="H89" s="59">
        <f>IF(Data[Bookie]="","",SUMIF(BetTable[Bookie],(VLOOKUP(ROW()-3,BookieName[],2,FALSE)),BetTable[WBA1]))</f>
        <v>0</v>
      </c>
      <c r="I89" s="59">
        <f>IF(Data[Bookie]="","",SUMIF(BetTable[B2],(VLOOKUP(ROW()-3,BookieName[],2,FALSE)),BetTable[WBA2]))</f>
        <v>0</v>
      </c>
      <c r="J89" s="59">
        <f>IF(Data[Bookie]="","",SUMIF(BetTable[B3],(VLOOKUP(ROW()-3,BookieName[],2,FALSE)),BetTable[WBA3]))</f>
        <v>0</v>
      </c>
      <c r="K89" s="60">
        <f>IF(Data[Bookie]="","",SUMIF(LayTable[BackBook],(VLOOKUP(ROW()-3,BookieName[],2,FALSE)),LayTable[BackStake])*-1)</f>
        <v>0</v>
      </c>
      <c r="L89" s="60">
        <f>IF(Data[Bookie]="","",SUMIF(LayTable[LayBook],(VLOOKUP(ROW()-3,BookieName[],2,FALSE)),LayTable[LayLiability])*-1)</f>
        <v>0</v>
      </c>
      <c r="M89" s="60">
        <f>IF(Data[Bookie]="","",SUMIF(LayTable[BackBook],(VLOOKUP(ROW()-3,BookieName[],2,FALSE)),LayTable[WBABack]))</f>
        <v>0</v>
      </c>
      <c r="N89" s="60">
        <f>IF(Data[Bookie]="","",SUMIF(LayTable[LayBook],(VLOOKUP(ROW()-3,BookieName[],2,FALSE)),LayTable[WBALay]))</f>
        <v>0</v>
      </c>
      <c r="O89" s="60">
        <f>IF(Data[Bookie]="","",SUMIF(DWbonus[Bookie],(VLOOKUP(ROW()-3,BookieName[],2,FALSE)),DWbonus[Amount]))</f>
        <v>0</v>
      </c>
      <c r="P89" s="63">
        <f>IF(Data[Bookie]="","",SUM(Data[[#This Row],[Pending 1]:[PendingL2]]))</f>
        <v>0</v>
      </c>
      <c r="Q89" s="63">
        <f>IF(Data[Bookie]="","",SUMIFS(BetTable[Stake],BetTable[Bookie],(VLOOKUP(ROW()-3,BookieName[],2,FALSE)),BetTable[Result],""))</f>
        <v>0</v>
      </c>
      <c r="R89" s="63">
        <f>IF(Data[Bookie]="","",SUMIFS(BetTable[S2],BetTable[B2],(VLOOKUP(ROW()-3,BookieName[],2,FALSE)),BetTable[Result],""))</f>
        <v>0</v>
      </c>
      <c r="S89" s="63">
        <f>IF(Data[Bookie]="","",SUMIFS(BetTable[S3],BetTable[B3],(VLOOKUP(ROW()-3,BookieName[],2,FALSE)),BetTable[Result],""))</f>
        <v>0</v>
      </c>
      <c r="T89" s="63">
        <f>IF(Data[Bookie]="","",SUMIFS(LayTable[BackStake],LayTable[BackBook],(VLOOKUP(ROW()-3,BookieName[],2,FALSE)),LayTable[AR],""))</f>
        <v>0</v>
      </c>
      <c r="U89" s="63">
        <f>IF(Data[Bookie]="","",SUMIFS(LayTable[LayLiability],LayTable[LayBook],(VLOOKUP(ROW()-3,BookieName[],2,FALSE)),LayTable[AR],""))</f>
        <v>0</v>
      </c>
    </row>
    <row r="90" spans="1:21" x14ac:dyDescent="0.25">
      <c r="A90" s="59">
        <f t="shared" si="2"/>
        <v>87</v>
      </c>
      <c r="B90" s="60" t="str">
        <f>IFERROR(VLOOKUP(ROW()-3,BookieName[],2,FALSE),"")</f>
        <v>WilliamHill</v>
      </c>
      <c r="C90" s="61">
        <f>IF(Data[Bookie]="","",SUM(Data[[#This Row],[D/W]:[Bonus and Adjustments]],))</f>
        <v>0</v>
      </c>
      <c r="D90" s="61">
        <f>IF(Data[Bookie]="","",SUMIF(DWbooks[Bookie],(VLOOKUP(ROW()-3,BookieName[],2,FALSE)),DWbooks[Amount]))</f>
        <v>0</v>
      </c>
      <c r="E90" s="59">
        <f>IF(Data[Bookie]="","",SUMIF(BetTable[Bookie],(VLOOKUP(ROW()-3,BookieName[],2,FALSE)),BetTable[Stake])*-1)</f>
        <v>0</v>
      </c>
      <c r="F90" s="59">
        <f>IF(Data[Bookie]="","",SUMIF(BetTable[B2],(VLOOKUP(ROW()-3,BookieName[],2,FALSE)),BetTable[S2])*-1)</f>
        <v>0</v>
      </c>
      <c r="G90" s="59">
        <f>IF(Data[Bookie]="","",SUMIF(BetTable[B3],(VLOOKUP(ROW()-3,BookieName[],2,FALSE)),BetTable[S3])*-1)</f>
        <v>0</v>
      </c>
      <c r="H90" s="59">
        <f>IF(Data[Bookie]="","",SUMIF(BetTable[Bookie],(VLOOKUP(ROW()-3,BookieName[],2,FALSE)),BetTable[WBA1]))</f>
        <v>0</v>
      </c>
      <c r="I90" s="59">
        <f>IF(Data[Bookie]="","",SUMIF(BetTable[B2],(VLOOKUP(ROW()-3,BookieName[],2,FALSE)),BetTable[WBA2]))</f>
        <v>0</v>
      </c>
      <c r="J90" s="59">
        <f>IF(Data[Bookie]="","",SUMIF(BetTable[B3],(VLOOKUP(ROW()-3,BookieName[],2,FALSE)),BetTable[WBA3]))</f>
        <v>0</v>
      </c>
      <c r="K90" s="60">
        <f>IF(Data[Bookie]="","",SUMIF(LayTable[BackBook],(VLOOKUP(ROW()-3,BookieName[],2,FALSE)),LayTable[BackStake])*-1)</f>
        <v>0</v>
      </c>
      <c r="L90" s="60">
        <f>IF(Data[Bookie]="","",SUMIF(LayTable[LayBook],(VLOOKUP(ROW()-3,BookieName[],2,FALSE)),LayTable[LayLiability])*-1)</f>
        <v>0</v>
      </c>
      <c r="M90" s="60">
        <f>IF(Data[Bookie]="","",SUMIF(LayTable[BackBook],(VLOOKUP(ROW()-3,BookieName[],2,FALSE)),LayTable[WBABack]))</f>
        <v>0</v>
      </c>
      <c r="N90" s="60">
        <f>IF(Data[Bookie]="","",SUMIF(LayTable[LayBook],(VLOOKUP(ROW()-3,BookieName[],2,FALSE)),LayTable[WBALay]))</f>
        <v>0</v>
      </c>
      <c r="O90" s="60">
        <f>IF(Data[Bookie]="","",SUMIF(DWbonus[Bookie],(VLOOKUP(ROW()-3,BookieName[],2,FALSE)),DWbonus[Amount]))</f>
        <v>0</v>
      </c>
      <c r="P90" s="63">
        <f>IF(Data[Bookie]="","",SUM(Data[[#This Row],[Pending 1]:[PendingL2]]))</f>
        <v>0</v>
      </c>
      <c r="Q90" s="63">
        <f>IF(Data[Bookie]="","",SUMIFS(BetTable[Stake],BetTable[Bookie],(VLOOKUP(ROW()-3,BookieName[],2,FALSE)),BetTable[Result],""))</f>
        <v>0</v>
      </c>
      <c r="R90" s="63">
        <f>IF(Data[Bookie]="","",SUMIFS(BetTable[S2],BetTable[B2],(VLOOKUP(ROW()-3,BookieName[],2,FALSE)),BetTable[Result],""))</f>
        <v>0</v>
      </c>
      <c r="S90" s="63">
        <f>IF(Data[Bookie]="","",SUMIFS(BetTable[S3],BetTable[B3],(VLOOKUP(ROW()-3,BookieName[],2,FALSE)),BetTable[Result],""))</f>
        <v>0</v>
      </c>
      <c r="T90" s="63">
        <f>IF(Data[Bookie]="","",SUMIFS(LayTable[BackStake],LayTable[BackBook],(VLOOKUP(ROW()-3,BookieName[],2,FALSE)),LayTable[AR],""))</f>
        <v>0</v>
      </c>
      <c r="U90" s="63">
        <f>IF(Data[Bookie]="","",SUMIFS(LayTable[LayLiability],LayTable[LayBook],(VLOOKUP(ROW()-3,BookieName[],2,FALSE)),LayTable[AR],""))</f>
        <v>0</v>
      </c>
    </row>
    <row r="91" spans="1:21" x14ac:dyDescent="0.25">
      <c r="A91" s="59">
        <f t="shared" si="2"/>
        <v>88</v>
      </c>
      <c r="B91" s="60" t="str">
        <f>IFERROR(VLOOKUP(ROW()-3,BookieName[],2,FALSE),"")</f>
        <v>WilliamHillAU</v>
      </c>
      <c r="C91" s="61">
        <f>IF(Data[Bookie]="","",SUM(Data[[#This Row],[D/W]:[Bonus and Adjustments]],))</f>
        <v>0</v>
      </c>
      <c r="D91" s="61">
        <f>IF(Data[Bookie]="","",SUMIF(DWbooks[Bookie],(VLOOKUP(ROW()-3,BookieName[],2,FALSE)),DWbooks[Amount]))</f>
        <v>0</v>
      </c>
      <c r="E91" s="59">
        <f>IF(Data[Bookie]="","",SUMIF(BetTable[Bookie],(VLOOKUP(ROW()-3,BookieName[],2,FALSE)),BetTable[Stake])*-1)</f>
        <v>0</v>
      </c>
      <c r="F91" s="59">
        <f>IF(Data[Bookie]="","",SUMIF(BetTable[B2],(VLOOKUP(ROW()-3,BookieName[],2,FALSE)),BetTable[S2])*-1)</f>
        <v>0</v>
      </c>
      <c r="G91" s="59">
        <f>IF(Data[Bookie]="","",SUMIF(BetTable[B3],(VLOOKUP(ROW()-3,BookieName[],2,FALSE)),BetTable[S3])*-1)</f>
        <v>0</v>
      </c>
      <c r="H91" s="59">
        <f>IF(Data[Bookie]="","",SUMIF(BetTable[Bookie],(VLOOKUP(ROW()-3,BookieName[],2,FALSE)),BetTable[WBA1]))</f>
        <v>0</v>
      </c>
      <c r="I91" s="59">
        <f>IF(Data[Bookie]="","",SUMIF(BetTable[B2],(VLOOKUP(ROW()-3,BookieName[],2,FALSE)),BetTable[WBA2]))</f>
        <v>0</v>
      </c>
      <c r="J91" s="59">
        <f>IF(Data[Bookie]="","",SUMIF(BetTable[B3],(VLOOKUP(ROW()-3,BookieName[],2,FALSE)),BetTable[WBA3]))</f>
        <v>0</v>
      </c>
      <c r="K91" s="60">
        <f>IF(Data[Bookie]="","",SUMIF(LayTable[BackBook],(VLOOKUP(ROW()-3,BookieName[],2,FALSE)),LayTable[BackStake])*-1)</f>
        <v>0</v>
      </c>
      <c r="L91" s="60">
        <f>IF(Data[Bookie]="","",SUMIF(LayTable[LayBook],(VLOOKUP(ROW()-3,BookieName[],2,FALSE)),LayTable[LayLiability])*-1)</f>
        <v>0</v>
      </c>
      <c r="M91" s="60">
        <f>IF(Data[Bookie]="","",SUMIF(LayTable[BackBook],(VLOOKUP(ROW()-3,BookieName[],2,FALSE)),LayTable[WBABack]))</f>
        <v>0</v>
      </c>
      <c r="N91" s="60">
        <f>IF(Data[Bookie]="","",SUMIF(LayTable[LayBook],(VLOOKUP(ROW()-3,BookieName[],2,FALSE)),LayTable[WBALay]))</f>
        <v>0</v>
      </c>
      <c r="O91" s="60">
        <f>IF(Data[Bookie]="","",SUMIF(DWbonus[Bookie],(VLOOKUP(ROW()-3,BookieName[],2,FALSE)),DWbonus[Amount]))</f>
        <v>0</v>
      </c>
      <c r="P91" s="63">
        <f>IF(Data[Bookie]="","",SUM(Data[[#This Row],[Pending 1]:[PendingL2]]))</f>
        <v>0</v>
      </c>
      <c r="Q91" s="63">
        <f>IF(Data[Bookie]="","",SUMIFS(BetTable[Stake],BetTable[Bookie],(VLOOKUP(ROW()-3,BookieName[],2,FALSE)),BetTable[Result],""))</f>
        <v>0</v>
      </c>
      <c r="R91" s="63">
        <f>IF(Data[Bookie]="","",SUMIFS(BetTable[S2],BetTable[B2],(VLOOKUP(ROW()-3,BookieName[],2,FALSE)),BetTable[Result],""))</f>
        <v>0</v>
      </c>
      <c r="S91" s="63">
        <f>IF(Data[Bookie]="","",SUMIFS(BetTable[S3],BetTable[B3],(VLOOKUP(ROW()-3,BookieName[],2,FALSE)),BetTable[Result],""))</f>
        <v>0</v>
      </c>
      <c r="T91" s="63">
        <f>IF(Data[Bookie]="","",SUMIFS(LayTable[BackStake],LayTable[BackBook],(VLOOKUP(ROW()-3,BookieName[],2,FALSE)),LayTable[AR],""))</f>
        <v>0</v>
      </c>
      <c r="U91" s="63">
        <f>IF(Data[Bookie]="","",SUMIFS(LayTable[LayLiability],LayTable[LayBook],(VLOOKUP(ROW()-3,BookieName[],2,FALSE)),LayTable[AR],""))</f>
        <v>0</v>
      </c>
    </row>
    <row r="92" spans="1:21" x14ac:dyDescent="0.25">
      <c r="A92" s="59">
        <f t="shared" si="2"/>
        <v>89</v>
      </c>
      <c r="B92" s="60" t="str">
        <f>IFERROR(VLOOKUP(ROW()-3,BookieName[],2,FALSE),"")</f>
        <v>Winner</v>
      </c>
      <c r="C92" s="61">
        <f>IF(Data[Bookie]="","",SUM(Data[[#This Row],[D/W]:[Bonus and Adjustments]],))</f>
        <v>0</v>
      </c>
      <c r="D92" s="61">
        <f>IF(Data[Bookie]="","",SUMIF(DWbooks[Bookie],(VLOOKUP(ROW()-3,BookieName[],2,FALSE)),DWbooks[Amount]))</f>
        <v>0</v>
      </c>
      <c r="E92" s="59">
        <f>IF(Data[Bookie]="","",SUMIF(BetTable[Bookie],(VLOOKUP(ROW()-3,BookieName[],2,FALSE)),BetTable[Stake])*-1)</f>
        <v>0</v>
      </c>
      <c r="F92" s="59">
        <f>IF(Data[Bookie]="","",SUMIF(BetTable[B2],(VLOOKUP(ROW()-3,BookieName[],2,FALSE)),BetTable[S2])*-1)</f>
        <v>0</v>
      </c>
      <c r="G92" s="59">
        <f>IF(Data[Bookie]="","",SUMIF(BetTable[B3],(VLOOKUP(ROW()-3,BookieName[],2,FALSE)),BetTable[S3])*-1)</f>
        <v>0</v>
      </c>
      <c r="H92" s="59">
        <f>IF(Data[Bookie]="","",SUMIF(BetTable[Bookie],(VLOOKUP(ROW()-3,BookieName[],2,FALSE)),BetTable[WBA1]))</f>
        <v>0</v>
      </c>
      <c r="I92" s="59">
        <f>IF(Data[Bookie]="","",SUMIF(BetTable[B2],(VLOOKUP(ROW()-3,BookieName[],2,FALSE)),BetTable[WBA2]))</f>
        <v>0</v>
      </c>
      <c r="J92" s="59">
        <f>IF(Data[Bookie]="","",SUMIF(BetTable[B3],(VLOOKUP(ROW()-3,BookieName[],2,FALSE)),BetTable[WBA3]))</f>
        <v>0</v>
      </c>
      <c r="K92" s="60">
        <f>IF(Data[Bookie]="","",SUMIF(LayTable[BackBook],(VLOOKUP(ROW()-3,BookieName[],2,FALSE)),LayTable[BackStake])*-1)</f>
        <v>0</v>
      </c>
      <c r="L92" s="60">
        <f>IF(Data[Bookie]="","",SUMIF(LayTable[LayBook],(VLOOKUP(ROW()-3,BookieName[],2,FALSE)),LayTable[LayLiability])*-1)</f>
        <v>0</v>
      </c>
      <c r="M92" s="60">
        <f>IF(Data[Bookie]="","",SUMIF(LayTable[BackBook],(VLOOKUP(ROW()-3,BookieName[],2,FALSE)),LayTable[WBABack]))</f>
        <v>0</v>
      </c>
      <c r="N92" s="60">
        <f>IF(Data[Bookie]="","",SUMIF(LayTable[LayBook],(VLOOKUP(ROW()-3,BookieName[],2,FALSE)),LayTable[WBALay]))</f>
        <v>0</v>
      </c>
      <c r="O92" s="60">
        <f>IF(Data[Bookie]="","",SUMIF(DWbonus[Bookie],(VLOOKUP(ROW()-3,BookieName[],2,FALSE)),DWbonus[Amount]))</f>
        <v>0</v>
      </c>
      <c r="P92" s="63">
        <f>IF(Data[Bookie]="","",SUM(Data[[#This Row],[Pending 1]:[PendingL2]]))</f>
        <v>0</v>
      </c>
      <c r="Q92" s="63">
        <f>IF(Data[Bookie]="","",SUMIFS(BetTable[Stake],BetTable[Bookie],(VLOOKUP(ROW()-3,BookieName[],2,FALSE)),BetTable[Result],""))</f>
        <v>0</v>
      </c>
      <c r="R92" s="63">
        <f>IF(Data[Bookie]="","",SUMIFS(BetTable[S2],BetTable[B2],(VLOOKUP(ROW()-3,BookieName[],2,FALSE)),BetTable[Result],""))</f>
        <v>0</v>
      </c>
      <c r="S92" s="63">
        <f>IF(Data[Bookie]="","",SUMIFS(BetTable[S3],BetTable[B3],(VLOOKUP(ROW()-3,BookieName[],2,FALSE)),BetTable[Result],""))</f>
        <v>0</v>
      </c>
      <c r="T92" s="63">
        <f>IF(Data[Bookie]="","",SUMIFS(LayTable[BackStake],LayTable[BackBook],(VLOOKUP(ROW()-3,BookieName[],2,FALSE)),LayTable[AR],""))</f>
        <v>0</v>
      </c>
      <c r="U92" s="63">
        <f>IF(Data[Bookie]="","",SUMIFS(LayTable[LayLiability],LayTable[LayBook],(VLOOKUP(ROW()-3,BookieName[],2,FALSE)),LayTable[AR],""))</f>
        <v>0</v>
      </c>
    </row>
    <row r="93" spans="1:21" x14ac:dyDescent="0.25">
      <c r="A93" s="59">
        <f t="shared" si="2"/>
        <v>90</v>
      </c>
      <c r="B93" s="60" t="str">
        <f>IFERROR(VLOOKUP(ROW()-3,BookieName[],2,FALSE),"")</f>
        <v>XTiP</v>
      </c>
      <c r="C93" s="61">
        <f>IF(Data[Bookie]="","",SUM(Data[[#This Row],[D/W]:[Bonus and Adjustments]],))</f>
        <v>0</v>
      </c>
      <c r="D93" s="61">
        <f>IF(Data[Bookie]="","",SUMIF(DWbooks[Bookie],(VLOOKUP(ROW()-3,BookieName[],2,FALSE)),DWbooks[Amount]))</f>
        <v>0</v>
      </c>
      <c r="E93" s="59">
        <f>IF(Data[Bookie]="","",SUMIF(BetTable[Bookie],(VLOOKUP(ROW()-3,BookieName[],2,FALSE)),BetTable[Stake])*-1)</f>
        <v>0</v>
      </c>
      <c r="F93" s="59">
        <f>IF(Data[Bookie]="","",SUMIF(BetTable[B2],(VLOOKUP(ROW()-3,BookieName[],2,FALSE)),BetTable[S2])*-1)</f>
        <v>0</v>
      </c>
      <c r="G93" s="59">
        <f>IF(Data[Bookie]="","",SUMIF(BetTable[B3],(VLOOKUP(ROW()-3,BookieName[],2,FALSE)),BetTable[S3])*-1)</f>
        <v>0</v>
      </c>
      <c r="H93" s="59">
        <f>IF(Data[Bookie]="","",SUMIF(BetTable[Bookie],(VLOOKUP(ROW()-3,BookieName[],2,FALSE)),BetTable[WBA1]))</f>
        <v>0</v>
      </c>
      <c r="I93" s="59">
        <f>IF(Data[Bookie]="","",SUMIF(BetTable[B2],(VLOOKUP(ROW()-3,BookieName[],2,FALSE)),BetTable[WBA2]))</f>
        <v>0</v>
      </c>
      <c r="J93" s="59">
        <f>IF(Data[Bookie]="","",SUMIF(BetTable[B3],(VLOOKUP(ROW()-3,BookieName[],2,FALSE)),BetTable[WBA3]))</f>
        <v>0</v>
      </c>
      <c r="K93" s="60">
        <f>IF(Data[Bookie]="","",SUMIF(LayTable[BackBook],(VLOOKUP(ROW()-3,BookieName[],2,FALSE)),LayTable[BackStake])*-1)</f>
        <v>0</v>
      </c>
      <c r="L93" s="60">
        <f>IF(Data[Bookie]="","",SUMIF(LayTable[LayBook],(VLOOKUP(ROW()-3,BookieName[],2,FALSE)),LayTable[LayLiability])*-1)</f>
        <v>0</v>
      </c>
      <c r="M93" s="60">
        <f>IF(Data[Bookie]="","",SUMIF(LayTable[BackBook],(VLOOKUP(ROW()-3,BookieName[],2,FALSE)),LayTable[WBABack]))</f>
        <v>0</v>
      </c>
      <c r="N93" s="60">
        <f>IF(Data[Bookie]="","",SUMIF(LayTable[LayBook],(VLOOKUP(ROW()-3,BookieName[],2,FALSE)),LayTable[WBALay]))</f>
        <v>0</v>
      </c>
      <c r="O93" s="60">
        <f>IF(Data[Bookie]="","",SUMIF(DWbonus[Bookie],(VLOOKUP(ROW()-3,BookieName[],2,FALSE)),DWbonus[Amount]))</f>
        <v>0</v>
      </c>
      <c r="P93" s="63">
        <f>IF(Data[Bookie]="","",SUM(Data[[#This Row],[Pending 1]:[PendingL2]]))</f>
        <v>0</v>
      </c>
      <c r="Q93" s="63">
        <f>IF(Data[Bookie]="","",SUMIFS(BetTable[Stake],BetTable[Bookie],(VLOOKUP(ROW()-3,BookieName[],2,FALSE)),BetTable[Result],""))</f>
        <v>0</v>
      </c>
      <c r="R93" s="63">
        <f>IF(Data[Bookie]="","",SUMIFS(BetTable[S2],BetTable[B2],(VLOOKUP(ROW()-3,BookieName[],2,FALSE)),BetTable[Result],""))</f>
        <v>0</v>
      </c>
      <c r="S93" s="63">
        <f>IF(Data[Bookie]="","",SUMIFS(BetTable[S3],BetTable[B3],(VLOOKUP(ROW()-3,BookieName[],2,FALSE)),BetTable[Result],""))</f>
        <v>0</v>
      </c>
      <c r="T93" s="63">
        <f>IF(Data[Bookie]="","",SUMIFS(LayTable[BackStake],LayTable[BackBook],(VLOOKUP(ROW()-3,BookieName[],2,FALSE)),LayTable[AR],""))</f>
        <v>0</v>
      </c>
      <c r="U93" s="63">
        <f>IF(Data[Bookie]="","",SUMIFS(LayTable[LayLiability],LayTable[LayBook],(VLOOKUP(ROW()-3,BookieName[],2,FALSE)),LayTable[AR],""))</f>
        <v>0</v>
      </c>
    </row>
    <row r="94" spans="1:21" x14ac:dyDescent="0.25">
      <c r="A94" s="59">
        <f t="shared" si="2"/>
        <v>91</v>
      </c>
      <c r="B94" s="60" t="str">
        <f>IFERROR(VLOOKUP(ROW()-3,BookieName[],2,FALSE),"")</f>
        <v>Pokerstars EU</v>
      </c>
      <c r="C94" s="61">
        <f>IF(Data[Bookie]="","",SUM(Data[[#This Row],[D/W]:[Bonus and Adjustments]],))</f>
        <v>83.5</v>
      </c>
      <c r="D94" s="61">
        <f>IF(Data[Bookie]="","",SUMIF(DWbooks[Bookie],(VLOOKUP(ROW()-3,BookieName[],2,FALSE)),DWbooks[Amount]))</f>
        <v>0</v>
      </c>
      <c r="E94" s="59">
        <f>IF(Data[Bookie]="","",SUMIF(BetTable[Bookie],(VLOOKUP(ROW()-3,BookieName[],2,FALSE)),BetTable[Stake])*-1)</f>
        <v>-62</v>
      </c>
      <c r="F94" s="59">
        <f>IF(Data[Bookie]="","",SUMIF(BetTable[B2],(VLOOKUP(ROW()-3,BookieName[],2,FALSE)),BetTable[S2])*-1)</f>
        <v>0</v>
      </c>
      <c r="G94" s="59">
        <f>IF(Data[Bookie]="","",SUMIF(BetTable[B3],(VLOOKUP(ROW()-3,BookieName[],2,FALSE)),BetTable[S3])*-1)</f>
        <v>0</v>
      </c>
      <c r="H94" s="59">
        <f>IF(Data[Bookie]="","",SUMIF(BetTable[Bookie],(VLOOKUP(ROW()-3,BookieName[],2,FALSE)),BetTable[WBA1]))</f>
        <v>145.5</v>
      </c>
      <c r="I94" s="59">
        <f>IF(Data[Bookie]="","",SUMIF(BetTable[B2],(VLOOKUP(ROW()-3,BookieName[],2,FALSE)),BetTable[WBA2]))</f>
        <v>0</v>
      </c>
      <c r="J94" s="59">
        <f>IF(Data[Bookie]="","",SUMIF(BetTable[B3],(VLOOKUP(ROW()-3,BookieName[],2,FALSE)),BetTable[WBA3]))</f>
        <v>0</v>
      </c>
      <c r="K94" s="60">
        <f>IF(Data[Bookie]="","",SUMIF(LayTable[BackBook],(VLOOKUP(ROW()-3,BookieName[],2,FALSE)),LayTable[BackStake])*-1)</f>
        <v>0</v>
      </c>
      <c r="L94" s="60">
        <f>IF(Data[Bookie]="","",SUMIF(LayTable[LayBook],(VLOOKUP(ROW()-3,BookieName[],2,FALSE)),LayTable[LayLiability])*-1)</f>
        <v>0</v>
      </c>
      <c r="M94" s="60">
        <f>IF(Data[Bookie]="","",SUMIF(LayTable[BackBook],(VLOOKUP(ROW()-3,BookieName[],2,FALSE)),LayTable[WBABack]))</f>
        <v>0</v>
      </c>
      <c r="N94" s="60">
        <f>IF(Data[Bookie]="","",SUMIF(LayTable[LayBook],(VLOOKUP(ROW()-3,BookieName[],2,FALSE)),LayTable[WBALay]))</f>
        <v>0</v>
      </c>
      <c r="O94" s="60">
        <f>IF(Data[Bookie]="","",SUMIF(DWbonus[Bookie],(VLOOKUP(ROW()-3,BookieName[],2,FALSE)),DWbonus[Amount]))</f>
        <v>0</v>
      </c>
      <c r="P94" s="63">
        <f>IF(Data[Bookie]="","",SUM(Data[[#This Row],[Pending 1]:[PendingL2]]))</f>
        <v>0</v>
      </c>
      <c r="Q94" s="63">
        <f>IF(Data[Bookie]="","",SUMIFS(BetTable[Stake],BetTable[Bookie],(VLOOKUP(ROW()-3,BookieName[],2,FALSE)),BetTable[Result],""))</f>
        <v>0</v>
      </c>
      <c r="R94" s="63">
        <f>IF(Data[Bookie]="","",SUMIFS(BetTable[S2],BetTable[B2],(VLOOKUP(ROW()-3,BookieName[],2,FALSE)),BetTable[Result],""))</f>
        <v>0</v>
      </c>
      <c r="S94" s="63">
        <f>IF(Data[Bookie]="","",SUMIFS(BetTable[S3],BetTable[B3],(VLOOKUP(ROW()-3,BookieName[],2,FALSE)),BetTable[Result],""))</f>
        <v>0</v>
      </c>
      <c r="T94" s="63">
        <f>IF(Data[Bookie]="","",SUMIFS(LayTable[BackStake],LayTable[BackBook],(VLOOKUP(ROW()-3,BookieName[],2,FALSE)),LayTable[AR],""))</f>
        <v>0</v>
      </c>
      <c r="U94" s="63">
        <f>IF(Data[Bookie]="","",SUMIFS(LayTable[LayLiability],LayTable[LayBook],(VLOOKUP(ROW()-3,BookieName[],2,FALSE)),LayTable[AR],""))</f>
        <v>0</v>
      </c>
    </row>
    <row r="95" spans="1:21" x14ac:dyDescent="0.25">
      <c r="A95" s="59">
        <f t="shared" si="2"/>
        <v>92</v>
      </c>
      <c r="B95" s="60" t="str">
        <f>IFERROR(VLOOKUP(ROW()-3,BookieName[],2,FALSE),"")</f>
        <v>AsianOdds</v>
      </c>
      <c r="C95" s="61">
        <f>IF(Data[Bookie]="","",SUM(Data[[#This Row],[D/W]:[Bonus and Adjustments]],))</f>
        <v>689.23950000000696</v>
      </c>
      <c r="D95" s="61">
        <f>IF(Data[Bookie]="","",SUMIF(DWbooks[Bookie],(VLOOKUP(ROW()-3,BookieName[],2,FALSE)),DWbooks[Amount]))</f>
        <v>0</v>
      </c>
      <c r="E95" s="59">
        <f>IF(Data[Bookie]="","",SUMIF(BetTable[Bookie],(VLOOKUP(ROW()-3,BookieName[],2,FALSE)),BetTable[Stake])*-1)</f>
        <v>-27921</v>
      </c>
      <c r="F95" s="59">
        <f>IF(Data[Bookie]="","",SUMIF(BetTable[B2],(VLOOKUP(ROW()-3,BookieName[],2,FALSE)),BetTable[S2])*-1)</f>
        <v>0</v>
      </c>
      <c r="G95" s="59">
        <f>IF(Data[Bookie]="","",SUMIF(BetTable[B3],(VLOOKUP(ROW()-3,BookieName[],2,FALSE)),BetTable[S3])*-1)</f>
        <v>0</v>
      </c>
      <c r="H95" s="59">
        <f>IF(Data[Bookie]="","",SUMIF(BetTable[Bookie],(VLOOKUP(ROW()-3,BookieName[],2,FALSE)),BetTable[WBA1]))</f>
        <v>28610.239500000007</v>
      </c>
      <c r="I95" s="59">
        <f>IF(Data[Bookie]="","",SUMIF(BetTable[B2],(VLOOKUP(ROW()-3,BookieName[],2,FALSE)),BetTable[WBA2]))</f>
        <v>0</v>
      </c>
      <c r="J95" s="59">
        <f>IF(Data[Bookie]="","",SUMIF(BetTable[B3],(VLOOKUP(ROW()-3,BookieName[],2,FALSE)),BetTable[WBA3]))</f>
        <v>0</v>
      </c>
      <c r="K95" s="60">
        <f>IF(Data[Bookie]="","",SUMIF(LayTable[BackBook],(VLOOKUP(ROW()-3,BookieName[],2,FALSE)),LayTable[BackStake])*-1)</f>
        <v>0</v>
      </c>
      <c r="L95" s="60">
        <f>IF(Data[Bookie]="","",SUMIF(LayTable[LayBook],(VLOOKUP(ROW()-3,BookieName[],2,FALSE)),LayTable[LayLiability])*-1)</f>
        <v>0</v>
      </c>
      <c r="M95" s="60">
        <f>IF(Data[Bookie]="","",SUMIF(LayTable[BackBook],(VLOOKUP(ROW()-3,BookieName[],2,FALSE)),LayTable[WBABack]))</f>
        <v>0</v>
      </c>
      <c r="N95" s="60">
        <f>IF(Data[Bookie]="","",SUMIF(LayTable[LayBook],(VLOOKUP(ROW()-3,BookieName[],2,FALSE)),LayTable[WBALay]))</f>
        <v>0</v>
      </c>
      <c r="O95" s="60">
        <f>IF(Data[Bookie]="","",SUMIF(DWbonus[Bookie],(VLOOKUP(ROW()-3,BookieName[],2,FALSE)),DWbonus[Amount]))</f>
        <v>0</v>
      </c>
      <c r="P95" s="63">
        <f>IF(Data[Bookie]="","",SUM(Data[[#This Row],[Pending 1]:[PendingL2]]))</f>
        <v>0</v>
      </c>
      <c r="Q95" s="63">
        <f>IF(Data[Bookie]="","",SUMIFS(BetTable[Stake],BetTable[Bookie],(VLOOKUP(ROW()-3,BookieName[],2,FALSE)),BetTable[Result],""))</f>
        <v>0</v>
      </c>
      <c r="R95" s="63">
        <f>IF(Data[Bookie]="","",SUMIFS(BetTable[S2],BetTable[B2],(VLOOKUP(ROW()-3,BookieName[],2,FALSE)),BetTable[Result],""))</f>
        <v>0</v>
      </c>
      <c r="S95" s="63">
        <f>IF(Data[Bookie]="","",SUMIFS(BetTable[S3],BetTable[B3],(VLOOKUP(ROW()-3,BookieName[],2,FALSE)),BetTable[Result],""))</f>
        <v>0</v>
      </c>
      <c r="T95" s="63">
        <f>IF(Data[Bookie]="","",SUMIFS(LayTable[BackStake],LayTable[BackBook],(VLOOKUP(ROW()-3,BookieName[],2,FALSE)),LayTable[AR],""))</f>
        <v>0</v>
      </c>
      <c r="U95" s="63">
        <f>IF(Data[Bookie]="","",SUMIFS(LayTable[LayLiability],LayTable[LayBook],(VLOOKUP(ROW()-3,BookieName[],2,FALSE)),LayTable[AR],""))</f>
        <v>0</v>
      </c>
    </row>
    <row r="96" spans="1:21" x14ac:dyDescent="0.25">
      <c r="A96" s="62">
        <f t="shared" ref="A96:A103" si="3">ROW()-3</f>
        <v>93</v>
      </c>
      <c r="B96" s="63" t="str">
        <f>IFERROR(VLOOKUP(ROW()-3,BookieName[],2,FALSE),"")</f>
        <v/>
      </c>
      <c r="C96" s="140" t="str">
        <f>IF(Data[Bookie]="","",SUM(Data[[#This Row],[D/W]:[Bonus and Adjustments]],))</f>
        <v/>
      </c>
      <c r="D96" s="140" t="str">
        <f>IF(Data[Bookie]="","",SUMIF(DWbooks[Bookie],(VLOOKUP(ROW()-3,BookieName[],2,FALSE)),DWbooks[Amount]))</f>
        <v/>
      </c>
      <c r="E96" s="62" t="str">
        <f>IF(Data[Bookie]="","",SUMIF(BetTable[Bookie],(VLOOKUP(ROW()-3,BookieName[],2,FALSE)),BetTable[Stake])*-1)</f>
        <v/>
      </c>
      <c r="F96" s="62" t="str">
        <f>IF(Data[Bookie]="","",SUMIF(BetTable[B2],(VLOOKUP(ROW()-3,BookieName[],2,FALSE)),BetTable[S2])*-1)</f>
        <v/>
      </c>
      <c r="G96" s="62" t="str">
        <f>IF(Data[Bookie]="","",SUMIF(BetTable[B3],(VLOOKUP(ROW()-3,BookieName[],2,FALSE)),BetTable[S3])*-1)</f>
        <v/>
      </c>
      <c r="H96" s="62" t="str">
        <f>IF(Data[Bookie]="","",SUMIF(BetTable[Bookie],(VLOOKUP(ROW()-3,BookieName[],2,FALSE)),BetTable[WBA1]))</f>
        <v/>
      </c>
      <c r="I96" s="62" t="str">
        <f>IF(Data[Bookie]="","",SUMIF(BetTable[B2],(VLOOKUP(ROW()-3,BookieName[],2,FALSE)),BetTable[WBA2]))</f>
        <v/>
      </c>
      <c r="J96" s="62" t="str">
        <f>IF(Data[Bookie]="","",SUMIF(BetTable[B3],(VLOOKUP(ROW()-3,BookieName[],2,FALSE)),BetTable[WBA3]))</f>
        <v/>
      </c>
      <c r="K96" s="63" t="str">
        <f>IF(Data[Bookie]="","",SUMIF(LayTable[BackBook],(VLOOKUP(ROW()-3,BookieName[],2,FALSE)),LayTable[BackStake])*-1)</f>
        <v/>
      </c>
      <c r="L96" s="63" t="str">
        <f>IF(Data[Bookie]="","",SUMIF(LayTable[LayBook],(VLOOKUP(ROW()-3,BookieName[],2,FALSE)),LayTable[LayLiability])*-1)</f>
        <v/>
      </c>
      <c r="M96" s="63" t="str">
        <f>IF(Data[Bookie]="","",SUMIF(LayTable[BackBook],(VLOOKUP(ROW()-3,BookieName[],2,FALSE)),LayTable[WBABack]))</f>
        <v/>
      </c>
      <c r="N96" s="63" t="str">
        <f>IF(Data[Bookie]="","",SUMIF(LayTable[LayBook],(VLOOKUP(ROW()-3,BookieName[],2,FALSE)),LayTable[WBALay]))</f>
        <v/>
      </c>
      <c r="O96" s="63" t="str">
        <f>IF(Data[Bookie]="","",SUMIF(DWbonus[Bookie],(VLOOKUP(ROW()-3,BookieName[],2,FALSE)),DWbonus[Amount]))</f>
        <v/>
      </c>
      <c r="P96" s="63" t="str">
        <f>IF(Data[Bookie]="","",SUM(Data[[#This Row],[Pending 1]:[PendingL2]]))</f>
        <v/>
      </c>
      <c r="Q96" s="63" t="str">
        <f>IF(Data[Bookie]="","",SUMIFS(BetTable[Stake],BetTable[Bookie],(VLOOKUP(ROW()-3,BookieName[],2,FALSE)),BetTable[Result],""))</f>
        <v/>
      </c>
      <c r="R96" s="63" t="str">
        <f>IF(Data[Bookie]="","",SUMIFS(BetTable[S2],BetTable[B2],(VLOOKUP(ROW()-3,BookieName[],2,FALSE)),BetTable[Result],""))</f>
        <v/>
      </c>
      <c r="S96" s="63" t="str">
        <f>IF(Data[Bookie]="","",SUMIFS(BetTable[S3],BetTable[B3],(VLOOKUP(ROW()-3,BookieName[],2,FALSE)),BetTable[Result],""))</f>
        <v/>
      </c>
      <c r="T96" s="63" t="str">
        <f>IF(Data[Bookie]="","",SUMIFS(LayTable[BackStake],LayTable[BackBook],(VLOOKUP(ROW()-3,BookieName[],2,FALSE)),LayTable[AR],""))</f>
        <v/>
      </c>
      <c r="U96" s="63" t="str">
        <f>IF(Data[Bookie]="","",SUMIFS(LayTable[LayLiability],LayTable[LayBook],(VLOOKUP(ROW()-3,BookieName[],2,FALSE)),LayTable[AR],""))</f>
        <v/>
      </c>
    </row>
    <row r="97" spans="1:21" x14ac:dyDescent="0.25">
      <c r="A97" s="62">
        <f t="shared" si="3"/>
        <v>94</v>
      </c>
      <c r="B97" s="63" t="str">
        <f>IFERROR(VLOOKUP(ROW()-3,BookieName[],2,FALSE),"")</f>
        <v/>
      </c>
      <c r="C97" s="140" t="str">
        <f>IF(Data[Bookie]="","",SUM(Data[[#This Row],[D/W]:[Bonus and Adjustments]],))</f>
        <v/>
      </c>
      <c r="D97" s="140" t="str">
        <f>IF(Data[Bookie]="","",SUMIF(DWbooks[Bookie],(VLOOKUP(ROW()-3,BookieName[],2,FALSE)),DWbooks[Amount]))</f>
        <v/>
      </c>
      <c r="E97" s="62" t="str">
        <f>IF(Data[Bookie]="","",SUMIF(BetTable[Bookie],(VLOOKUP(ROW()-3,BookieName[],2,FALSE)),BetTable[Stake])*-1)</f>
        <v/>
      </c>
      <c r="F97" s="62" t="str">
        <f>IF(Data[Bookie]="","",SUMIF(BetTable[B2],(VLOOKUP(ROW()-3,BookieName[],2,FALSE)),BetTable[S2])*-1)</f>
        <v/>
      </c>
      <c r="G97" s="62" t="str">
        <f>IF(Data[Bookie]="","",SUMIF(BetTable[B3],(VLOOKUP(ROW()-3,BookieName[],2,FALSE)),BetTable[S3])*-1)</f>
        <v/>
      </c>
      <c r="H97" s="62" t="str">
        <f>IF(Data[Bookie]="","",SUMIF(BetTable[Bookie],(VLOOKUP(ROW()-3,BookieName[],2,FALSE)),BetTable[WBA1]))</f>
        <v/>
      </c>
      <c r="I97" s="62" t="str">
        <f>IF(Data[Bookie]="","",SUMIF(BetTable[B2],(VLOOKUP(ROW()-3,BookieName[],2,FALSE)),BetTable[WBA2]))</f>
        <v/>
      </c>
      <c r="J97" s="62" t="str">
        <f>IF(Data[Bookie]="","",SUMIF(BetTable[B3],(VLOOKUP(ROW()-3,BookieName[],2,FALSE)),BetTable[WBA3]))</f>
        <v/>
      </c>
      <c r="K97" s="63" t="str">
        <f>IF(Data[Bookie]="","",SUMIF(LayTable[BackBook],(VLOOKUP(ROW()-3,BookieName[],2,FALSE)),LayTable[BackStake])*-1)</f>
        <v/>
      </c>
      <c r="L97" s="63" t="str">
        <f>IF(Data[Bookie]="","",SUMIF(LayTable[LayBook],(VLOOKUP(ROW()-3,BookieName[],2,FALSE)),LayTable[LayLiability])*-1)</f>
        <v/>
      </c>
      <c r="M97" s="63" t="str">
        <f>IF(Data[Bookie]="","",SUMIF(LayTable[BackBook],(VLOOKUP(ROW()-3,BookieName[],2,FALSE)),LayTable[WBABack]))</f>
        <v/>
      </c>
      <c r="N97" s="63" t="str">
        <f>IF(Data[Bookie]="","",SUMIF(LayTable[LayBook],(VLOOKUP(ROW()-3,BookieName[],2,FALSE)),LayTable[WBALay]))</f>
        <v/>
      </c>
      <c r="O97" s="63" t="str">
        <f>IF(Data[Bookie]="","",SUMIF(DWbonus[Bookie],(VLOOKUP(ROW()-3,BookieName[],2,FALSE)),DWbonus[Amount]))</f>
        <v/>
      </c>
      <c r="P97" s="63" t="str">
        <f>IF(Data[Bookie]="","",SUM(Data[[#This Row],[Pending 1]:[PendingL2]]))</f>
        <v/>
      </c>
      <c r="Q97" s="63" t="str">
        <f>IF(Data[Bookie]="","",SUMIFS(BetTable[Stake],BetTable[Bookie],(VLOOKUP(ROW()-3,BookieName[],2,FALSE)),BetTable[Result],""))</f>
        <v/>
      </c>
      <c r="R97" s="63" t="str">
        <f>IF(Data[Bookie]="","",SUMIFS(BetTable[S2],BetTable[B2],(VLOOKUP(ROW()-3,BookieName[],2,FALSE)),BetTable[Result],""))</f>
        <v/>
      </c>
      <c r="S97" s="63" t="str">
        <f>IF(Data[Bookie]="","",SUMIFS(BetTable[S3],BetTable[B3],(VLOOKUP(ROW()-3,BookieName[],2,FALSE)),BetTable[Result],""))</f>
        <v/>
      </c>
      <c r="T97" s="63" t="str">
        <f>IF(Data[Bookie]="","",SUMIFS(LayTable[BackStake],LayTable[BackBook],(VLOOKUP(ROW()-3,BookieName[],2,FALSE)),LayTable[AR],""))</f>
        <v/>
      </c>
      <c r="U97" s="63" t="str">
        <f>IF(Data[Bookie]="","",SUMIFS(LayTable[LayLiability],LayTable[LayBook],(VLOOKUP(ROW()-3,BookieName[],2,FALSE)),LayTable[AR],""))</f>
        <v/>
      </c>
    </row>
    <row r="98" spans="1:21" x14ac:dyDescent="0.25">
      <c r="A98" s="62">
        <f t="shared" si="3"/>
        <v>95</v>
      </c>
      <c r="B98" s="63" t="str">
        <f>IFERROR(VLOOKUP(ROW()-3,BookieName[],2,FALSE),"")</f>
        <v/>
      </c>
      <c r="C98" s="140" t="str">
        <f>IF(Data[Bookie]="","",SUM(Data[[#This Row],[D/W]:[Bonus and Adjustments]],))</f>
        <v/>
      </c>
      <c r="D98" s="140" t="str">
        <f>IF(Data[Bookie]="","",SUMIF(DWbooks[Bookie],(VLOOKUP(ROW()-3,BookieName[],2,FALSE)),DWbooks[Amount]))</f>
        <v/>
      </c>
      <c r="E98" s="62" t="str">
        <f>IF(Data[Bookie]="","",SUMIF(BetTable[Bookie],(VLOOKUP(ROW()-3,BookieName[],2,FALSE)),BetTable[Stake])*-1)</f>
        <v/>
      </c>
      <c r="F98" s="62" t="str">
        <f>IF(Data[Bookie]="","",SUMIF(BetTable[B2],(VLOOKUP(ROW()-3,BookieName[],2,FALSE)),BetTable[S2])*-1)</f>
        <v/>
      </c>
      <c r="G98" s="62" t="str">
        <f>IF(Data[Bookie]="","",SUMIF(BetTable[B3],(VLOOKUP(ROW()-3,BookieName[],2,FALSE)),BetTable[S3])*-1)</f>
        <v/>
      </c>
      <c r="H98" s="62" t="str">
        <f>IF(Data[Bookie]="","",SUMIF(BetTable[Bookie],(VLOOKUP(ROW()-3,BookieName[],2,FALSE)),BetTable[WBA1]))</f>
        <v/>
      </c>
      <c r="I98" s="62" t="str">
        <f>IF(Data[Bookie]="","",SUMIF(BetTable[B2],(VLOOKUP(ROW()-3,BookieName[],2,FALSE)),BetTable[WBA2]))</f>
        <v/>
      </c>
      <c r="J98" s="62" t="str">
        <f>IF(Data[Bookie]="","",SUMIF(BetTable[B3],(VLOOKUP(ROW()-3,BookieName[],2,FALSE)),BetTable[WBA3]))</f>
        <v/>
      </c>
      <c r="K98" s="63" t="str">
        <f>IF(Data[Bookie]="","",SUMIF(LayTable[BackBook],(VLOOKUP(ROW()-3,BookieName[],2,FALSE)),LayTable[BackStake])*-1)</f>
        <v/>
      </c>
      <c r="L98" s="63" t="str">
        <f>IF(Data[Bookie]="","",SUMIF(LayTable[LayBook],(VLOOKUP(ROW()-3,BookieName[],2,FALSE)),LayTable[LayLiability])*-1)</f>
        <v/>
      </c>
      <c r="M98" s="63" t="str">
        <f>IF(Data[Bookie]="","",SUMIF(LayTable[BackBook],(VLOOKUP(ROW()-3,BookieName[],2,FALSE)),LayTable[WBABack]))</f>
        <v/>
      </c>
      <c r="N98" s="63" t="str">
        <f>IF(Data[Bookie]="","",SUMIF(LayTable[LayBook],(VLOOKUP(ROW()-3,BookieName[],2,FALSE)),LayTable[WBALay]))</f>
        <v/>
      </c>
      <c r="O98" s="63" t="str">
        <f>IF(Data[Bookie]="","",SUMIF(DWbonus[Bookie],(VLOOKUP(ROW()-3,BookieName[],2,FALSE)),DWbonus[Amount]))</f>
        <v/>
      </c>
      <c r="P98" s="63" t="str">
        <f>IF(Data[Bookie]="","",SUM(Data[[#This Row],[Pending 1]:[PendingL2]]))</f>
        <v/>
      </c>
      <c r="Q98" s="63" t="str">
        <f>IF(Data[Bookie]="","",SUMIFS(BetTable[Stake],BetTable[Bookie],(VLOOKUP(ROW()-3,BookieName[],2,FALSE)),BetTable[Result],""))</f>
        <v/>
      </c>
      <c r="R98" s="63" t="str">
        <f>IF(Data[Bookie]="","",SUMIFS(BetTable[S2],BetTable[B2],(VLOOKUP(ROW()-3,BookieName[],2,FALSE)),BetTable[Result],""))</f>
        <v/>
      </c>
      <c r="S98" s="63" t="str">
        <f>IF(Data[Bookie]="","",SUMIFS(BetTable[S3],BetTable[B3],(VLOOKUP(ROW()-3,BookieName[],2,FALSE)),BetTable[Result],""))</f>
        <v/>
      </c>
      <c r="T98" s="63" t="str">
        <f>IF(Data[Bookie]="","",SUMIFS(LayTable[BackStake],LayTable[BackBook],(VLOOKUP(ROW()-3,BookieName[],2,FALSE)),LayTable[AR],""))</f>
        <v/>
      </c>
      <c r="U98" s="63" t="str">
        <f>IF(Data[Bookie]="","",SUMIFS(LayTable[LayLiability],LayTable[LayBook],(VLOOKUP(ROW()-3,BookieName[],2,FALSE)),LayTable[AR],""))</f>
        <v/>
      </c>
    </row>
    <row r="99" spans="1:21" x14ac:dyDescent="0.25">
      <c r="A99" s="62">
        <f t="shared" si="3"/>
        <v>96</v>
      </c>
      <c r="B99" s="63" t="str">
        <f>IFERROR(VLOOKUP(ROW()-3,BookieName[],2,FALSE),"")</f>
        <v/>
      </c>
      <c r="C99" s="140" t="str">
        <f>IF(Data[Bookie]="","",SUM(Data[[#This Row],[D/W]:[Bonus and Adjustments]],))</f>
        <v/>
      </c>
      <c r="D99" s="140" t="str">
        <f>IF(Data[Bookie]="","",SUMIF(DWbooks[Bookie],(VLOOKUP(ROW()-3,BookieName[],2,FALSE)),DWbooks[Amount]))</f>
        <v/>
      </c>
      <c r="E99" s="62" t="str">
        <f>IF(Data[Bookie]="","",SUMIF(BetTable[Bookie],(VLOOKUP(ROW()-3,BookieName[],2,FALSE)),BetTable[Stake])*-1)</f>
        <v/>
      </c>
      <c r="F99" s="62" t="str">
        <f>IF(Data[Bookie]="","",SUMIF(BetTable[B2],(VLOOKUP(ROW()-3,BookieName[],2,FALSE)),BetTable[S2])*-1)</f>
        <v/>
      </c>
      <c r="G99" s="62" t="str">
        <f>IF(Data[Bookie]="","",SUMIF(BetTable[B3],(VLOOKUP(ROW()-3,BookieName[],2,FALSE)),BetTable[S3])*-1)</f>
        <v/>
      </c>
      <c r="H99" s="62" t="str">
        <f>IF(Data[Bookie]="","",SUMIF(BetTable[Bookie],(VLOOKUP(ROW()-3,BookieName[],2,FALSE)),BetTable[WBA1]))</f>
        <v/>
      </c>
      <c r="I99" s="62" t="str">
        <f>IF(Data[Bookie]="","",SUMIF(BetTable[B2],(VLOOKUP(ROW()-3,BookieName[],2,FALSE)),BetTable[WBA2]))</f>
        <v/>
      </c>
      <c r="J99" s="62" t="str">
        <f>IF(Data[Bookie]="","",SUMIF(BetTable[B3],(VLOOKUP(ROW()-3,BookieName[],2,FALSE)),BetTable[WBA3]))</f>
        <v/>
      </c>
      <c r="K99" s="63" t="str">
        <f>IF(Data[Bookie]="","",SUMIF(LayTable[BackBook],(VLOOKUP(ROW()-3,BookieName[],2,FALSE)),LayTable[BackStake])*-1)</f>
        <v/>
      </c>
      <c r="L99" s="63" t="str">
        <f>IF(Data[Bookie]="","",SUMIF(LayTable[LayBook],(VLOOKUP(ROW()-3,BookieName[],2,FALSE)),LayTable[LayLiability])*-1)</f>
        <v/>
      </c>
      <c r="M99" s="63" t="str">
        <f>IF(Data[Bookie]="","",SUMIF(LayTable[BackBook],(VLOOKUP(ROW()-3,BookieName[],2,FALSE)),LayTable[WBABack]))</f>
        <v/>
      </c>
      <c r="N99" s="63" t="str">
        <f>IF(Data[Bookie]="","",SUMIF(LayTable[LayBook],(VLOOKUP(ROW()-3,BookieName[],2,FALSE)),LayTable[WBALay]))</f>
        <v/>
      </c>
      <c r="O99" s="63" t="str">
        <f>IF(Data[Bookie]="","",SUMIF(DWbonus[Bookie],(VLOOKUP(ROW()-3,BookieName[],2,FALSE)),DWbonus[Amount]))</f>
        <v/>
      </c>
      <c r="P99" s="63" t="str">
        <f>IF(Data[Bookie]="","",SUM(Data[[#This Row],[Pending 1]:[PendingL2]]))</f>
        <v/>
      </c>
      <c r="Q99" s="63" t="str">
        <f>IF(Data[Bookie]="","",SUMIFS(BetTable[Stake],BetTable[Bookie],(VLOOKUP(ROW()-3,BookieName[],2,FALSE)),BetTable[Result],""))</f>
        <v/>
      </c>
      <c r="R99" s="63" t="str">
        <f>IF(Data[Bookie]="","",SUMIFS(BetTable[S2],BetTable[B2],(VLOOKUP(ROW()-3,BookieName[],2,FALSE)),BetTable[Result],""))</f>
        <v/>
      </c>
      <c r="S99" s="63" t="str">
        <f>IF(Data[Bookie]="","",SUMIFS(BetTable[S3],BetTable[B3],(VLOOKUP(ROW()-3,BookieName[],2,FALSE)),BetTable[Result],""))</f>
        <v/>
      </c>
      <c r="T99" s="63" t="str">
        <f>IF(Data[Bookie]="","",SUMIFS(LayTable[BackStake],LayTable[BackBook],(VLOOKUP(ROW()-3,BookieName[],2,FALSE)),LayTable[AR],""))</f>
        <v/>
      </c>
      <c r="U99" s="63" t="str">
        <f>IF(Data[Bookie]="","",SUMIFS(LayTable[LayLiability],LayTable[LayBook],(VLOOKUP(ROW()-3,BookieName[],2,FALSE)),LayTable[AR],""))</f>
        <v/>
      </c>
    </row>
    <row r="100" spans="1:21" x14ac:dyDescent="0.25">
      <c r="A100" s="62">
        <f t="shared" si="3"/>
        <v>97</v>
      </c>
      <c r="B100" s="63" t="str">
        <f>IFERROR(VLOOKUP(ROW()-3,BookieName[],2,FALSE),"")</f>
        <v/>
      </c>
      <c r="C100" s="140" t="str">
        <f>IF(Data[Bookie]="","",SUM(Data[[#This Row],[D/W]:[Bonus and Adjustments]],))</f>
        <v/>
      </c>
      <c r="D100" s="140" t="str">
        <f>IF(Data[Bookie]="","",SUMIF(DWbooks[Bookie],(VLOOKUP(ROW()-3,BookieName[],2,FALSE)),DWbooks[Amount]))</f>
        <v/>
      </c>
      <c r="E100" s="62" t="str">
        <f>IF(Data[Bookie]="","",SUMIF(BetTable[Bookie],(VLOOKUP(ROW()-3,BookieName[],2,FALSE)),BetTable[Stake])*-1)</f>
        <v/>
      </c>
      <c r="F100" s="62" t="str">
        <f>IF(Data[Bookie]="","",SUMIF(BetTable[B2],(VLOOKUP(ROW()-3,BookieName[],2,FALSE)),BetTable[S2])*-1)</f>
        <v/>
      </c>
      <c r="G100" s="62" t="str">
        <f>IF(Data[Bookie]="","",SUMIF(BetTable[B3],(VLOOKUP(ROW()-3,BookieName[],2,FALSE)),BetTable[S3])*-1)</f>
        <v/>
      </c>
      <c r="H100" s="62" t="str">
        <f>IF(Data[Bookie]="","",SUMIF(BetTable[Bookie],(VLOOKUP(ROW()-3,BookieName[],2,FALSE)),BetTable[WBA1]))</f>
        <v/>
      </c>
      <c r="I100" s="62" t="str">
        <f>IF(Data[Bookie]="","",SUMIF(BetTable[B2],(VLOOKUP(ROW()-3,BookieName[],2,FALSE)),BetTable[WBA2]))</f>
        <v/>
      </c>
      <c r="J100" s="62" t="str">
        <f>IF(Data[Bookie]="","",SUMIF(BetTable[B3],(VLOOKUP(ROW()-3,BookieName[],2,FALSE)),BetTable[WBA3]))</f>
        <v/>
      </c>
      <c r="K100" s="63" t="str">
        <f>IF(Data[Bookie]="","",SUMIF(LayTable[BackBook],(VLOOKUP(ROW()-3,BookieName[],2,FALSE)),LayTable[BackStake])*-1)</f>
        <v/>
      </c>
      <c r="L100" s="63" t="str">
        <f>IF(Data[Bookie]="","",SUMIF(LayTable[LayBook],(VLOOKUP(ROW()-3,BookieName[],2,FALSE)),LayTable[LayLiability])*-1)</f>
        <v/>
      </c>
      <c r="M100" s="63" t="str">
        <f>IF(Data[Bookie]="","",SUMIF(LayTable[BackBook],(VLOOKUP(ROW()-3,BookieName[],2,FALSE)),LayTable[WBABack]))</f>
        <v/>
      </c>
      <c r="N100" s="63" t="str">
        <f>IF(Data[Bookie]="","",SUMIF(LayTable[LayBook],(VLOOKUP(ROW()-3,BookieName[],2,FALSE)),LayTable[WBALay]))</f>
        <v/>
      </c>
      <c r="O100" s="63" t="str">
        <f>IF(Data[Bookie]="","",SUMIF(DWbonus[Bookie],(VLOOKUP(ROW()-3,BookieName[],2,FALSE)),DWbonus[Amount]))</f>
        <v/>
      </c>
      <c r="P100" s="63" t="str">
        <f>IF(Data[Bookie]="","",SUM(Data[[#This Row],[Pending 1]:[PendingL2]]))</f>
        <v/>
      </c>
      <c r="Q100" s="63" t="str">
        <f>IF(Data[Bookie]="","",SUMIFS(BetTable[Stake],BetTable[Bookie],(VLOOKUP(ROW()-3,BookieName[],2,FALSE)),BetTable[Result],""))</f>
        <v/>
      </c>
      <c r="R100" s="63" t="str">
        <f>IF(Data[Bookie]="","",SUMIFS(BetTable[S2],BetTable[B2],(VLOOKUP(ROW()-3,BookieName[],2,FALSE)),BetTable[Result],""))</f>
        <v/>
      </c>
      <c r="S100" s="63" t="str">
        <f>IF(Data[Bookie]="","",SUMIFS(BetTable[S3],BetTable[B3],(VLOOKUP(ROW()-3,BookieName[],2,FALSE)),BetTable[Result],""))</f>
        <v/>
      </c>
      <c r="T100" s="63" t="str">
        <f>IF(Data[Bookie]="","",SUMIFS(LayTable[BackStake],LayTable[BackBook],(VLOOKUP(ROW()-3,BookieName[],2,FALSE)),LayTable[AR],""))</f>
        <v/>
      </c>
      <c r="U100" s="63" t="str">
        <f>IF(Data[Bookie]="","",SUMIFS(LayTable[LayLiability],LayTable[LayBook],(VLOOKUP(ROW()-3,BookieName[],2,FALSE)),LayTable[AR],""))</f>
        <v/>
      </c>
    </row>
    <row r="101" spans="1:21" x14ac:dyDescent="0.25">
      <c r="A101" s="62">
        <f t="shared" si="3"/>
        <v>98</v>
      </c>
      <c r="B101" s="63" t="str">
        <f>IFERROR(VLOOKUP(ROW()-3,BookieName[],2,FALSE),"")</f>
        <v/>
      </c>
      <c r="C101" s="140" t="str">
        <f>IF(Data[Bookie]="","",SUM(Data[[#This Row],[D/W]:[Bonus and Adjustments]],))</f>
        <v/>
      </c>
      <c r="D101" s="140" t="str">
        <f>IF(Data[Bookie]="","",SUMIF(DWbooks[Bookie],(VLOOKUP(ROW()-3,BookieName[],2,FALSE)),DWbooks[Amount]))</f>
        <v/>
      </c>
      <c r="E101" s="62" t="str">
        <f>IF(Data[Bookie]="","",SUMIF(BetTable[Bookie],(VLOOKUP(ROW()-3,BookieName[],2,FALSE)),BetTable[Stake])*-1)</f>
        <v/>
      </c>
      <c r="F101" s="62" t="str">
        <f>IF(Data[Bookie]="","",SUMIF(BetTable[B2],(VLOOKUP(ROW()-3,BookieName[],2,FALSE)),BetTable[S2])*-1)</f>
        <v/>
      </c>
      <c r="G101" s="62" t="str">
        <f>IF(Data[Bookie]="","",SUMIF(BetTable[B3],(VLOOKUP(ROW()-3,BookieName[],2,FALSE)),BetTable[S3])*-1)</f>
        <v/>
      </c>
      <c r="H101" s="62" t="str">
        <f>IF(Data[Bookie]="","",SUMIF(BetTable[Bookie],(VLOOKUP(ROW()-3,BookieName[],2,FALSE)),BetTable[WBA1]))</f>
        <v/>
      </c>
      <c r="I101" s="62" t="str">
        <f>IF(Data[Bookie]="","",SUMIF(BetTable[B2],(VLOOKUP(ROW()-3,BookieName[],2,FALSE)),BetTable[WBA2]))</f>
        <v/>
      </c>
      <c r="J101" s="62" t="str">
        <f>IF(Data[Bookie]="","",SUMIF(BetTable[B3],(VLOOKUP(ROW()-3,BookieName[],2,FALSE)),BetTable[WBA3]))</f>
        <v/>
      </c>
      <c r="K101" s="63" t="str">
        <f>IF(Data[Bookie]="","",SUMIF(LayTable[BackBook],(VLOOKUP(ROW()-3,BookieName[],2,FALSE)),LayTable[BackStake])*-1)</f>
        <v/>
      </c>
      <c r="L101" s="63" t="str">
        <f>IF(Data[Bookie]="","",SUMIF(LayTable[LayBook],(VLOOKUP(ROW()-3,BookieName[],2,FALSE)),LayTable[LayLiability])*-1)</f>
        <v/>
      </c>
      <c r="M101" s="63" t="str">
        <f>IF(Data[Bookie]="","",SUMIF(LayTable[BackBook],(VLOOKUP(ROW()-3,BookieName[],2,FALSE)),LayTable[WBABack]))</f>
        <v/>
      </c>
      <c r="N101" s="63" t="str">
        <f>IF(Data[Bookie]="","",SUMIF(LayTable[LayBook],(VLOOKUP(ROW()-3,BookieName[],2,FALSE)),LayTable[WBALay]))</f>
        <v/>
      </c>
      <c r="O101" s="63" t="str">
        <f>IF(Data[Bookie]="","",SUMIF(DWbonus[Bookie],(VLOOKUP(ROW()-3,BookieName[],2,FALSE)),DWbonus[Amount]))</f>
        <v/>
      </c>
      <c r="P101" s="63" t="str">
        <f>IF(Data[Bookie]="","",SUM(Data[[#This Row],[Pending 1]:[PendingL2]]))</f>
        <v/>
      </c>
      <c r="Q101" s="63" t="str">
        <f>IF(Data[Bookie]="","",SUMIFS(BetTable[Stake],BetTable[Bookie],(VLOOKUP(ROW()-3,BookieName[],2,FALSE)),BetTable[Result],""))</f>
        <v/>
      </c>
      <c r="R101" s="63" t="str">
        <f>IF(Data[Bookie]="","",SUMIFS(BetTable[S2],BetTable[B2],(VLOOKUP(ROW()-3,BookieName[],2,FALSE)),BetTable[Result],""))</f>
        <v/>
      </c>
      <c r="S101" s="63" t="str">
        <f>IF(Data[Bookie]="","",SUMIFS(BetTable[S3],BetTable[B3],(VLOOKUP(ROW()-3,BookieName[],2,FALSE)),BetTable[Result],""))</f>
        <v/>
      </c>
      <c r="T101" s="63" t="str">
        <f>IF(Data[Bookie]="","",SUMIFS(LayTable[BackStake],LayTable[BackBook],(VLOOKUP(ROW()-3,BookieName[],2,FALSE)),LayTable[AR],""))</f>
        <v/>
      </c>
      <c r="U101" s="63" t="str">
        <f>IF(Data[Bookie]="","",SUMIFS(LayTable[LayLiability],LayTable[LayBook],(VLOOKUP(ROW()-3,BookieName[],2,FALSE)),LayTable[AR],""))</f>
        <v/>
      </c>
    </row>
    <row r="102" spans="1:21" x14ac:dyDescent="0.25">
      <c r="A102" s="62">
        <f t="shared" si="3"/>
        <v>99</v>
      </c>
      <c r="B102" s="63" t="str">
        <f>IFERROR(VLOOKUP(ROW()-3,BookieName[],2,FALSE),"")</f>
        <v/>
      </c>
      <c r="C102" s="140" t="str">
        <f>IF(Data[Bookie]="","",SUM(Data[[#This Row],[D/W]:[Bonus and Adjustments]],))</f>
        <v/>
      </c>
      <c r="D102" s="140" t="str">
        <f>IF(Data[Bookie]="","",SUMIF(DWbooks[Bookie],(VLOOKUP(ROW()-3,BookieName[],2,FALSE)),DWbooks[Amount]))</f>
        <v/>
      </c>
      <c r="E102" s="62" t="str">
        <f>IF(Data[Bookie]="","",SUMIF(BetTable[Bookie],(VLOOKUP(ROW()-3,BookieName[],2,FALSE)),BetTable[Stake])*-1)</f>
        <v/>
      </c>
      <c r="F102" s="62" t="str">
        <f>IF(Data[Bookie]="","",SUMIF(BetTable[B2],(VLOOKUP(ROW()-3,BookieName[],2,FALSE)),BetTable[S2])*-1)</f>
        <v/>
      </c>
      <c r="G102" s="62" t="str">
        <f>IF(Data[Bookie]="","",SUMIF(BetTable[B3],(VLOOKUP(ROW()-3,BookieName[],2,FALSE)),BetTable[S3])*-1)</f>
        <v/>
      </c>
      <c r="H102" s="62" t="str">
        <f>IF(Data[Bookie]="","",SUMIF(BetTable[Bookie],(VLOOKUP(ROW()-3,BookieName[],2,FALSE)),BetTable[WBA1]))</f>
        <v/>
      </c>
      <c r="I102" s="62" t="str">
        <f>IF(Data[Bookie]="","",SUMIF(BetTable[B2],(VLOOKUP(ROW()-3,BookieName[],2,FALSE)),BetTable[WBA2]))</f>
        <v/>
      </c>
      <c r="J102" s="62" t="str">
        <f>IF(Data[Bookie]="","",SUMIF(BetTable[B3],(VLOOKUP(ROW()-3,BookieName[],2,FALSE)),BetTable[WBA3]))</f>
        <v/>
      </c>
      <c r="K102" s="63" t="str">
        <f>IF(Data[Bookie]="","",SUMIF(LayTable[BackBook],(VLOOKUP(ROW()-3,BookieName[],2,FALSE)),LayTable[BackStake])*-1)</f>
        <v/>
      </c>
      <c r="L102" s="63" t="str">
        <f>IF(Data[Bookie]="","",SUMIF(LayTable[LayBook],(VLOOKUP(ROW()-3,BookieName[],2,FALSE)),LayTable[LayLiability])*-1)</f>
        <v/>
      </c>
      <c r="M102" s="63" t="str">
        <f>IF(Data[Bookie]="","",SUMIF(LayTable[BackBook],(VLOOKUP(ROW()-3,BookieName[],2,FALSE)),LayTable[WBABack]))</f>
        <v/>
      </c>
      <c r="N102" s="63" t="str">
        <f>IF(Data[Bookie]="","",SUMIF(LayTable[LayBook],(VLOOKUP(ROW()-3,BookieName[],2,FALSE)),LayTable[WBALay]))</f>
        <v/>
      </c>
      <c r="O102" s="63" t="str">
        <f>IF(Data[Bookie]="","",SUMIF(DWbonus[Bookie],(VLOOKUP(ROW()-3,BookieName[],2,FALSE)),DWbonus[Amount]))</f>
        <v/>
      </c>
      <c r="P102" s="63" t="str">
        <f>IF(Data[Bookie]="","",SUM(Data[[#This Row],[Pending 1]:[PendingL2]]))</f>
        <v/>
      </c>
      <c r="Q102" s="63" t="str">
        <f>IF(Data[Bookie]="","",SUMIFS(BetTable[Stake],BetTable[Bookie],(VLOOKUP(ROW()-3,BookieName[],2,FALSE)),BetTable[Result],""))</f>
        <v/>
      </c>
      <c r="R102" s="63" t="str">
        <f>IF(Data[Bookie]="","",SUMIFS(BetTable[S2],BetTable[B2],(VLOOKUP(ROW()-3,BookieName[],2,FALSE)),BetTable[Result],""))</f>
        <v/>
      </c>
      <c r="S102" s="63" t="str">
        <f>IF(Data[Bookie]="","",SUMIFS(BetTable[S3],BetTable[B3],(VLOOKUP(ROW()-3,BookieName[],2,FALSE)),BetTable[Result],""))</f>
        <v/>
      </c>
      <c r="T102" s="63" t="str">
        <f>IF(Data[Bookie]="","",SUMIFS(LayTable[BackStake],LayTable[BackBook],(VLOOKUP(ROW()-3,BookieName[],2,FALSE)),LayTable[AR],""))</f>
        <v/>
      </c>
      <c r="U102" s="63" t="str">
        <f>IF(Data[Bookie]="","",SUMIFS(LayTable[LayLiability],LayTable[LayBook],(VLOOKUP(ROW()-3,BookieName[],2,FALSE)),LayTable[AR],""))</f>
        <v/>
      </c>
    </row>
    <row r="103" spans="1:21" x14ac:dyDescent="0.25">
      <c r="A103" s="62">
        <f t="shared" si="3"/>
        <v>100</v>
      </c>
      <c r="B103" s="63" t="str">
        <f>IFERROR(VLOOKUP(ROW()-3,BookieName[],2,FALSE),"")</f>
        <v/>
      </c>
      <c r="C103" s="140" t="str">
        <f>IF(Data[Bookie]="","",SUM(Data[[#This Row],[D/W]:[Bonus and Adjustments]],))</f>
        <v/>
      </c>
      <c r="D103" s="140" t="str">
        <f>IF(Data[Bookie]="","",SUMIF(DWbooks[Bookie],(VLOOKUP(ROW()-3,BookieName[],2,FALSE)),DWbooks[Amount]))</f>
        <v/>
      </c>
      <c r="E103" s="62" t="str">
        <f>IF(Data[Bookie]="","",SUMIF(BetTable[Bookie],(VLOOKUP(ROW()-3,BookieName[],2,FALSE)),BetTable[Stake])*-1)</f>
        <v/>
      </c>
      <c r="F103" s="62" t="str">
        <f>IF(Data[Bookie]="","",SUMIF(BetTable[B2],(VLOOKUP(ROW()-3,BookieName[],2,FALSE)),BetTable[S2])*-1)</f>
        <v/>
      </c>
      <c r="G103" s="62" t="str">
        <f>IF(Data[Bookie]="","",SUMIF(BetTable[B3],(VLOOKUP(ROW()-3,BookieName[],2,FALSE)),BetTable[S3])*-1)</f>
        <v/>
      </c>
      <c r="H103" s="62" t="str">
        <f>IF(Data[Bookie]="","",SUMIF(BetTable[Bookie],(VLOOKUP(ROW()-3,BookieName[],2,FALSE)),BetTable[WBA1]))</f>
        <v/>
      </c>
      <c r="I103" s="62" t="str">
        <f>IF(Data[Bookie]="","",SUMIF(BetTable[B2],(VLOOKUP(ROW()-3,BookieName[],2,FALSE)),BetTable[WBA2]))</f>
        <v/>
      </c>
      <c r="J103" s="62" t="str">
        <f>IF(Data[Bookie]="","",SUMIF(BetTable[B3],(VLOOKUP(ROW()-3,BookieName[],2,FALSE)),BetTable[WBA3]))</f>
        <v/>
      </c>
      <c r="K103" s="63" t="str">
        <f>IF(Data[Bookie]="","",SUMIF(LayTable[BackBook],(VLOOKUP(ROW()-3,BookieName[],2,FALSE)),LayTable[BackStake])*-1)</f>
        <v/>
      </c>
      <c r="L103" s="63" t="str">
        <f>IF(Data[Bookie]="","",SUMIF(LayTable[LayBook],(VLOOKUP(ROW()-3,BookieName[],2,FALSE)),LayTable[LayLiability])*-1)</f>
        <v/>
      </c>
      <c r="M103" s="63" t="str">
        <f>IF(Data[Bookie]="","",SUMIF(LayTable[BackBook],(VLOOKUP(ROW()-3,BookieName[],2,FALSE)),LayTable[WBABack]))</f>
        <v/>
      </c>
      <c r="N103" s="63" t="str">
        <f>IF(Data[Bookie]="","",SUMIF(LayTable[LayBook],(VLOOKUP(ROW()-3,BookieName[],2,FALSE)),LayTable[WBALay]))</f>
        <v/>
      </c>
      <c r="O103" s="63" t="str">
        <f>IF(Data[Bookie]="","",SUMIF(DWbonus[Bookie],(VLOOKUP(ROW()-3,BookieName[],2,FALSE)),DWbonus[Amount]))</f>
        <v/>
      </c>
      <c r="P103" s="63" t="str">
        <f>IF(Data[Bookie]="","",SUM(Data[[#This Row],[Pending 1]:[PendingL2]]))</f>
        <v/>
      </c>
      <c r="Q103" s="63" t="str">
        <f>IF(Data[Bookie]="","",SUMIFS(BetTable[Stake],BetTable[Bookie],(VLOOKUP(ROW()-3,BookieName[],2,FALSE)),BetTable[Result],""))</f>
        <v/>
      </c>
      <c r="R103" s="63" t="str">
        <f>IF(Data[Bookie]="","",SUMIFS(BetTable[S2],BetTable[B2],(VLOOKUP(ROW()-3,BookieName[],2,FALSE)),BetTable[Result],""))</f>
        <v/>
      </c>
      <c r="S103" s="63" t="str">
        <f>IF(Data[Bookie]="","",SUMIFS(BetTable[S3],BetTable[B3],(VLOOKUP(ROW()-3,BookieName[],2,FALSE)),BetTable[Result],""))</f>
        <v/>
      </c>
      <c r="T103" s="63" t="str">
        <f>IF(Data[Bookie]="","",SUMIFS(LayTable[BackStake],LayTable[BackBook],(VLOOKUP(ROW()-3,BookieName[],2,FALSE)),LayTable[AR],""))</f>
        <v/>
      </c>
      <c r="U103" s="63" t="str">
        <f>IF(Data[Bookie]="","",SUMIFS(LayTable[LayLiability],LayTable[LayBook],(VLOOKUP(ROW()-3,BookieName[],2,FALSE)),LayTable[AR],""))</f>
        <v/>
      </c>
    </row>
    <row r="104" spans="1:21" x14ac:dyDescent="0.25">
      <c r="A104" s="62">
        <f t="shared" ref="A104:A123" si="4">ROW()-3</f>
        <v>101</v>
      </c>
      <c r="B104" s="63" t="str">
        <f>IFERROR(VLOOKUP(ROW()-3,BookieName[],2,FALSE),"")</f>
        <v/>
      </c>
      <c r="C104" s="140" t="str">
        <f>IF(Data[Bookie]="","",SUM(Data[[#This Row],[D/W]:[Bonus and Adjustments]],))</f>
        <v/>
      </c>
      <c r="D104" s="140" t="str">
        <f>IF(Data[Bookie]="","",SUMIF(DWbooks[Bookie],(VLOOKUP(ROW()-3,BookieName[],2,FALSE)),DWbooks[Amount]))</f>
        <v/>
      </c>
      <c r="E104" s="62" t="str">
        <f>IF(Data[Bookie]="","",SUMIF(BetTable[Bookie],(VLOOKUP(ROW()-3,BookieName[],2,FALSE)),BetTable[Stake])*-1)</f>
        <v/>
      </c>
      <c r="F104" s="62" t="str">
        <f>IF(Data[Bookie]="","",SUMIF(BetTable[B2],(VLOOKUP(ROW()-3,BookieName[],2,FALSE)),BetTable[S2])*-1)</f>
        <v/>
      </c>
      <c r="G104" s="62" t="str">
        <f>IF(Data[Bookie]="","",SUMIF(BetTable[B3],(VLOOKUP(ROW()-3,BookieName[],2,FALSE)),BetTable[S3])*-1)</f>
        <v/>
      </c>
      <c r="H104" s="62" t="str">
        <f>IF(Data[Bookie]="","",SUMIF(BetTable[Bookie],(VLOOKUP(ROW()-3,BookieName[],2,FALSE)),BetTable[WBA1]))</f>
        <v/>
      </c>
      <c r="I104" s="62" t="str">
        <f>IF(Data[Bookie]="","",SUMIF(BetTable[B2],(VLOOKUP(ROW()-3,BookieName[],2,FALSE)),BetTable[WBA2]))</f>
        <v/>
      </c>
      <c r="J104" s="62" t="str">
        <f>IF(Data[Bookie]="","",SUMIF(BetTable[B3],(VLOOKUP(ROW()-3,BookieName[],2,FALSE)),BetTable[WBA3]))</f>
        <v/>
      </c>
      <c r="K104" s="63" t="str">
        <f>IF(Data[Bookie]="","",SUMIF(LayTable[BackBook],(VLOOKUP(ROW()-3,BookieName[],2,FALSE)),LayTable[BackStake])*-1)</f>
        <v/>
      </c>
      <c r="L104" s="63" t="str">
        <f>IF(Data[Bookie]="","",SUMIF(LayTable[LayBook],(VLOOKUP(ROW()-3,BookieName[],2,FALSE)),LayTable[LayLiability])*-1)</f>
        <v/>
      </c>
      <c r="M104" s="63" t="str">
        <f>IF(Data[Bookie]="","",SUMIF(LayTable[BackBook],(VLOOKUP(ROW()-3,BookieName[],2,FALSE)),LayTable[WBABack]))</f>
        <v/>
      </c>
      <c r="N104" s="63" t="str">
        <f>IF(Data[Bookie]="","",SUMIF(LayTable[LayBook],(VLOOKUP(ROW()-3,BookieName[],2,FALSE)),LayTable[WBALay]))</f>
        <v/>
      </c>
      <c r="O104" s="63" t="str">
        <f>IF(Data[Bookie]="","",SUMIF(DWbonus[Bookie],(VLOOKUP(ROW()-3,BookieName[],2,FALSE)),DWbonus[Amount]))</f>
        <v/>
      </c>
      <c r="P104" s="63" t="str">
        <f>IF(Data[Bookie]="","",SUM(Data[[#This Row],[Pending 1]:[PendingL2]]))</f>
        <v/>
      </c>
      <c r="Q104" s="63" t="str">
        <f>IF(Data[Bookie]="","",SUMIFS(BetTable[Stake],BetTable[Bookie],(VLOOKUP(ROW()-3,BookieName[],2,FALSE)),BetTable[Result],""))</f>
        <v/>
      </c>
      <c r="R104" s="63" t="str">
        <f>IF(Data[Bookie]="","",SUMIFS(BetTable[S2],BetTable[B2],(VLOOKUP(ROW()-3,BookieName[],2,FALSE)),BetTable[Result],""))</f>
        <v/>
      </c>
      <c r="S104" s="63" t="str">
        <f>IF(Data[Bookie]="","",SUMIFS(BetTable[S3],BetTable[B3],(VLOOKUP(ROW()-3,BookieName[],2,FALSE)),BetTable[Result],""))</f>
        <v/>
      </c>
      <c r="T104" s="63" t="str">
        <f>IF(Data[Bookie]="","",SUMIFS(LayTable[BackStake],LayTable[BackBook],(VLOOKUP(ROW()-3,BookieName[],2,FALSE)),LayTable[AR],""))</f>
        <v/>
      </c>
      <c r="U104" s="63" t="str">
        <f>IF(Data[Bookie]="","",SUMIFS(LayTable[LayLiability],LayTable[LayBook],(VLOOKUP(ROW()-3,BookieName[],2,FALSE)),LayTable[AR],""))</f>
        <v/>
      </c>
    </row>
    <row r="105" spans="1:21" x14ac:dyDescent="0.25">
      <c r="A105" s="62">
        <f t="shared" si="4"/>
        <v>102</v>
      </c>
      <c r="B105" s="63" t="str">
        <f>IFERROR(VLOOKUP(ROW()-3,BookieName[],2,FALSE),"")</f>
        <v/>
      </c>
      <c r="C105" s="140" t="str">
        <f>IF(Data[Bookie]="","",SUM(Data[[#This Row],[D/W]:[Bonus and Adjustments]],))</f>
        <v/>
      </c>
      <c r="D105" s="140" t="str">
        <f>IF(Data[Bookie]="","",SUMIF(DWbooks[Bookie],(VLOOKUP(ROW()-3,BookieName[],2,FALSE)),DWbooks[Amount]))</f>
        <v/>
      </c>
      <c r="E105" s="62" t="str">
        <f>IF(Data[Bookie]="","",SUMIF(BetTable[Bookie],(VLOOKUP(ROW()-3,BookieName[],2,FALSE)),BetTable[Stake])*-1)</f>
        <v/>
      </c>
      <c r="F105" s="62" t="str">
        <f>IF(Data[Bookie]="","",SUMIF(BetTable[B2],(VLOOKUP(ROW()-3,BookieName[],2,FALSE)),BetTable[S2])*-1)</f>
        <v/>
      </c>
      <c r="G105" s="62" t="str">
        <f>IF(Data[Bookie]="","",SUMIF(BetTable[B3],(VLOOKUP(ROW()-3,BookieName[],2,FALSE)),BetTable[S3])*-1)</f>
        <v/>
      </c>
      <c r="H105" s="62" t="str">
        <f>IF(Data[Bookie]="","",SUMIF(BetTable[Bookie],(VLOOKUP(ROW()-3,BookieName[],2,FALSE)),BetTable[WBA1]))</f>
        <v/>
      </c>
      <c r="I105" s="62" t="str">
        <f>IF(Data[Bookie]="","",SUMIF(BetTable[B2],(VLOOKUP(ROW()-3,BookieName[],2,FALSE)),BetTable[WBA2]))</f>
        <v/>
      </c>
      <c r="J105" s="62" t="str">
        <f>IF(Data[Bookie]="","",SUMIF(BetTable[B3],(VLOOKUP(ROW()-3,BookieName[],2,FALSE)),BetTable[WBA3]))</f>
        <v/>
      </c>
      <c r="K105" s="63" t="str">
        <f>IF(Data[Bookie]="","",SUMIF(LayTable[BackBook],(VLOOKUP(ROW()-3,BookieName[],2,FALSE)),LayTable[BackStake])*-1)</f>
        <v/>
      </c>
      <c r="L105" s="63" t="str">
        <f>IF(Data[Bookie]="","",SUMIF(LayTable[LayBook],(VLOOKUP(ROW()-3,BookieName[],2,FALSE)),LayTable[LayLiability])*-1)</f>
        <v/>
      </c>
      <c r="M105" s="63" t="str">
        <f>IF(Data[Bookie]="","",SUMIF(LayTable[BackBook],(VLOOKUP(ROW()-3,BookieName[],2,FALSE)),LayTable[WBABack]))</f>
        <v/>
      </c>
      <c r="N105" s="63" t="str">
        <f>IF(Data[Bookie]="","",SUMIF(LayTable[LayBook],(VLOOKUP(ROW()-3,BookieName[],2,FALSE)),LayTable[WBALay]))</f>
        <v/>
      </c>
      <c r="O105" s="63" t="str">
        <f>IF(Data[Bookie]="","",SUMIF(DWbonus[Bookie],(VLOOKUP(ROW()-3,BookieName[],2,FALSE)),DWbonus[Amount]))</f>
        <v/>
      </c>
      <c r="P105" s="63" t="str">
        <f>IF(Data[Bookie]="","",SUM(Data[[#This Row],[Pending 1]:[PendingL2]]))</f>
        <v/>
      </c>
      <c r="Q105" s="63" t="str">
        <f>IF(Data[Bookie]="","",SUMIFS(BetTable[Stake],BetTable[Bookie],(VLOOKUP(ROW()-3,BookieName[],2,FALSE)),BetTable[Result],""))</f>
        <v/>
      </c>
      <c r="R105" s="63" t="str">
        <f>IF(Data[Bookie]="","",SUMIFS(BetTable[S2],BetTable[B2],(VLOOKUP(ROW()-3,BookieName[],2,FALSE)),BetTable[Result],""))</f>
        <v/>
      </c>
      <c r="S105" s="63" t="str">
        <f>IF(Data[Bookie]="","",SUMIFS(BetTable[S3],BetTable[B3],(VLOOKUP(ROW()-3,BookieName[],2,FALSE)),BetTable[Result],""))</f>
        <v/>
      </c>
      <c r="T105" s="63" t="str">
        <f>IF(Data[Bookie]="","",SUMIFS(LayTable[BackStake],LayTable[BackBook],(VLOOKUP(ROW()-3,BookieName[],2,FALSE)),LayTable[AR],""))</f>
        <v/>
      </c>
      <c r="U105" s="63" t="str">
        <f>IF(Data[Bookie]="","",SUMIFS(LayTable[LayLiability],LayTable[LayBook],(VLOOKUP(ROW()-3,BookieName[],2,FALSE)),LayTable[AR],""))</f>
        <v/>
      </c>
    </row>
    <row r="106" spans="1:21" x14ac:dyDescent="0.25">
      <c r="A106" s="62">
        <f t="shared" si="4"/>
        <v>103</v>
      </c>
      <c r="B106" s="63" t="str">
        <f>IFERROR(VLOOKUP(ROW()-3,BookieName[],2,FALSE),"")</f>
        <v/>
      </c>
      <c r="C106" s="140" t="str">
        <f>IF(Data[Bookie]="","",SUM(Data[[#This Row],[D/W]:[Bonus and Adjustments]],))</f>
        <v/>
      </c>
      <c r="D106" s="140" t="str">
        <f>IF(Data[Bookie]="","",SUMIF(DWbooks[Bookie],(VLOOKUP(ROW()-3,BookieName[],2,FALSE)),DWbooks[Amount]))</f>
        <v/>
      </c>
      <c r="E106" s="62" t="str">
        <f>IF(Data[Bookie]="","",SUMIF(BetTable[Bookie],(VLOOKUP(ROW()-3,BookieName[],2,FALSE)),BetTable[Stake])*-1)</f>
        <v/>
      </c>
      <c r="F106" s="62" t="str">
        <f>IF(Data[Bookie]="","",SUMIF(BetTable[B2],(VLOOKUP(ROW()-3,BookieName[],2,FALSE)),BetTable[S2])*-1)</f>
        <v/>
      </c>
      <c r="G106" s="62" t="str">
        <f>IF(Data[Bookie]="","",SUMIF(BetTable[B3],(VLOOKUP(ROW()-3,BookieName[],2,FALSE)),BetTable[S3])*-1)</f>
        <v/>
      </c>
      <c r="H106" s="62" t="str">
        <f>IF(Data[Bookie]="","",SUMIF(BetTable[Bookie],(VLOOKUP(ROW()-3,BookieName[],2,FALSE)),BetTable[WBA1]))</f>
        <v/>
      </c>
      <c r="I106" s="62" t="str">
        <f>IF(Data[Bookie]="","",SUMIF(BetTable[B2],(VLOOKUP(ROW()-3,BookieName[],2,FALSE)),BetTable[WBA2]))</f>
        <v/>
      </c>
      <c r="J106" s="62" t="str">
        <f>IF(Data[Bookie]="","",SUMIF(BetTable[B3],(VLOOKUP(ROW()-3,BookieName[],2,FALSE)),BetTable[WBA3]))</f>
        <v/>
      </c>
      <c r="K106" s="63" t="str">
        <f>IF(Data[Bookie]="","",SUMIF(LayTable[BackBook],(VLOOKUP(ROW()-3,BookieName[],2,FALSE)),LayTable[BackStake])*-1)</f>
        <v/>
      </c>
      <c r="L106" s="63" t="str">
        <f>IF(Data[Bookie]="","",SUMIF(LayTable[LayBook],(VLOOKUP(ROW()-3,BookieName[],2,FALSE)),LayTable[LayLiability])*-1)</f>
        <v/>
      </c>
      <c r="M106" s="63" t="str">
        <f>IF(Data[Bookie]="","",SUMIF(LayTable[BackBook],(VLOOKUP(ROW()-3,BookieName[],2,FALSE)),LayTable[WBABack]))</f>
        <v/>
      </c>
      <c r="N106" s="63" t="str">
        <f>IF(Data[Bookie]="","",SUMIF(LayTable[LayBook],(VLOOKUP(ROW()-3,BookieName[],2,FALSE)),LayTable[WBALay]))</f>
        <v/>
      </c>
      <c r="O106" s="63" t="str">
        <f>IF(Data[Bookie]="","",SUMIF(DWbonus[Bookie],(VLOOKUP(ROW()-3,BookieName[],2,FALSE)),DWbonus[Amount]))</f>
        <v/>
      </c>
      <c r="P106" s="63" t="str">
        <f>IF(Data[Bookie]="","",SUM(Data[[#This Row],[Pending 1]:[PendingL2]]))</f>
        <v/>
      </c>
      <c r="Q106" s="63" t="str">
        <f>IF(Data[Bookie]="","",SUMIFS(BetTable[Stake],BetTable[Bookie],(VLOOKUP(ROW()-3,BookieName[],2,FALSE)),BetTable[Result],""))</f>
        <v/>
      </c>
      <c r="R106" s="63" t="str">
        <f>IF(Data[Bookie]="","",SUMIFS(BetTable[S2],BetTable[B2],(VLOOKUP(ROW()-3,BookieName[],2,FALSE)),BetTable[Result],""))</f>
        <v/>
      </c>
      <c r="S106" s="63" t="str">
        <f>IF(Data[Bookie]="","",SUMIFS(BetTable[S3],BetTable[B3],(VLOOKUP(ROW()-3,BookieName[],2,FALSE)),BetTable[Result],""))</f>
        <v/>
      </c>
      <c r="T106" s="63" t="str">
        <f>IF(Data[Bookie]="","",SUMIFS(LayTable[BackStake],LayTable[BackBook],(VLOOKUP(ROW()-3,BookieName[],2,FALSE)),LayTable[AR],""))</f>
        <v/>
      </c>
      <c r="U106" s="63" t="str">
        <f>IF(Data[Bookie]="","",SUMIFS(LayTable[LayLiability],LayTable[LayBook],(VLOOKUP(ROW()-3,BookieName[],2,FALSE)),LayTable[AR],""))</f>
        <v/>
      </c>
    </row>
    <row r="107" spans="1:21" x14ac:dyDescent="0.25">
      <c r="A107" s="62">
        <f t="shared" si="4"/>
        <v>104</v>
      </c>
      <c r="B107" s="63" t="str">
        <f>IFERROR(VLOOKUP(ROW()-3,BookieName[],2,FALSE),"")</f>
        <v/>
      </c>
      <c r="C107" s="140" t="str">
        <f>IF(Data[Bookie]="","",SUM(Data[[#This Row],[D/W]:[Bonus and Adjustments]],))</f>
        <v/>
      </c>
      <c r="D107" s="140" t="str">
        <f>IF(Data[Bookie]="","",SUMIF(DWbooks[Bookie],(VLOOKUP(ROW()-3,BookieName[],2,FALSE)),DWbooks[Amount]))</f>
        <v/>
      </c>
      <c r="E107" s="62" t="str">
        <f>IF(Data[Bookie]="","",SUMIF(BetTable[Bookie],(VLOOKUP(ROW()-3,BookieName[],2,FALSE)),BetTable[Stake])*-1)</f>
        <v/>
      </c>
      <c r="F107" s="62" t="str">
        <f>IF(Data[Bookie]="","",SUMIF(BetTable[B2],(VLOOKUP(ROW()-3,BookieName[],2,FALSE)),BetTable[S2])*-1)</f>
        <v/>
      </c>
      <c r="G107" s="62" t="str">
        <f>IF(Data[Bookie]="","",SUMIF(BetTable[B3],(VLOOKUP(ROW()-3,BookieName[],2,FALSE)),BetTable[S3])*-1)</f>
        <v/>
      </c>
      <c r="H107" s="62" t="str">
        <f>IF(Data[Bookie]="","",SUMIF(BetTable[Bookie],(VLOOKUP(ROW()-3,BookieName[],2,FALSE)),BetTable[WBA1]))</f>
        <v/>
      </c>
      <c r="I107" s="62" t="str">
        <f>IF(Data[Bookie]="","",SUMIF(BetTable[B2],(VLOOKUP(ROW()-3,BookieName[],2,FALSE)),BetTable[WBA2]))</f>
        <v/>
      </c>
      <c r="J107" s="62" t="str">
        <f>IF(Data[Bookie]="","",SUMIF(BetTable[B3],(VLOOKUP(ROW()-3,BookieName[],2,FALSE)),BetTable[WBA3]))</f>
        <v/>
      </c>
      <c r="K107" s="63" t="str">
        <f>IF(Data[Bookie]="","",SUMIF(LayTable[BackBook],(VLOOKUP(ROW()-3,BookieName[],2,FALSE)),LayTable[BackStake])*-1)</f>
        <v/>
      </c>
      <c r="L107" s="63" t="str">
        <f>IF(Data[Bookie]="","",SUMIF(LayTable[LayBook],(VLOOKUP(ROW()-3,BookieName[],2,FALSE)),LayTable[LayLiability])*-1)</f>
        <v/>
      </c>
      <c r="M107" s="63" t="str">
        <f>IF(Data[Bookie]="","",SUMIF(LayTable[BackBook],(VLOOKUP(ROW()-3,BookieName[],2,FALSE)),LayTable[WBABack]))</f>
        <v/>
      </c>
      <c r="N107" s="63" t="str">
        <f>IF(Data[Bookie]="","",SUMIF(LayTable[LayBook],(VLOOKUP(ROW()-3,BookieName[],2,FALSE)),LayTable[WBALay]))</f>
        <v/>
      </c>
      <c r="O107" s="63" t="str">
        <f>IF(Data[Bookie]="","",SUMIF(DWbonus[Bookie],(VLOOKUP(ROW()-3,BookieName[],2,FALSE)),DWbonus[Amount]))</f>
        <v/>
      </c>
      <c r="P107" s="63" t="str">
        <f>IF(Data[Bookie]="","",SUM(Data[[#This Row],[Pending 1]:[PendingL2]]))</f>
        <v/>
      </c>
      <c r="Q107" s="63" t="str">
        <f>IF(Data[Bookie]="","",SUMIFS(BetTable[Stake],BetTable[Bookie],(VLOOKUP(ROW()-3,BookieName[],2,FALSE)),BetTable[Result],""))</f>
        <v/>
      </c>
      <c r="R107" s="63" t="str">
        <f>IF(Data[Bookie]="","",SUMIFS(BetTable[S2],BetTable[B2],(VLOOKUP(ROW()-3,BookieName[],2,FALSE)),BetTable[Result],""))</f>
        <v/>
      </c>
      <c r="S107" s="63" t="str">
        <f>IF(Data[Bookie]="","",SUMIFS(BetTable[S3],BetTable[B3],(VLOOKUP(ROW()-3,BookieName[],2,FALSE)),BetTable[Result],""))</f>
        <v/>
      </c>
      <c r="T107" s="63" t="str">
        <f>IF(Data[Bookie]="","",SUMIFS(LayTable[BackStake],LayTable[BackBook],(VLOOKUP(ROW()-3,BookieName[],2,FALSE)),LayTable[AR],""))</f>
        <v/>
      </c>
      <c r="U107" s="63" t="str">
        <f>IF(Data[Bookie]="","",SUMIFS(LayTable[LayLiability],LayTable[LayBook],(VLOOKUP(ROW()-3,BookieName[],2,FALSE)),LayTable[AR],""))</f>
        <v/>
      </c>
    </row>
    <row r="108" spans="1:21" x14ac:dyDescent="0.25">
      <c r="A108" s="62">
        <f t="shared" si="4"/>
        <v>105</v>
      </c>
      <c r="B108" s="63" t="str">
        <f>IFERROR(VLOOKUP(ROW()-3,BookieName[],2,FALSE),"")</f>
        <v/>
      </c>
      <c r="C108" s="140" t="str">
        <f>IF(Data[Bookie]="","",SUM(Data[[#This Row],[D/W]:[Bonus and Adjustments]],))</f>
        <v/>
      </c>
      <c r="D108" s="140" t="str">
        <f>IF(Data[Bookie]="","",SUMIF(DWbooks[Bookie],(VLOOKUP(ROW()-3,BookieName[],2,FALSE)),DWbooks[Amount]))</f>
        <v/>
      </c>
      <c r="E108" s="62" t="str">
        <f>IF(Data[Bookie]="","",SUMIF(BetTable[Bookie],(VLOOKUP(ROW()-3,BookieName[],2,FALSE)),BetTable[Stake])*-1)</f>
        <v/>
      </c>
      <c r="F108" s="62" t="str">
        <f>IF(Data[Bookie]="","",SUMIF(BetTable[B2],(VLOOKUP(ROW()-3,BookieName[],2,FALSE)),BetTable[S2])*-1)</f>
        <v/>
      </c>
      <c r="G108" s="62" t="str">
        <f>IF(Data[Bookie]="","",SUMIF(BetTable[B3],(VLOOKUP(ROW()-3,BookieName[],2,FALSE)),BetTable[S3])*-1)</f>
        <v/>
      </c>
      <c r="H108" s="62" t="str">
        <f>IF(Data[Bookie]="","",SUMIF(BetTable[Bookie],(VLOOKUP(ROW()-3,BookieName[],2,FALSE)),BetTable[WBA1]))</f>
        <v/>
      </c>
      <c r="I108" s="62" t="str">
        <f>IF(Data[Bookie]="","",SUMIF(BetTable[B2],(VLOOKUP(ROW()-3,BookieName[],2,FALSE)),BetTable[WBA2]))</f>
        <v/>
      </c>
      <c r="J108" s="62" t="str">
        <f>IF(Data[Bookie]="","",SUMIF(BetTable[B3],(VLOOKUP(ROW()-3,BookieName[],2,FALSE)),BetTable[WBA3]))</f>
        <v/>
      </c>
      <c r="K108" s="63" t="str">
        <f>IF(Data[Bookie]="","",SUMIF(LayTable[BackBook],(VLOOKUP(ROW()-3,BookieName[],2,FALSE)),LayTable[BackStake])*-1)</f>
        <v/>
      </c>
      <c r="L108" s="63" t="str">
        <f>IF(Data[Bookie]="","",SUMIF(LayTable[LayBook],(VLOOKUP(ROW()-3,BookieName[],2,FALSE)),LayTable[LayLiability])*-1)</f>
        <v/>
      </c>
      <c r="M108" s="63" t="str">
        <f>IF(Data[Bookie]="","",SUMIF(LayTable[BackBook],(VLOOKUP(ROW()-3,BookieName[],2,FALSE)),LayTable[WBABack]))</f>
        <v/>
      </c>
      <c r="N108" s="63" t="str">
        <f>IF(Data[Bookie]="","",SUMIF(LayTable[LayBook],(VLOOKUP(ROW()-3,BookieName[],2,FALSE)),LayTable[WBALay]))</f>
        <v/>
      </c>
      <c r="O108" s="63" t="str">
        <f>IF(Data[Bookie]="","",SUMIF(DWbonus[Bookie],(VLOOKUP(ROW()-3,BookieName[],2,FALSE)),DWbonus[Amount]))</f>
        <v/>
      </c>
      <c r="P108" s="63" t="str">
        <f>IF(Data[Bookie]="","",SUM(Data[[#This Row],[Pending 1]:[PendingL2]]))</f>
        <v/>
      </c>
      <c r="Q108" s="63" t="str">
        <f>IF(Data[Bookie]="","",SUMIFS(BetTable[Stake],BetTable[Bookie],(VLOOKUP(ROW()-3,BookieName[],2,FALSE)),BetTable[Result],""))</f>
        <v/>
      </c>
      <c r="R108" s="63" t="str">
        <f>IF(Data[Bookie]="","",SUMIFS(BetTable[S2],BetTable[B2],(VLOOKUP(ROW()-3,BookieName[],2,FALSE)),BetTable[Result],""))</f>
        <v/>
      </c>
      <c r="S108" s="63" t="str">
        <f>IF(Data[Bookie]="","",SUMIFS(BetTable[S3],BetTable[B3],(VLOOKUP(ROW()-3,BookieName[],2,FALSE)),BetTable[Result],""))</f>
        <v/>
      </c>
      <c r="T108" s="63" t="str">
        <f>IF(Data[Bookie]="","",SUMIFS(LayTable[BackStake],LayTable[BackBook],(VLOOKUP(ROW()-3,BookieName[],2,FALSE)),LayTable[AR],""))</f>
        <v/>
      </c>
      <c r="U108" s="63" t="str">
        <f>IF(Data[Bookie]="","",SUMIFS(LayTable[LayLiability],LayTable[LayBook],(VLOOKUP(ROW()-3,BookieName[],2,FALSE)),LayTable[AR],""))</f>
        <v/>
      </c>
    </row>
    <row r="109" spans="1:21" x14ac:dyDescent="0.25">
      <c r="A109" s="62">
        <f t="shared" si="4"/>
        <v>106</v>
      </c>
      <c r="B109" s="63" t="str">
        <f>IFERROR(VLOOKUP(ROW()-3,BookieName[],2,FALSE),"")</f>
        <v/>
      </c>
      <c r="C109" s="140" t="str">
        <f>IF(Data[Bookie]="","",SUM(Data[[#This Row],[D/W]:[Bonus and Adjustments]],))</f>
        <v/>
      </c>
      <c r="D109" s="140" t="str">
        <f>IF(Data[Bookie]="","",SUMIF(DWbooks[Bookie],(VLOOKUP(ROW()-3,BookieName[],2,FALSE)),DWbooks[Amount]))</f>
        <v/>
      </c>
      <c r="E109" s="62" t="str">
        <f>IF(Data[Bookie]="","",SUMIF(BetTable[Bookie],(VLOOKUP(ROW()-3,BookieName[],2,FALSE)),BetTable[Stake])*-1)</f>
        <v/>
      </c>
      <c r="F109" s="62" t="str">
        <f>IF(Data[Bookie]="","",SUMIF(BetTable[B2],(VLOOKUP(ROW()-3,BookieName[],2,FALSE)),BetTable[S2])*-1)</f>
        <v/>
      </c>
      <c r="G109" s="62" t="str">
        <f>IF(Data[Bookie]="","",SUMIF(BetTable[B3],(VLOOKUP(ROW()-3,BookieName[],2,FALSE)),BetTable[S3])*-1)</f>
        <v/>
      </c>
      <c r="H109" s="62" t="str">
        <f>IF(Data[Bookie]="","",SUMIF(BetTable[Bookie],(VLOOKUP(ROW()-3,BookieName[],2,FALSE)),BetTable[WBA1]))</f>
        <v/>
      </c>
      <c r="I109" s="62" t="str">
        <f>IF(Data[Bookie]="","",SUMIF(BetTable[B2],(VLOOKUP(ROW()-3,BookieName[],2,FALSE)),BetTable[WBA2]))</f>
        <v/>
      </c>
      <c r="J109" s="62" t="str">
        <f>IF(Data[Bookie]="","",SUMIF(BetTable[B3],(VLOOKUP(ROW()-3,BookieName[],2,FALSE)),BetTable[WBA3]))</f>
        <v/>
      </c>
      <c r="K109" s="63" t="str">
        <f>IF(Data[Bookie]="","",SUMIF(LayTable[BackBook],(VLOOKUP(ROW()-3,BookieName[],2,FALSE)),LayTable[BackStake])*-1)</f>
        <v/>
      </c>
      <c r="L109" s="63" t="str">
        <f>IF(Data[Bookie]="","",SUMIF(LayTable[LayBook],(VLOOKUP(ROW()-3,BookieName[],2,FALSE)),LayTable[LayLiability])*-1)</f>
        <v/>
      </c>
      <c r="M109" s="63" t="str">
        <f>IF(Data[Bookie]="","",SUMIF(LayTable[BackBook],(VLOOKUP(ROW()-3,BookieName[],2,FALSE)),LayTable[WBABack]))</f>
        <v/>
      </c>
      <c r="N109" s="63" t="str">
        <f>IF(Data[Bookie]="","",SUMIF(LayTable[LayBook],(VLOOKUP(ROW()-3,BookieName[],2,FALSE)),LayTable[WBALay]))</f>
        <v/>
      </c>
      <c r="O109" s="63" t="str">
        <f>IF(Data[Bookie]="","",SUMIF(DWbonus[Bookie],(VLOOKUP(ROW()-3,BookieName[],2,FALSE)),DWbonus[Amount]))</f>
        <v/>
      </c>
      <c r="P109" s="63" t="str">
        <f>IF(Data[Bookie]="","",SUM(Data[[#This Row],[Pending 1]:[PendingL2]]))</f>
        <v/>
      </c>
      <c r="Q109" s="63" t="str">
        <f>IF(Data[Bookie]="","",SUMIFS(BetTable[Stake],BetTable[Bookie],(VLOOKUP(ROW()-3,BookieName[],2,FALSE)),BetTable[Result],""))</f>
        <v/>
      </c>
      <c r="R109" s="63" t="str">
        <f>IF(Data[Bookie]="","",SUMIFS(BetTable[S2],BetTable[B2],(VLOOKUP(ROW()-3,BookieName[],2,FALSE)),BetTable[Result],""))</f>
        <v/>
      </c>
      <c r="S109" s="63" t="str">
        <f>IF(Data[Bookie]="","",SUMIFS(BetTable[S3],BetTable[B3],(VLOOKUP(ROW()-3,BookieName[],2,FALSE)),BetTable[Result],""))</f>
        <v/>
      </c>
      <c r="T109" s="63" t="str">
        <f>IF(Data[Bookie]="","",SUMIFS(LayTable[BackStake],LayTable[BackBook],(VLOOKUP(ROW()-3,BookieName[],2,FALSE)),LayTable[AR],""))</f>
        <v/>
      </c>
      <c r="U109" s="63" t="str">
        <f>IF(Data[Bookie]="","",SUMIFS(LayTable[LayLiability],LayTable[LayBook],(VLOOKUP(ROW()-3,BookieName[],2,FALSE)),LayTable[AR],""))</f>
        <v/>
      </c>
    </row>
    <row r="110" spans="1:21" x14ac:dyDescent="0.25">
      <c r="A110" s="62">
        <f t="shared" si="4"/>
        <v>107</v>
      </c>
      <c r="B110" s="63" t="str">
        <f>IFERROR(VLOOKUP(ROW()-3,BookieName[],2,FALSE),"")</f>
        <v/>
      </c>
      <c r="C110" s="140" t="str">
        <f>IF(Data[Bookie]="","",SUM(Data[[#This Row],[D/W]:[Bonus and Adjustments]],))</f>
        <v/>
      </c>
      <c r="D110" s="140" t="str">
        <f>IF(Data[Bookie]="","",SUMIF(DWbooks[Bookie],(VLOOKUP(ROW()-3,BookieName[],2,FALSE)),DWbooks[Amount]))</f>
        <v/>
      </c>
      <c r="E110" s="62" t="str">
        <f>IF(Data[Bookie]="","",SUMIF(BetTable[Bookie],(VLOOKUP(ROW()-3,BookieName[],2,FALSE)),BetTable[Stake])*-1)</f>
        <v/>
      </c>
      <c r="F110" s="62" t="str">
        <f>IF(Data[Bookie]="","",SUMIF(BetTable[B2],(VLOOKUP(ROW()-3,BookieName[],2,FALSE)),BetTable[S2])*-1)</f>
        <v/>
      </c>
      <c r="G110" s="62" t="str">
        <f>IF(Data[Bookie]="","",SUMIF(BetTable[B3],(VLOOKUP(ROW()-3,BookieName[],2,FALSE)),BetTable[S3])*-1)</f>
        <v/>
      </c>
      <c r="H110" s="62" t="str">
        <f>IF(Data[Bookie]="","",SUMIF(BetTable[Bookie],(VLOOKUP(ROW()-3,BookieName[],2,FALSE)),BetTable[WBA1]))</f>
        <v/>
      </c>
      <c r="I110" s="62" t="str">
        <f>IF(Data[Bookie]="","",SUMIF(BetTable[B2],(VLOOKUP(ROW()-3,BookieName[],2,FALSE)),BetTable[WBA2]))</f>
        <v/>
      </c>
      <c r="J110" s="62" t="str">
        <f>IF(Data[Bookie]="","",SUMIF(BetTable[B3],(VLOOKUP(ROW()-3,BookieName[],2,FALSE)),BetTable[WBA3]))</f>
        <v/>
      </c>
      <c r="K110" s="63" t="str">
        <f>IF(Data[Bookie]="","",SUMIF(LayTable[BackBook],(VLOOKUP(ROW()-3,BookieName[],2,FALSE)),LayTable[BackStake])*-1)</f>
        <v/>
      </c>
      <c r="L110" s="63" t="str">
        <f>IF(Data[Bookie]="","",SUMIF(LayTable[LayBook],(VLOOKUP(ROW()-3,BookieName[],2,FALSE)),LayTable[LayLiability])*-1)</f>
        <v/>
      </c>
      <c r="M110" s="63" t="str">
        <f>IF(Data[Bookie]="","",SUMIF(LayTable[BackBook],(VLOOKUP(ROW()-3,BookieName[],2,FALSE)),LayTable[WBABack]))</f>
        <v/>
      </c>
      <c r="N110" s="63" t="str">
        <f>IF(Data[Bookie]="","",SUMIF(LayTable[LayBook],(VLOOKUP(ROW()-3,BookieName[],2,FALSE)),LayTable[WBALay]))</f>
        <v/>
      </c>
      <c r="O110" s="63" t="str">
        <f>IF(Data[Bookie]="","",SUMIF(DWbonus[Bookie],(VLOOKUP(ROW()-3,BookieName[],2,FALSE)),DWbonus[Amount]))</f>
        <v/>
      </c>
      <c r="P110" s="63" t="str">
        <f>IF(Data[Bookie]="","",SUM(Data[[#This Row],[Pending 1]:[PendingL2]]))</f>
        <v/>
      </c>
      <c r="Q110" s="63" t="str">
        <f>IF(Data[Bookie]="","",SUMIFS(BetTable[Stake],BetTable[Bookie],(VLOOKUP(ROW()-3,BookieName[],2,FALSE)),BetTable[Result],""))</f>
        <v/>
      </c>
      <c r="R110" s="63" t="str">
        <f>IF(Data[Bookie]="","",SUMIFS(BetTable[S2],BetTable[B2],(VLOOKUP(ROW()-3,BookieName[],2,FALSE)),BetTable[Result],""))</f>
        <v/>
      </c>
      <c r="S110" s="63" t="str">
        <f>IF(Data[Bookie]="","",SUMIFS(BetTable[S3],BetTable[B3],(VLOOKUP(ROW()-3,BookieName[],2,FALSE)),BetTable[Result],""))</f>
        <v/>
      </c>
      <c r="T110" s="63" t="str">
        <f>IF(Data[Bookie]="","",SUMIFS(LayTable[BackStake],LayTable[BackBook],(VLOOKUP(ROW()-3,BookieName[],2,FALSE)),LayTable[AR],""))</f>
        <v/>
      </c>
      <c r="U110" s="63" t="str">
        <f>IF(Data[Bookie]="","",SUMIFS(LayTable[LayLiability],LayTable[LayBook],(VLOOKUP(ROW()-3,BookieName[],2,FALSE)),LayTable[AR],""))</f>
        <v/>
      </c>
    </row>
    <row r="111" spans="1:21" x14ac:dyDescent="0.25">
      <c r="A111" s="62">
        <f t="shared" si="4"/>
        <v>108</v>
      </c>
      <c r="B111" s="63" t="str">
        <f>IFERROR(VLOOKUP(ROW()-3,BookieName[],2,FALSE),"")</f>
        <v/>
      </c>
      <c r="C111" s="140" t="str">
        <f>IF(Data[Bookie]="","",SUM(Data[[#This Row],[D/W]:[Bonus and Adjustments]],))</f>
        <v/>
      </c>
      <c r="D111" s="140" t="str">
        <f>IF(Data[Bookie]="","",SUMIF(DWbooks[Bookie],(VLOOKUP(ROW()-3,BookieName[],2,FALSE)),DWbooks[Amount]))</f>
        <v/>
      </c>
      <c r="E111" s="62" t="str">
        <f>IF(Data[Bookie]="","",SUMIF(BetTable[Bookie],(VLOOKUP(ROW()-3,BookieName[],2,FALSE)),BetTable[Stake])*-1)</f>
        <v/>
      </c>
      <c r="F111" s="62" t="str">
        <f>IF(Data[Bookie]="","",SUMIF(BetTable[B2],(VLOOKUP(ROW()-3,BookieName[],2,FALSE)),BetTable[S2])*-1)</f>
        <v/>
      </c>
      <c r="G111" s="62" t="str">
        <f>IF(Data[Bookie]="","",SUMIF(BetTable[B3],(VLOOKUP(ROW()-3,BookieName[],2,FALSE)),BetTable[S3])*-1)</f>
        <v/>
      </c>
      <c r="H111" s="62" t="str">
        <f>IF(Data[Bookie]="","",SUMIF(BetTable[Bookie],(VLOOKUP(ROW()-3,BookieName[],2,FALSE)),BetTable[WBA1]))</f>
        <v/>
      </c>
      <c r="I111" s="62" t="str">
        <f>IF(Data[Bookie]="","",SUMIF(BetTable[B2],(VLOOKUP(ROW()-3,BookieName[],2,FALSE)),BetTable[WBA2]))</f>
        <v/>
      </c>
      <c r="J111" s="62" t="str">
        <f>IF(Data[Bookie]="","",SUMIF(BetTable[B3],(VLOOKUP(ROW()-3,BookieName[],2,FALSE)),BetTable[WBA3]))</f>
        <v/>
      </c>
      <c r="K111" s="63" t="str">
        <f>IF(Data[Bookie]="","",SUMIF(LayTable[BackBook],(VLOOKUP(ROW()-3,BookieName[],2,FALSE)),LayTable[BackStake])*-1)</f>
        <v/>
      </c>
      <c r="L111" s="63" t="str">
        <f>IF(Data[Bookie]="","",SUMIF(LayTable[LayBook],(VLOOKUP(ROW()-3,BookieName[],2,FALSE)),LayTable[LayLiability])*-1)</f>
        <v/>
      </c>
      <c r="M111" s="63" t="str">
        <f>IF(Data[Bookie]="","",SUMIF(LayTable[BackBook],(VLOOKUP(ROW()-3,BookieName[],2,FALSE)),LayTable[WBABack]))</f>
        <v/>
      </c>
      <c r="N111" s="63" t="str">
        <f>IF(Data[Bookie]="","",SUMIF(LayTable[LayBook],(VLOOKUP(ROW()-3,BookieName[],2,FALSE)),LayTable[WBALay]))</f>
        <v/>
      </c>
      <c r="O111" s="63" t="str">
        <f>IF(Data[Bookie]="","",SUMIF(DWbonus[Bookie],(VLOOKUP(ROW()-3,BookieName[],2,FALSE)),DWbonus[Amount]))</f>
        <v/>
      </c>
      <c r="P111" s="63" t="str">
        <f>IF(Data[Bookie]="","",SUM(Data[[#This Row],[Pending 1]:[PendingL2]]))</f>
        <v/>
      </c>
      <c r="Q111" s="63" t="str">
        <f>IF(Data[Bookie]="","",SUMIFS(BetTable[Stake],BetTable[Bookie],(VLOOKUP(ROW()-3,BookieName[],2,FALSE)),BetTable[Result],""))</f>
        <v/>
      </c>
      <c r="R111" s="63" t="str">
        <f>IF(Data[Bookie]="","",SUMIFS(BetTable[S2],BetTable[B2],(VLOOKUP(ROW()-3,BookieName[],2,FALSE)),BetTable[Result],""))</f>
        <v/>
      </c>
      <c r="S111" s="63" t="str">
        <f>IF(Data[Bookie]="","",SUMIFS(BetTable[S3],BetTable[B3],(VLOOKUP(ROW()-3,BookieName[],2,FALSE)),BetTable[Result],""))</f>
        <v/>
      </c>
      <c r="T111" s="63" t="str">
        <f>IF(Data[Bookie]="","",SUMIFS(LayTable[BackStake],LayTable[BackBook],(VLOOKUP(ROW()-3,BookieName[],2,FALSE)),LayTable[AR],""))</f>
        <v/>
      </c>
      <c r="U111" s="63" t="str">
        <f>IF(Data[Bookie]="","",SUMIFS(LayTable[LayLiability],LayTable[LayBook],(VLOOKUP(ROW()-3,BookieName[],2,FALSE)),LayTable[AR],""))</f>
        <v/>
      </c>
    </row>
    <row r="112" spans="1:21" x14ac:dyDescent="0.25">
      <c r="A112" s="62">
        <f t="shared" si="4"/>
        <v>109</v>
      </c>
      <c r="B112" s="63" t="str">
        <f>IFERROR(VLOOKUP(ROW()-3,BookieName[],2,FALSE),"")</f>
        <v/>
      </c>
      <c r="C112" s="140" t="str">
        <f>IF(Data[Bookie]="","",SUM(Data[[#This Row],[D/W]:[Bonus and Adjustments]],))</f>
        <v/>
      </c>
      <c r="D112" s="140" t="str">
        <f>IF(Data[Bookie]="","",SUMIF(DWbooks[Bookie],(VLOOKUP(ROW()-3,BookieName[],2,FALSE)),DWbooks[Amount]))</f>
        <v/>
      </c>
      <c r="E112" s="62" t="str">
        <f>IF(Data[Bookie]="","",SUMIF(BetTable[Bookie],(VLOOKUP(ROW()-3,BookieName[],2,FALSE)),BetTable[Stake])*-1)</f>
        <v/>
      </c>
      <c r="F112" s="62" t="str">
        <f>IF(Data[Bookie]="","",SUMIF(BetTable[B2],(VLOOKUP(ROW()-3,BookieName[],2,FALSE)),BetTable[S2])*-1)</f>
        <v/>
      </c>
      <c r="G112" s="62" t="str">
        <f>IF(Data[Bookie]="","",SUMIF(BetTable[B3],(VLOOKUP(ROW()-3,BookieName[],2,FALSE)),BetTable[S3])*-1)</f>
        <v/>
      </c>
      <c r="H112" s="62" t="str">
        <f>IF(Data[Bookie]="","",SUMIF(BetTable[Bookie],(VLOOKUP(ROW()-3,BookieName[],2,FALSE)),BetTable[WBA1]))</f>
        <v/>
      </c>
      <c r="I112" s="62" t="str">
        <f>IF(Data[Bookie]="","",SUMIF(BetTable[B2],(VLOOKUP(ROW()-3,BookieName[],2,FALSE)),BetTable[WBA2]))</f>
        <v/>
      </c>
      <c r="J112" s="62" t="str">
        <f>IF(Data[Bookie]="","",SUMIF(BetTable[B3],(VLOOKUP(ROW()-3,BookieName[],2,FALSE)),BetTable[WBA3]))</f>
        <v/>
      </c>
      <c r="K112" s="63" t="str">
        <f>IF(Data[Bookie]="","",SUMIF(LayTable[BackBook],(VLOOKUP(ROW()-3,BookieName[],2,FALSE)),LayTable[BackStake])*-1)</f>
        <v/>
      </c>
      <c r="L112" s="63" t="str">
        <f>IF(Data[Bookie]="","",SUMIF(LayTable[LayBook],(VLOOKUP(ROW()-3,BookieName[],2,FALSE)),LayTable[LayLiability])*-1)</f>
        <v/>
      </c>
      <c r="M112" s="63" t="str">
        <f>IF(Data[Bookie]="","",SUMIF(LayTable[BackBook],(VLOOKUP(ROW()-3,BookieName[],2,FALSE)),LayTable[WBABack]))</f>
        <v/>
      </c>
      <c r="N112" s="63" t="str">
        <f>IF(Data[Bookie]="","",SUMIF(LayTable[LayBook],(VLOOKUP(ROW()-3,BookieName[],2,FALSE)),LayTable[WBALay]))</f>
        <v/>
      </c>
      <c r="O112" s="63" t="str">
        <f>IF(Data[Bookie]="","",SUMIF(DWbonus[Bookie],(VLOOKUP(ROW()-3,BookieName[],2,FALSE)),DWbonus[Amount]))</f>
        <v/>
      </c>
      <c r="P112" s="63" t="str">
        <f>IF(Data[Bookie]="","",SUM(Data[[#This Row],[Pending 1]:[PendingL2]]))</f>
        <v/>
      </c>
      <c r="Q112" s="63" t="str">
        <f>IF(Data[Bookie]="","",SUMIFS(BetTable[Stake],BetTable[Bookie],(VLOOKUP(ROW()-3,BookieName[],2,FALSE)),BetTable[Result],""))</f>
        <v/>
      </c>
      <c r="R112" s="63" t="str">
        <f>IF(Data[Bookie]="","",SUMIFS(BetTable[S2],BetTable[B2],(VLOOKUP(ROW()-3,BookieName[],2,FALSE)),BetTable[Result],""))</f>
        <v/>
      </c>
      <c r="S112" s="63" t="str">
        <f>IF(Data[Bookie]="","",SUMIFS(BetTable[S3],BetTable[B3],(VLOOKUP(ROW()-3,BookieName[],2,FALSE)),BetTable[Result],""))</f>
        <v/>
      </c>
      <c r="T112" s="63" t="str">
        <f>IF(Data[Bookie]="","",SUMIFS(LayTable[BackStake],LayTable[BackBook],(VLOOKUP(ROW()-3,BookieName[],2,FALSE)),LayTable[AR],""))</f>
        <v/>
      </c>
      <c r="U112" s="63" t="str">
        <f>IF(Data[Bookie]="","",SUMIFS(LayTable[LayLiability],LayTable[LayBook],(VLOOKUP(ROW()-3,BookieName[],2,FALSE)),LayTable[AR],""))</f>
        <v/>
      </c>
    </row>
    <row r="113" spans="1:21" x14ac:dyDescent="0.25">
      <c r="A113" s="62">
        <f t="shared" si="4"/>
        <v>110</v>
      </c>
      <c r="B113" s="63" t="str">
        <f>IFERROR(VLOOKUP(ROW()-3,BookieName[],2,FALSE),"")</f>
        <v/>
      </c>
      <c r="C113" s="140" t="str">
        <f>IF(Data[Bookie]="","",SUM(Data[[#This Row],[D/W]:[Bonus and Adjustments]],))</f>
        <v/>
      </c>
      <c r="D113" s="140" t="str">
        <f>IF(Data[Bookie]="","",SUMIF(DWbooks[Bookie],(VLOOKUP(ROW()-3,BookieName[],2,FALSE)),DWbooks[Amount]))</f>
        <v/>
      </c>
      <c r="E113" s="62" t="str">
        <f>IF(Data[Bookie]="","",SUMIF(BetTable[Bookie],(VLOOKUP(ROW()-3,BookieName[],2,FALSE)),BetTable[Stake])*-1)</f>
        <v/>
      </c>
      <c r="F113" s="62" t="str">
        <f>IF(Data[Bookie]="","",SUMIF(BetTable[B2],(VLOOKUP(ROW()-3,BookieName[],2,FALSE)),BetTable[S2])*-1)</f>
        <v/>
      </c>
      <c r="G113" s="62" t="str">
        <f>IF(Data[Bookie]="","",SUMIF(BetTable[B3],(VLOOKUP(ROW()-3,BookieName[],2,FALSE)),BetTable[S3])*-1)</f>
        <v/>
      </c>
      <c r="H113" s="62" t="str">
        <f>IF(Data[Bookie]="","",SUMIF(BetTable[Bookie],(VLOOKUP(ROW()-3,BookieName[],2,FALSE)),BetTable[WBA1]))</f>
        <v/>
      </c>
      <c r="I113" s="62" t="str">
        <f>IF(Data[Bookie]="","",SUMIF(BetTable[B2],(VLOOKUP(ROW()-3,BookieName[],2,FALSE)),BetTable[WBA2]))</f>
        <v/>
      </c>
      <c r="J113" s="62" t="str">
        <f>IF(Data[Bookie]="","",SUMIF(BetTable[B3],(VLOOKUP(ROW()-3,BookieName[],2,FALSE)),BetTable[WBA3]))</f>
        <v/>
      </c>
      <c r="K113" s="63" t="str">
        <f>IF(Data[Bookie]="","",SUMIF(LayTable[BackBook],(VLOOKUP(ROW()-3,BookieName[],2,FALSE)),LayTable[BackStake])*-1)</f>
        <v/>
      </c>
      <c r="L113" s="63" t="str">
        <f>IF(Data[Bookie]="","",SUMIF(LayTable[LayBook],(VLOOKUP(ROW()-3,BookieName[],2,FALSE)),LayTable[LayLiability])*-1)</f>
        <v/>
      </c>
      <c r="M113" s="63" t="str">
        <f>IF(Data[Bookie]="","",SUMIF(LayTable[BackBook],(VLOOKUP(ROW()-3,BookieName[],2,FALSE)),LayTable[WBABack]))</f>
        <v/>
      </c>
      <c r="N113" s="63" t="str">
        <f>IF(Data[Bookie]="","",SUMIF(LayTable[LayBook],(VLOOKUP(ROW()-3,BookieName[],2,FALSE)),LayTable[WBALay]))</f>
        <v/>
      </c>
      <c r="O113" s="63" t="str">
        <f>IF(Data[Bookie]="","",SUMIF(DWbonus[Bookie],(VLOOKUP(ROW()-3,BookieName[],2,FALSE)),DWbonus[Amount]))</f>
        <v/>
      </c>
      <c r="P113" s="63" t="str">
        <f>IF(Data[Bookie]="","",SUM(Data[[#This Row],[Pending 1]:[PendingL2]]))</f>
        <v/>
      </c>
      <c r="Q113" s="63" t="str">
        <f>IF(Data[Bookie]="","",SUMIFS(BetTable[Stake],BetTable[Bookie],(VLOOKUP(ROW()-3,BookieName[],2,FALSE)),BetTable[Result],""))</f>
        <v/>
      </c>
      <c r="R113" s="63" t="str">
        <f>IF(Data[Bookie]="","",SUMIFS(BetTable[S2],BetTable[B2],(VLOOKUP(ROW()-3,BookieName[],2,FALSE)),BetTable[Result],""))</f>
        <v/>
      </c>
      <c r="S113" s="63" t="str">
        <f>IF(Data[Bookie]="","",SUMIFS(BetTable[S3],BetTable[B3],(VLOOKUP(ROW()-3,BookieName[],2,FALSE)),BetTable[Result],""))</f>
        <v/>
      </c>
      <c r="T113" s="63" t="str">
        <f>IF(Data[Bookie]="","",SUMIFS(LayTable[BackStake],LayTable[BackBook],(VLOOKUP(ROW()-3,BookieName[],2,FALSE)),LayTable[AR],""))</f>
        <v/>
      </c>
      <c r="U113" s="63" t="str">
        <f>IF(Data[Bookie]="","",SUMIFS(LayTable[LayLiability],LayTable[LayBook],(VLOOKUP(ROW()-3,BookieName[],2,FALSE)),LayTable[AR],""))</f>
        <v/>
      </c>
    </row>
    <row r="114" spans="1:21" x14ac:dyDescent="0.25">
      <c r="A114" s="62">
        <f t="shared" si="4"/>
        <v>111</v>
      </c>
      <c r="B114" s="63" t="str">
        <f>IFERROR(VLOOKUP(ROW()-3,BookieName[],2,FALSE),"")</f>
        <v/>
      </c>
      <c r="C114" s="140" t="str">
        <f>IF(Data[Bookie]="","",SUM(Data[[#This Row],[D/W]:[Bonus and Adjustments]],))</f>
        <v/>
      </c>
      <c r="D114" s="140" t="str">
        <f>IF(Data[Bookie]="","",SUMIF(DWbooks[Bookie],(VLOOKUP(ROW()-3,BookieName[],2,FALSE)),DWbooks[Amount]))</f>
        <v/>
      </c>
      <c r="E114" s="62" t="str">
        <f>IF(Data[Bookie]="","",SUMIF(BetTable[Bookie],(VLOOKUP(ROW()-3,BookieName[],2,FALSE)),BetTable[Stake])*-1)</f>
        <v/>
      </c>
      <c r="F114" s="62" t="str">
        <f>IF(Data[Bookie]="","",SUMIF(BetTable[B2],(VLOOKUP(ROW()-3,BookieName[],2,FALSE)),BetTable[S2])*-1)</f>
        <v/>
      </c>
      <c r="G114" s="62" t="str">
        <f>IF(Data[Bookie]="","",SUMIF(BetTable[B3],(VLOOKUP(ROW()-3,BookieName[],2,FALSE)),BetTable[S3])*-1)</f>
        <v/>
      </c>
      <c r="H114" s="62" t="str">
        <f>IF(Data[Bookie]="","",SUMIF(BetTable[Bookie],(VLOOKUP(ROW()-3,BookieName[],2,FALSE)),BetTable[WBA1]))</f>
        <v/>
      </c>
      <c r="I114" s="62" t="str">
        <f>IF(Data[Bookie]="","",SUMIF(BetTable[B2],(VLOOKUP(ROW()-3,BookieName[],2,FALSE)),BetTable[WBA2]))</f>
        <v/>
      </c>
      <c r="J114" s="62" t="str">
        <f>IF(Data[Bookie]="","",SUMIF(BetTable[B3],(VLOOKUP(ROW()-3,BookieName[],2,FALSE)),BetTable[WBA3]))</f>
        <v/>
      </c>
      <c r="K114" s="63" t="str">
        <f>IF(Data[Bookie]="","",SUMIF(LayTable[BackBook],(VLOOKUP(ROW()-3,BookieName[],2,FALSE)),LayTable[BackStake])*-1)</f>
        <v/>
      </c>
      <c r="L114" s="63" t="str">
        <f>IF(Data[Bookie]="","",SUMIF(LayTable[LayBook],(VLOOKUP(ROW()-3,BookieName[],2,FALSE)),LayTable[LayLiability])*-1)</f>
        <v/>
      </c>
      <c r="M114" s="63" t="str">
        <f>IF(Data[Bookie]="","",SUMIF(LayTable[BackBook],(VLOOKUP(ROW()-3,BookieName[],2,FALSE)),LayTable[WBABack]))</f>
        <v/>
      </c>
      <c r="N114" s="63" t="str">
        <f>IF(Data[Bookie]="","",SUMIF(LayTable[LayBook],(VLOOKUP(ROW()-3,BookieName[],2,FALSE)),LayTable[WBALay]))</f>
        <v/>
      </c>
      <c r="O114" s="63" t="str">
        <f>IF(Data[Bookie]="","",SUMIF(DWbonus[Bookie],(VLOOKUP(ROW()-3,BookieName[],2,FALSE)),DWbonus[Amount]))</f>
        <v/>
      </c>
      <c r="P114" s="63" t="str">
        <f>IF(Data[Bookie]="","",SUM(Data[[#This Row],[Pending 1]:[PendingL2]]))</f>
        <v/>
      </c>
      <c r="Q114" s="63" t="str">
        <f>IF(Data[Bookie]="","",SUMIFS(BetTable[Stake],BetTable[Bookie],(VLOOKUP(ROW()-3,BookieName[],2,FALSE)),BetTable[Result],""))</f>
        <v/>
      </c>
      <c r="R114" s="63" t="str">
        <f>IF(Data[Bookie]="","",SUMIFS(BetTable[S2],BetTable[B2],(VLOOKUP(ROW()-3,BookieName[],2,FALSE)),BetTable[Result],""))</f>
        <v/>
      </c>
      <c r="S114" s="63" t="str">
        <f>IF(Data[Bookie]="","",SUMIFS(BetTable[S3],BetTable[B3],(VLOOKUP(ROW()-3,BookieName[],2,FALSE)),BetTable[Result],""))</f>
        <v/>
      </c>
      <c r="T114" s="63" t="str">
        <f>IF(Data[Bookie]="","",SUMIFS(LayTable[BackStake],LayTable[BackBook],(VLOOKUP(ROW()-3,BookieName[],2,FALSE)),LayTable[AR],""))</f>
        <v/>
      </c>
      <c r="U114" s="63" t="str">
        <f>IF(Data[Bookie]="","",SUMIFS(LayTable[LayLiability],LayTable[LayBook],(VLOOKUP(ROW()-3,BookieName[],2,FALSE)),LayTable[AR],""))</f>
        <v/>
      </c>
    </row>
    <row r="115" spans="1:21" x14ac:dyDescent="0.25">
      <c r="A115" s="62">
        <f t="shared" si="4"/>
        <v>112</v>
      </c>
      <c r="B115" s="63" t="str">
        <f>IFERROR(VLOOKUP(ROW()-3,BookieName[],2,FALSE),"")</f>
        <v/>
      </c>
      <c r="C115" s="140" t="str">
        <f>IF(Data[Bookie]="","",SUM(Data[[#This Row],[D/W]:[Bonus and Adjustments]],))</f>
        <v/>
      </c>
      <c r="D115" s="140" t="str">
        <f>IF(Data[Bookie]="","",SUMIF(DWbooks[Bookie],(VLOOKUP(ROW()-3,BookieName[],2,FALSE)),DWbooks[Amount]))</f>
        <v/>
      </c>
      <c r="E115" s="62" t="str">
        <f>IF(Data[Bookie]="","",SUMIF(BetTable[Bookie],(VLOOKUP(ROW()-3,BookieName[],2,FALSE)),BetTable[Stake])*-1)</f>
        <v/>
      </c>
      <c r="F115" s="62" t="str">
        <f>IF(Data[Bookie]="","",SUMIF(BetTable[B2],(VLOOKUP(ROW()-3,BookieName[],2,FALSE)),BetTable[S2])*-1)</f>
        <v/>
      </c>
      <c r="G115" s="62" t="str">
        <f>IF(Data[Bookie]="","",SUMIF(BetTable[B3],(VLOOKUP(ROW()-3,BookieName[],2,FALSE)),BetTable[S3])*-1)</f>
        <v/>
      </c>
      <c r="H115" s="62" t="str">
        <f>IF(Data[Bookie]="","",SUMIF(BetTable[Bookie],(VLOOKUP(ROW()-3,BookieName[],2,FALSE)),BetTable[WBA1]))</f>
        <v/>
      </c>
      <c r="I115" s="62" t="str">
        <f>IF(Data[Bookie]="","",SUMIF(BetTable[B2],(VLOOKUP(ROW()-3,BookieName[],2,FALSE)),BetTable[WBA2]))</f>
        <v/>
      </c>
      <c r="J115" s="62" t="str">
        <f>IF(Data[Bookie]="","",SUMIF(BetTable[B3],(VLOOKUP(ROW()-3,BookieName[],2,FALSE)),BetTable[WBA3]))</f>
        <v/>
      </c>
      <c r="K115" s="63" t="str">
        <f>IF(Data[Bookie]="","",SUMIF(LayTable[BackBook],(VLOOKUP(ROW()-3,BookieName[],2,FALSE)),LayTable[BackStake])*-1)</f>
        <v/>
      </c>
      <c r="L115" s="63" t="str">
        <f>IF(Data[Bookie]="","",SUMIF(LayTable[LayBook],(VLOOKUP(ROW()-3,BookieName[],2,FALSE)),LayTable[LayLiability])*-1)</f>
        <v/>
      </c>
      <c r="M115" s="63" t="str">
        <f>IF(Data[Bookie]="","",SUMIF(LayTable[BackBook],(VLOOKUP(ROW()-3,BookieName[],2,FALSE)),LayTable[WBABack]))</f>
        <v/>
      </c>
      <c r="N115" s="63" t="str">
        <f>IF(Data[Bookie]="","",SUMIF(LayTable[LayBook],(VLOOKUP(ROW()-3,BookieName[],2,FALSE)),LayTable[WBALay]))</f>
        <v/>
      </c>
      <c r="O115" s="63" t="str">
        <f>IF(Data[Bookie]="","",SUMIF(DWbonus[Bookie],(VLOOKUP(ROW()-3,BookieName[],2,FALSE)),DWbonus[Amount]))</f>
        <v/>
      </c>
      <c r="P115" s="63" t="str">
        <f>IF(Data[Bookie]="","",SUM(Data[[#This Row],[Pending 1]:[PendingL2]]))</f>
        <v/>
      </c>
      <c r="Q115" s="63" t="str">
        <f>IF(Data[Bookie]="","",SUMIFS(BetTable[Stake],BetTable[Bookie],(VLOOKUP(ROW()-3,BookieName[],2,FALSE)),BetTable[Result],""))</f>
        <v/>
      </c>
      <c r="R115" s="63" t="str">
        <f>IF(Data[Bookie]="","",SUMIFS(BetTable[S2],BetTable[B2],(VLOOKUP(ROW()-3,BookieName[],2,FALSE)),BetTable[Result],""))</f>
        <v/>
      </c>
      <c r="S115" s="63" t="str">
        <f>IF(Data[Bookie]="","",SUMIFS(BetTable[S3],BetTable[B3],(VLOOKUP(ROW()-3,BookieName[],2,FALSE)),BetTable[Result],""))</f>
        <v/>
      </c>
      <c r="T115" s="63" t="str">
        <f>IF(Data[Bookie]="","",SUMIFS(LayTable[BackStake],LayTable[BackBook],(VLOOKUP(ROW()-3,BookieName[],2,FALSE)),LayTable[AR],""))</f>
        <v/>
      </c>
      <c r="U115" s="63" t="str">
        <f>IF(Data[Bookie]="","",SUMIFS(LayTable[LayLiability],LayTable[LayBook],(VLOOKUP(ROW()-3,BookieName[],2,FALSE)),LayTable[AR],""))</f>
        <v/>
      </c>
    </row>
    <row r="116" spans="1:21" x14ac:dyDescent="0.25">
      <c r="A116" s="62">
        <f t="shared" si="4"/>
        <v>113</v>
      </c>
      <c r="B116" s="63" t="str">
        <f>IFERROR(VLOOKUP(ROW()-3,BookieName[],2,FALSE),"")</f>
        <v/>
      </c>
      <c r="C116" s="140" t="str">
        <f>IF(Data[Bookie]="","",SUM(Data[[#This Row],[D/W]:[Bonus and Adjustments]],))</f>
        <v/>
      </c>
      <c r="D116" s="140" t="str">
        <f>IF(Data[Bookie]="","",SUMIF(DWbooks[Bookie],(VLOOKUP(ROW()-3,BookieName[],2,FALSE)),DWbooks[Amount]))</f>
        <v/>
      </c>
      <c r="E116" s="62" t="str">
        <f>IF(Data[Bookie]="","",SUMIF(BetTable[Bookie],(VLOOKUP(ROW()-3,BookieName[],2,FALSE)),BetTable[Stake])*-1)</f>
        <v/>
      </c>
      <c r="F116" s="62" t="str">
        <f>IF(Data[Bookie]="","",SUMIF(BetTable[B2],(VLOOKUP(ROW()-3,BookieName[],2,FALSE)),BetTable[S2])*-1)</f>
        <v/>
      </c>
      <c r="G116" s="62" t="str">
        <f>IF(Data[Bookie]="","",SUMIF(BetTable[B3],(VLOOKUP(ROW()-3,BookieName[],2,FALSE)),BetTable[S3])*-1)</f>
        <v/>
      </c>
      <c r="H116" s="62" t="str">
        <f>IF(Data[Bookie]="","",SUMIF(BetTable[Bookie],(VLOOKUP(ROW()-3,BookieName[],2,FALSE)),BetTable[WBA1]))</f>
        <v/>
      </c>
      <c r="I116" s="62" t="str">
        <f>IF(Data[Bookie]="","",SUMIF(BetTable[B2],(VLOOKUP(ROW()-3,BookieName[],2,FALSE)),BetTable[WBA2]))</f>
        <v/>
      </c>
      <c r="J116" s="62" t="str">
        <f>IF(Data[Bookie]="","",SUMIF(BetTable[B3],(VLOOKUP(ROW()-3,BookieName[],2,FALSE)),BetTable[WBA3]))</f>
        <v/>
      </c>
      <c r="K116" s="63" t="str">
        <f>IF(Data[Bookie]="","",SUMIF(LayTable[BackBook],(VLOOKUP(ROW()-3,BookieName[],2,FALSE)),LayTable[BackStake])*-1)</f>
        <v/>
      </c>
      <c r="L116" s="63" t="str">
        <f>IF(Data[Bookie]="","",SUMIF(LayTable[LayBook],(VLOOKUP(ROW()-3,BookieName[],2,FALSE)),LayTable[LayLiability])*-1)</f>
        <v/>
      </c>
      <c r="M116" s="63" t="str">
        <f>IF(Data[Bookie]="","",SUMIF(LayTable[BackBook],(VLOOKUP(ROW()-3,BookieName[],2,FALSE)),LayTable[WBABack]))</f>
        <v/>
      </c>
      <c r="N116" s="63" t="str">
        <f>IF(Data[Bookie]="","",SUMIF(LayTable[LayBook],(VLOOKUP(ROW()-3,BookieName[],2,FALSE)),LayTable[WBALay]))</f>
        <v/>
      </c>
      <c r="O116" s="63" t="str">
        <f>IF(Data[Bookie]="","",SUMIF(DWbonus[Bookie],(VLOOKUP(ROW()-3,BookieName[],2,FALSE)),DWbonus[Amount]))</f>
        <v/>
      </c>
      <c r="P116" s="63" t="str">
        <f>IF(Data[Bookie]="","",SUM(Data[[#This Row],[Pending 1]:[PendingL2]]))</f>
        <v/>
      </c>
      <c r="Q116" s="63" t="str">
        <f>IF(Data[Bookie]="","",SUMIFS(BetTable[Stake],BetTable[Bookie],(VLOOKUP(ROW()-3,BookieName[],2,FALSE)),BetTable[Result],""))</f>
        <v/>
      </c>
      <c r="R116" s="63" t="str">
        <f>IF(Data[Bookie]="","",SUMIFS(BetTable[S2],BetTable[B2],(VLOOKUP(ROW()-3,BookieName[],2,FALSE)),BetTable[Result],""))</f>
        <v/>
      </c>
      <c r="S116" s="63" t="str">
        <f>IF(Data[Bookie]="","",SUMIFS(BetTable[S3],BetTable[B3],(VLOOKUP(ROW()-3,BookieName[],2,FALSE)),BetTable[Result],""))</f>
        <v/>
      </c>
      <c r="T116" s="63" t="str">
        <f>IF(Data[Bookie]="","",SUMIFS(LayTable[BackStake],LayTable[BackBook],(VLOOKUP(ROW()-3,BookieName[],2,FALSE)),LayTable[AR],""))</f>
        <v/>
      </c>
      <c r="U116" s="63" t="str">
        <f>IF(Data[Bookie]="","",SUMIFS(LayTable[LayLiability],LayTable[LayBook],(VLOOKUP(ROW()-3,BookieName[],2,FALSE)),LayTable[AR],""))</f>
        <v/>
      </c>
    </row>
    <row r="117" spans="1:21" x14ac:dyDescent="0.25">
      <c r="A117" s="62">
        <f t="shared" si="4"/>
        <v>114</v>
      </c>
      <c r="B117" s="63" t="str">
        <f>IFERROR(VLOOKUP(ROW()-3,BookieName[],2,FALSE),"")</f>
        <v/>
      </c>
      <c r="C117" s="140" t="str">
        <f>IF(Data[Bookie]="","",SUM(Data[[#This Row],[D/W]:[Bonus and Adjustments]],))</f>
        <v/>
      </c>
      <c r="D117" s="140" t="str">
        <f>IF(Data[Bookie]="","",SUMIF(DWbooks[Bookie],(VLOOKUP(ROW()-3,BookieName[],2,FALSE)),DWbooks[Amount]))</f>
        <v/>
      </c>
      <c r="E117" s="62" t="str">
        <f>IF(Data[Bookie]="","",SUMIF(BetTable[Bookie],(VLOOKUP(ROW()-3,BookieName[],2,FALSE)),BetTable[Stake])*-1)</f>
        <v/>
      </c>
      <c r="F117" s="62" t="str">
        <f>IF(Data[Bookie]="","",SUMIF(BetTable[B2],(VLOOKUP(ROW()-3,BookieName[],2,FALSE)),BetTable[S2])*-1)</f>
        <v/>
      </c>
      <c r="G117" s="62" t="str">
        <f>IF(Data[Bookie]="","",SUMIF(BetTable[B3],(VLOOKUP(ROW()-3,BookieName[],2,FALSE)),BetTable[S3])*-1)</f>
        <v/>
      </c>
      <c r="H117" s="62" t="str">
        <f>IF(Data[Bookie]="","",SUMIF(BetTable[Bookie],(VLOOKUP(ROW()-3,BookieName[],2,FALSE)),BetTable[WBA1]))</f>
        <v/>
      </c>
      <c r="I117" s="62" t="str">
        <f>IF(Data[Bookie]="","",SUMIF(BetTable[B2],(VLOOKUP(ROW()-3,BookieName[],2,FALSE)),BetTable[WBA2]))</f>
        <v/>
      </c>
      <c r="J117" s="62" t="str">
        <f>IF(Data[Bookie]="","",SUMIF(BetTable[B3],(VLOOKUP(ROW()-3,BookieName[],2,FALSE)),BetTable[WBA3]))</f>
        <v/>
      </c>
      <c r="K117" s="63" t="str">
        <f>IF(Data[Bookie]="","",SUMIF(LayTable[BackBook],(VLOOKUP(ROW()-3,BookieName[],2,FALSE)),LayTable[BackStake])*-1)</f>
        <v/>
      </c>
      <c r="L117" s="63" t="str">
        <f>IF(Data[Bookie]="","",SUMIF(LayTable[LayBook],(VLOOKUP(ROW()-3,BookieName[],2,FALSE)),LayTable[LayLiability])*-1)</f>
        <v/>
      </c>
      <c r="M117" s="63" t="str">
        <f>IF(Data[Bookie]="","",SUMIF(LayTable[BackBook],(VLOOKUP(ROW()-3,BookieName[],2,FALSE)),LayTable[WBABack]))</f>
        <v/>
      </c>
      <c r="N117" s="63" t="str">
        <f>IF(Data[Bookie]="","",SUMIF(LayTable[LayBook],(VLOOKUP(ROW()-3,BookieName[],2,FALSE)),LayTable[WBALay]))</f>
        <v/>
      </c>
      <c r="O117" s="63" t="str">
        <f>IF(Data[Bookie]="","",SUMIF(DWbonus[Bookie],(VLOOKUP(ROW()-3,BookieName[],2,FALSE)),DWbonus[Amount]))</f>
        <v/>
      </c>
      <c r="P117" s="63" t="str">
        <f>IF(Data[Bookie]="","",SUM(Data[[#This Row],[Pending 1]:[PendingL2]]))</f>
        <v/>
      </c>
      <c r="Q117" s="63" t="str">
        <f>IF(Data[Bookie]="","",SUMIFS(BetTable[Stake],BetTable[Bookie],(VLOOKUP(ROW()-3,BookieName[],2,FALSE)),BetTable[Result],""))</f>
        <v/>
      </c>
      <c r="R117" s="63" t="str">
        <f>IF(Data[Bookie]="","",SUMIFS(BetTable[S2],BetTable[B2],(VLOOKUP(ROW()-3,BookieName[],2,FALSE)),BetTable[Result],""))</f>
        <v/>
      </c>
      <c r="S117" s="63" t="str">
        <f>IF(Data[Bookie]="","",SUMIFS(BetTable[S3],BetTable[B3],(VLOOKUP(ROW()-3,BookieName[],2,FALSE)),BetTable[Result],""))</f>
        <v/>
      </c>
      <c r="T117" s="63" t="str">
        <f>IF(Data[Bookie]="","",SUMIFS(LayTable[BackStake],LayTable[BackBook],(VLOOKUP(ROW()-3,BookieName[],2,FALSE)),LayTable[AR],""))</f>
        <v/>
      </c>
      <c r="U117" s="63" t="str">
        <f>IF(Data[Bookie]="","",SUMIFS(LayTable[LayLiability],LayTable[LayBook],(VLOOKUP(ROW()-3,BookieName[],2,FALSE)),LayTable[AR],""))</f>
        <v/>
      </c>
    </row>
    <row r="118" spans="1:21" x14ac:dyDescent="0.25">
      <c r="A118" s="62">
        <f t="shared" si="4"/>
        <v>115</v>
      </c>
      <c r="B118" s="63" t="str">
        <f>IFERROR(VLOOKUP(ROW()-3,BookieName[],2,FALSE),"")</f>
        <v/>
      </c>
      <c r="C118" s="140" t="str">
        <f>IF(Data[Bookie]="","",SUM(Data[[#This Row],[D/W]:[Bonus and Adjustments]],))</f>
        <v/>
      </c>
      <c r="D118" s="140" t="str">
        <f>IF(Data[Bookie]="","",SUMIF(DWbooks[Bookie],(VLOOKUP(ROW()-3,BookieName[],2,FALSE)),DWbooks[Amount]))</f>
        <v/>
      </c>
      <c r="E118" s="62" t="str">
        <f>IF(Data[Bookie]="","",SUMIF(BetTable[Bookie],(VLOOKUP(ROW()-3,BookieName[],2,FALSE)),BetTable[Stake])*-1)</f>
        <v/>
      </c>
      <c r="F118" s="62" t="str">
        <f>IF(Data[Bookie]="","",SUMIF(BetTable[B2],(VLOOKUP(ROW()-3,BookieName[],2,FALSE)),BetTable[S2])*-1)</f>
        <v/>
      </c>
      <c r="G118" s="62" t="str">
        <f>IF(Data[Bookie]="","",SUMIF(BetTable[B3],(VLOOKUP(ROW()-3,BookieName[],2,FALSE)),BetTable[S3])*-1)</f>
        <v/>
      </c>
      <c r="H118" s="62" t="str">
        <f>IF(Data[Bookie]="","",SUMIF(BetTable[Bookie],(VLOOKUP(ROW()-3,BookieName[],2,FALSE)),BetTable[WBA1]))</f>
        <v/>
      </c>
      <c r="I118" s="62" t="str">
        <f>IF(Data[Bookie]="","",SUMIF(BetTable[B2],(VLOOKUP(ROW()-3,BookieName[],2,FALSE)),BetTable[WBA2]))</f>
        <v/>
      </c>
      <c r="J118" s="62" t="str">
        <f>IF(Data[Bookie]="","",SUMIF(BetTable[B3],(VLOOKUP(ROW()-3,BookieName[],2,FALSE)),BetTable[WBA3]))</f>
        <v/>
      </c>
      <c r="K118" s="63" t="str">
        <f>IF(Data[Bookie]="","",SUMIF(LayTable[BackBook],(VLOOKUP(ROW()-3,BookieName[],2,FALSE)),LayTable[BackStake])*-1)</f>
        <v/>
      </c>
      <c r="L118" s="63" t="str">
        <f>IF(Data[Bookie]="","",SUMIF(LayTable[LayBook],(VLOOKUP(ROW()-3,BookieName[],2,FALSE)),LayTable[LayLiability])*-1)</f>
        <v/>
      </c>
      <c r="M118" s="63" t="str">
        <f>IF(Data[Bookie]="","",SUMIF(LayTable[BackBook],(VLOOKUP(ROW()-3,BookieName[],2,FALSE)),LayTable[WBABack]))</f>
        <v/>
      </c>
      <c r="N118" s="63" t="str">
        <f>IF(Data[Bookie]="","",SUMIF(LayTable[LayBook],(VLOOKUP(ROW()-3,BookieName[],2,FALSE)),LayTable[WBALay]))</f>
        <v/>
      </c>
      <c r="O118" s="63" t="str">
        <f>IF(Data[Bookie]="","",SUMIF(DWbonus[Bookie],(VLOOKUP(ROW()-3,BookieName[],2,FALSE)),DWbonus[Amount]))</f>
        <v/>
      </c>
      <c r="P118" s="63" t="str">
        <f>IF(Data[Bookie]="","",SUM(Data[[#This Row],[Pending 1]:[PendingL2]]))</f>
        <v/>
      </c>
      <c r="Q118" s="63" t="str">
        <f>IF(Data[Bookie]="","",SUMIFS(BetTable[Stake],BetTable[Bookie],(VLOOKUP(ROW()-3,BookieName[],2,FALSE)),BetTable[Result],""))</f>
        <v/>
      </c>
      <c r="R118" s="63" t="str">
        <f>IF(Data[Bookie]="","",SUMIFS(BetTable[S2],BetTable[B2],(VLOOKUP(ROW()-3,BookieName[],2,FALSE)),BetTable[Result],""))</f>
        <v/>
      </c>
      <c r="S118" s="63" t="str">
        <f>IF(Data[Bookie]="","",SUMIFS(BetTable[S3],BetTable[B3],(VLOOKUP(ROW()-3,BookieName[],2,FALSE)),BetTable[Result],""))</f>
        <v/>
      </c>
      <c r="T118" s="63" t="str">
        <f>IF(Data[Bookie]="","",SUMIFS(LayTable[BackStake],LayTable[BackBook],(VLOOKUP(ROW()-3,BookieName[],2,FALSE)),LayTable[AR],""))</f>
        <v/>
      </c>
      <c r="U118" s="63" t="str">
        <f>IF(Data[Bookie]="","",SUMIFS(LayTable[LayLiability],LayTable[LayBook],(VLOOKUP(ROW()-3,BookieName[],2,FALSE)),LayTable[AR],""))</f>
        <v/>
      </c>
    </row>
    <row r="119" spans="1:21" x14ac:dyDescent="0.25">
      <c r="A119" s="62">
        <f t="shared" si="4"/>
        <v>116</v>
      </c>
      <c r="B119" s="63" t="str">
        <f>IFERROR(VLOOKUP(ROW()-3,BookieName[],2,FALSE),"")</f>
        <v/>
      </c>
      <c r="C119" s="140" t="str">
        <f>IF(Data[Bookie]="","",SUM(Data[[#This Row],[D/W]:[Bonus and Adjustments]],))</f>
        <v/>
      </c>
      <c r="D119" s="140" t="str">
        <f>IF(Data[Bookie]="","",SUMIF(DWbooks[Bookie],(VLOOKUP(ROW()-3,BookieName[],2,FALSE)),DWbooks[Amount]))</f>
        <v/>
      </c>
      <c r="E119" s="62" t="str">
        <f>IF(Data[Bookie]="","",SUMIF(BetTable[Bookie],(VLOOKUP(ROW()-3,BookieName[],2,FALSE)),BetTable[Stake])*-1)</f>
        <v/>
      </c>
      <c r="F119" s="62" t="str">
        <f>IF(Data[Bookie]="","",SUMIF(BetTable[B2],(VLOOKUP(ROW()-3,BookieName[],2,FALSE)),BetTable[S2])*-1)</f>
        <v/>
      </c>
      <c r="G119" s="62" t="str">
        <f>IF(Data[Bookie]="","",SUMIF(BetTable[B3],(VLOOKUP(ROW()-3,BookieName[],2,FALSE)),BetTable[S3])*-1)</f>
        <v/>
      </c>
      <c r="H119" s="62" t="str">
        <f>IF(Data[Bookie]="","",SUMIF(BetTable[Bookie],(VLOOKUP(ROW()-3,BookieName[],2,FALSE)),BetTable[WBA1]))</f>
        <v/>
      </c>
      <c r="I119" s="62" t="str">
        <f>IF(Data[Bookie]="","",SUMIF(BetTable[B2],(VLOOKUP(ROW()-3,BookieName[],2,FALSE)),BetTable[WBA2]))</f>
        <v/>
      </c>
      <c r="J119" s="62" t="str">
        <f>IF(Data[Bookie]="","",SUMIF(BetTable[B3],(VLOOKUP(ROW()-3,BookieName[],2,FALSE)),BetTable[WBA3]))</f>
        <v/>
      </c>
      <c r="K119" s="63" t="str">
        <f>IF(Data[Bookie]="","",SUMIF(LayTable[BackBook],(VLOOKUP(ROW()-3,BookieName[],2,FALSE)),LayTable[BackStake])*-1)</f>
        <v/>
      </c>
      <c r="L119" s="63" t="str">
        <f>IF(Data[Bookie]="","",SUMIF(LayTable[LayBook],(VLOOKUP(ROW()-3,BookieName[],2,FALSE)),LayTable[LayLiability])*-1)</f>
        <v/>
      </c>
      <c r="M119" s="63" t="str">
        <f>IF(Data[Bookie]="","",SUMIF(LayTable[BackBook],(VLOOKUP(ROW()-3,BookieName[],2,FALSE)),LayTable[WBABack]))</f>
        <v/>
      </c>
      <c r="N119" s="63" t="str">
        <f>IF(Data[Bookie]="","",SUMIF(LayTable[LayBook],(VLOOKUP(ROW()-3,BookieName[],2,FALSE)),LayTable[WBALay]))</f>
        <v/>
      </c>
      <c r="O119" s="63" t="str">
        <f>IF(Data[Bookie]="","",SUMIF(DWbonus[Bookie],(VLOOKUP(ROW()-3,BookieName[],2,FALSE)),DWbonus[Amount]))</f>
        <v/>
      </c>
      <c r="P119" s="63" t="str">
        <f>IF(Data[Bookie]="","",SUM(Data[[#This Row],[Pending 1]:[PendingL2]]))</f>
        <v/>
      </c>
      <c r="Q119" s="63" t="str">
        <f>IF(Data[Bookie]="","",SUMIFS(BetTable[Stake],BetTable[Bookie],(VLOOKUP(ROW()-3,BookieName[],2,FALSE)),BetTable[Result],""))</f>
        <v/>
      </c>
      <c r="R119" s="63" t="str">
        <f>IF(Data[Bookie]="","",SUMIFS(BetTable[S2],BetTable[B2],(VLOOKUP(ROW()-3,BookieName[],2,FALSE)),BetTable[Result],""))</f>
        <v/>
      </c>
      <c r="S119" s="63" t="str">
        <f>IF(Data[Bookie]="","",SUMIFS(BetTable[S3],BetTable[B3],(VLOOKUP(ROW()-3,BookieName[],2,FALSE)),BetTable[Result],""))</f>
        <v/>
      </c>
      <c r="T119" s="63" t="str">
        <f>IF(Data[Bookie]="","",SUMIFS(LayTable[BackStake],LayTable[BackBook],(VLOOKUP(ROW()-3,BookieName[],2,FALSE)),LayTable[AR],""))</f>
        <v/>
      </c>
      <c r="U119" s="63" t="str">
        <f>IF(Data[Bookie]="","",SUMIFS(LayTable[LayLiability],LayTable[LayBook],(VLOOKUP(ROW()-3,BookieName[],2,FALSE)),LayTable[AR],""))</f>
        <v/>
      </c>
    </row>
    <row r="120" spans="1:21" x14ac:dyDescent="0.25">
      <c r="A120" s="62">
        <f t="shared" si="4"/>
        <v>117</v>
      </c>
      <c r="B120" s="63" t="str">
        <f>IFERROR(VLOOKUP(ROW()-3,BookieName[],2,FALSE),"")</f>
        <v/>
      </c>
      <c r="C120" s="140" t="str">
        <f>IF(Data[Bookie]="","",SUM(Data[[#This Row],[D/W]:[Bonus and Adjustments]],))</f>
        <v/>
      </c>
      <c r="D120" s="140" t="str">
        <f>IF(Data[Bookie]="","",SUMIF(DWbooks[Bookie],(VLOOKUP(ROW()-3,BookieName[],2,FALSE)),DWbooks[Amount]))</f>
        <v/>
      </c>
      <c r="E120" s="62" t="str">
        <f>IF(Data[Bookie]="","",SUMIF(BetTable[Bookie],(VLOOKUP(ROW()-3,BookieName[],2,FALSE)),BetTable[Stake])*-1)</f>
        <v/>
      </c>
      <c r="F120" s="62" t="str">
        <f>IF(Data[Bookie]="","",SUMIF(BetTable[B2],(VLOOKUP(ROW()-3,BookieName[],2,FALSE)),BetTable[S2])*-1)</f>
        <v/>
      </c>
      <c r="G120" s="62" t="str">
        <f>IF(Data[Bookie]="","",SUMIF(BetTable[B3],(VLOOKUP(ROW()-3,BookieName[],2,FALSE)),BetTable[S3])*-1)</f>
        <v/>
      </c>
      <c r="H120" s="62" t="str">
        <f>IF(Data[Bookie]="","",SUMIF(BetTable[Bookie],(VLOOKUP(ROW()-3,BookieName[],2,FALSE)),BetTable[WBA1]))</f>
        <v/>
      </c>
      <c r="I120" s="62" t="str">
        <f>IF(Data[Bookie]="","",SUMIF(BetTable[B2],(VLOOKUP(ROW()-3,BookieName[],2,FALSE)),BetTable[WBA2]))</f>
        <v/>
      </c>
      <c r="J120" s="62" t="str">
        <f>IF(Data[Bookie]="","",SUMIF(BetTable[B3],(VLOOKUP(ROW()-3,BookieName[],2,FALSE)),BetTable[WBA3]))</f>
        <v/>
      </c>
      <c r="K120" s="63" t="str">
        <f>IF(Data[Bookie]="","",SUMIF(LayTable[BackBook],(VLOOKUP(ROW()-3,BookieName[],2,FALSE)),LayTable[BackStake])*-1)</f>
        <v/>
      </c>
      <c r="L120" s="63" t="str">
        <f>IF(Data[Bookie]="","",SUMIF(LayTable[LayBook],(VLOOKUP(ROW()-3,BookieName[],2,FALSE)),LayTable[LayLiability])*-1)</f>
        <v/>
      </c>
      <c r="M120" s="63" t="str">
        <f>IF(Data[Bookie]="","",SUMIF(LayTable[BackBook],(VLOOKUP(ROW()-3,BookieName[],2,FALSE)),LayTable[WBABack]))</f>
        <v/>
      </c>
      <c r="N120" s="63" t="str">
        <f>IF(Data[Bookie]="","",SUMIF(LayTable[LayBook],(VLOOKUP(ROW()-3,BookieName[],2,FALSE)),LayTable[WBALay]))</f>
        <v/>
      </c>
      <c r="O120" s="63" t="str">
        <f>IF(Data[Bookie]="","",SUMIF(DWbonus[Bookie],(VLOOKUP(ROW()-3,BookieName[],2,FALSE)),DWbonus[Amount]))</f>
        <v/>
      </c>
      <c r="P120" s="63" t="str">
        <f>IF(Data[Bookie]="","",SUM(Data[[#This Row],[Pending 1]:[PendingL2]]))</f>
        <v/>
      </c>
      <c r="Q120" s="63" t="str">
        <f>IF(Data[Bookie]="","",SUMIFS(BetTable[Stake],BetTable[Bookie],(VLOOKUP(ROW()-3,BookieName[],2,FALSE)),BetTable[Result],""))</f>
        <v/>
      </c>
      <c r="R120" s="63" t="str">
        <f>IF(Data[Bookie]="","",SUMIFS(BetTable[S2],BetTable[B2],(VLOOKUP(ROW()-3,BookieName[],2,FALSE)),BetTable[Result],""))</f>
        <v/>
      </c>
      <c r="S120" s="63" t="str">
        <f>IF(Data[Bookie]="","",SUMIFS(BetTable[S3],BetTable[B3],(VLOOKUP(ROW()-3,BookieName[],2,FALSE)),BetTable[Result],""))</f>
        <v/>
      </c>
      <c r="T120" s="63" t="str">
        <f>IF(Data[Bookie]="","",SUMIFS(LayTable[BackStake],LayTable[BackBook],(VLOOKUP(ROW()-3,BookieName[],2,FALSE)),LayTable[AR],""))</f>
        <v/>
      </c>
      <c r="U120" s="63" t="str">
        <f>IF(Data[Bookie]="","",SUMIFS(LayTable[LayLiability],LayTable[LayBook],(VLOOKUP(ROW()-3,BookieName[],2,FALSE)),LayTable[AR],""))</f>
        <v/>
      </c>
    </row>
    <row r="121" spans="1:21" x14ac:dyDescent="0.25">
      <c r="A121" s="62">
        <f t="shared" si="4"/>
        <v>118</v>
      </c>
      <c r="B121" s="63" t="str">
        <f>IFERROR(VLOOKUP(ROW()-3,BookieName[],2,FALSE),"")</f>
        <v/>
      </c>
      <c r="C121" s="140" t="str">
        <f>IF(Data[Bookie]="","",SUM(Data[[#This Row],[D/W]:[Bonus and Adjustments]],))</f>
        <v/>
      </c>
      <c r="D121" s="140" t="str">
        <f>IF(Data[Bookie]="","",SUMIF(DWbooks[Bookie],(VLOOKUP(ROW()-3,BookieName[],2,FALSE)),DWbooks[Amount]))</f>
        <v/>
      </c>
      <c r="E121" s="62" t="str">
        <f>IF(Data[Bookie]="","",SUMIF(BetTable[Bookie],(VLOOKUP(ROW()-3,BookieName[],2,FALSE)),BetTable[Stake])*-1)</f>
        <v/>
      </c>
      <c r="F121" s="62" t="str">
        <f>IF(Data[Bookie]="","",SUMIF(BetTable[B2],(VLOOKUP(ROW()-3,BookieName[],2,FALSE)),BetTable[S2])*-1)</f>
        <v/>
      </c>
      <c r="G121" s="62" t="str">
        <f>IF(Data[Bookie]="","",SUMIF(BetTable[B3],(VLOOKUP(ROW()-3,BookieName[],2,FALSE)),BetTable[S3])*-1)</f>
        <v/>
      </c>
      <c r="H121" s="62" t="str">
        <f>IF(Data[Bookie]="","",SUMIF(BetTable[Bookie],(VLOOKUP(ROW()-3,BookieName[],2,FALSE)),BetTable[WBA1]))</f>
        <v/>
      </c>
      <c r="I121" s="62" t="str">
        <f>IF(Data[Bookie]="","",SUMIF(BetTable[B2],(VLOOKUP(ROW()-3,BookieName[],2,FALSE)),BetTable[WBA2]))</f>
        <v/>
      </c>
      <c r="J121" s="62" t="str">
        <f>IF(Data[Bookie]="","",SUMIF(BetTable[B3],(VLOOKUP(ROW()-3,BookieName[],2,FALSE)),BetTable[WBA3]))</f>
        <v/>
      </c>
      <c r="K121" s="63" t="str">
        <f>IF(Data[Bookie]="","",SUMIF(LayTable[BackBook],(VLOOKUP(ROW()-3,BookieName[],2,FALSE)),LayTable[BackStake])*-1)</f>
        <v/>
      </c>
      <c r="L121" s="63" t="str">
        <f>IF(Data[Bookie]="","",SUMIF(LayTable[LayBook],(VLOOKUP(ROW()-3,BookieName[],2,FALSE)),LayTable[LayLiability])*-1)</f>
        <v/>
      </c>
      <c r="M121" s="63" t="str">
        <f>IF(Data[Bookie]="","",SUMIF(LayTable[BackBook],(VLOOKUP(ROW()-3,BookieName[],2,FALSE)),LayTable[WBABack]))</f>
        <v/>
      </c>
      <c r="N121" s="63" t="str">
        <f>IF(Data[Bookie]="","",SUMIF(LayTable[LayBook],(VLOOKUP(ROW()-3,BookieName[],2,FALSE)),LayTable[WBALay]))</f>
        <v/>
      </c>
      <c r="O121" s="63" t="str">
        <f>IF(Data[Bookie]="","",SUMIF(DWbonus[Bookie],(VLOOKUP(ROW()-3,BookieName[],2,FALSE)),DWbonus[Amount]))</f>
        <v/>
      </c>
      <c r="P121" s="63" t="str">
        <f>IF(Data[Bookie]="","",SUM(Data[[#This Row],[Pending 1]:[PendingL2]]))</f>
        <v/>
      </c>
      <c r="Q121" s="63" t="str">
        <f>IF(Data[Bookie]="","",SUMIFS(BetTable[Stake],BetTable[Bookie],(VLOOKUP(ROW()-3,BookieName[],2,FALSE)),BetTable[Result],""))</f>
        <v/>
      </c>
      <c r="R121" s="63" t="str">
        <f>IF(Data[Bookie]="","",SUMIFS(BetTable[S2],BetTable[B2],(VLOOKUP(ROW()-3,BookieName[],2,FALSE)),BetTable[Result],""))</f>
        <v/>
      </c>
      <c r="S121" s="63" t="str">
        <f>IF(Data[Bookie]="","",SUMIFS(BetTable[S3],BetTable[B3],(VLOOKUP(ROW()-3,BookieName[],2,FALSE)),BetTable[Result],""))</f>
        <v/>
      </c>
      <c r="T121" s="63" t="str">
        <f>IF(Data[Bookie]="","",SUMIFS(LayTable[BackStake],LayTable[BackBook],(VLOOKUP(ROW()-3,BookieName[],2,FALSE)),LayTable[AR],""))</f>
        <v/>
      </c>
      <c r="U121" s="63" t="str">
        <f>IF(Data[Bookie]="","",SUMIFS(LayTable[LayLiability],LayTable[LayBook],(VLOOKUP(ROW()-3,BookieName[],2,FALSE)),LayTable[AR],""))</f>
        <v/>
      </c>
    </row>
    <row r="122" spans="1:21" x14ac:dyDescent="0.25">
      <c r="A122" s="62">
        <f t="shared" si="4"/>
        <v>119</v>
      </c>
      <c r="B122" s="63" t="str">
        <f>IFERROR(VLOOKUP(ROW()-3,BookieName[],2,FALSE),"")</f>
        <v/>
      </c>
      <c r="C122" s="140" t="str">
        <f>IF(Data[Bookie]="","",SUM(Data[[#This Row],[D/W]:[Bonus and Adjustments]],))</f>
        <v/>
      </c>
      <c r="D122" s="140" t="str">
        <f>IF(Data[Bookie]="","",SUMIF(DWbooks[Bookie],(VLOOKUP(ROW()-3,BookieName[],2,FALSE)),DWbooks[Amount]))</f>
        <v/>
      </c>
      <c r="E122" s="62" t="str">
        <f>IF(Data[Bookie]="","",SUMIF(BetTable[Bookie],(VLOOKUP(ROW()-3,BookieName[],2,FALSE)),BetTable[Stake])*-1)</f>
        <v/>
      </c>
      <c r="F122" s="62" t="str">
        <f>IF(Data[Bookie]="","",SUMIF(BetTable[B2],(VLOOKUP(ROW()-3,BookieName[],2,FALSE)),BetTable[S2])*-1)</f>
        <v/>
      </c>
      <c r="G122" s="62" t="str">
        <f>IF(Data[Bookie]="","",SUMIF(BetTable[B3],(VLOOKUP(ROW()-3,BookieName[],2,FALSE)),BetTable[S3])*-1)</f>
        <v/>
      </c>
      <c r="H122" s="62" t="str">
        <f>IF(Data[Bookie]="","",SUMIF(BetTable[Bookie],(VLOOKUP(ROW()-3,BookieName[],2,FALSE)),BetTable[WBA1]))</f>
        <v/>
      </c>
      <c r="I122" s="62" t="str">
        <f>IF(Data[Bookie]="","",SUMIF(BetTable[B2],(VLOOKUP(ROW()-3,BookieName[],2,FALSE)),BetTable[WBA2]))</f>
        <v/>
      </c>
      <c r="J122" s="62" t="str">
        <f>IF(Data[Bookie]="","",SUMIF(BetTable[B3],(VLOOKUP(ROW()-3,BookieName[],2,FALSE)),BetTable[WBA3]))</f>
        <v/>
      </c>
      <c r="K122" s="63" t="str">
        <f>IF(Data[Bookie]="","",SUMIF(LayTable[BackBook],(VLOOKUP(ROW()-3,BookieName[],2,FALSE)),LayTable[BackStake])*-1)</f>
        <v/>
      </c>
      <c r="L122" s="63" t="str">
        <f>IF(Data[Bookie]="","",SUMIF(LayTable[LayBook],(VLOOKUP(ROW()-3,BookieName[],2,FALSE)),LayTable[LayLiability])*-1)</f>
        <v/>
      </c>
      <c r="M122" s="63" t="str">
        <f>IF(Data[Bookie]="","",SUMIF(LayTable[BackBook],(VLOOKUP(ROW()-3,BookieName[],2,FALSE)),LayTable[WBABack]))</f>
        <v/>
      </c>
      <c r="N122" s="63" t="str">
        <f>IF(Data[Bookie]="","",SUMIF(LayTable[LayBook],(VLOOKUP(ROW()-3,BookieName[],2,FALSE)),LayTable[WBALay]))</f>
        <v/>
      </c>
      <c r="O122" s="63" t="str">
        <f>IF(Data[Bookie]="","",SUMIF(DWbonus[Bookie],(VLOOKUP(ROW()-3,BookieName[],2,FALSE)),DWbonus[Amount]))</f>
        <v/>
      </c>
      <c r="P122" s="63" t="str">
        <f>IF(Data[Bookie]="","",SUM(Data[[#This Row],[Pending 1]:[PendingL2]]))</f>
        <v/>
      </c>
      <c r="Q122" s="63" t="str">
        <f>IF(Data[Bookie]="","",SUMIFS(BetTable[Stake],BetTable[Bookie],(VLOOKUP(ROW()-3,BookieName[],2,FALSE)),BetTable[Result],""))</f>
        <v/>
      </c>
      <c r="R122" s="63" t="str">
        <f>IF(Data[Bookie]="","",SUMIFS(BetTable[S2],BetTable[B2],(VLOOKUP(ROW()-3,BookieName[],2,FALSE)),BetTable[Result],""))</f>
        <v/>
      </c>
      <c r="S122" s="63" t="str">
        <f>IF(Data[Bookie]="","",SUMIFS(BetTable[S3],BetTable[B3],(VLOOKUP(ROW()-3,BookieName[],2,FALSE)),BetTable[Result],""))</f>
        <v/>
      </c>
      <c r="T122" s="63" t="str">
        <f>IF(Data[Bookie]="","",SUMIFS(LayTable[BackStake],LayTable[BackBook],(VLOOKUP(ROW()-3,BookieName[],2,FALSE)),LayTable[AR],""))</f>
        <v/>
      </c>
      <c r="U122" s="63" t="str">
        <f>IF(Data[Bookie]="","",SUMIFS(LayTable[LayLiability],LayTable[LayBook],(VLOOKUP(ROW()-3,BookieName[],2,FALSE)),LayTable[AR],""))</f>
        <v/>
      </c>
    </row>
    <row r="123" spans="1:21" x14ac:dyDescent="0.25">
      <c r="A123" s="62">
        <f t="shared" si="4"/>
        <v>120</v>
      </c>
      <c r="B123" s="63" t="str">
        <f>IFERROR(VLOOKUP(ROW()-3,BookieName[],2,FALSE),"")</f>
        <v/>
      </c>
      <c r="C123" s="140" t="str">
        <f>IF(Data[Bookie]="","",SUM(Data[[#This Row],[D/W]:[Bonus and Adjustments]],))</f>
        <v/>
      </c>
      <c r="D123" s="140" t="str">
        <f>IF(Data[Bookie]="","",SUMIF(DWbooks[Bookie],(VLOOKUP(ROW()-3,BookieName[],2,FALSE)),DWbooks[Amount]))</f>
        <v/>
      </c>
      <c r="E123" s="62" t="str">
        <f>IF(Data[Bookie]="","",SUMIF(BetTable[Bookie],(VLOOKUP(ROW()-3,BookieName[],2,FALSE)),BetTable[Stake])*-1)</f>
        <v/>
      </c>
      <c r="F123" s="62" t="str">
        <f>IF(Data[Bookie]="","",SUMIF(BetTable[B2],(VLOOKUP(ROW()-3,BookieName[],2,FALSE)),BetTable[S2])*-1)</f>
        <v/>
      </c>
      <c r="G123" s="62" t="str">
        <f>IF(Data[Bookie]="","",SUMIF(BetTable[B3],(VLOOKUP(ROW()-3,BookieName[],2,FALSE)),BetTable[S3])*-1)</f>
        <v/>
      </c>
      <c r="H123" s="62" t="str">
        <f>IF(Data[Bookie]="","",SUMIF(BetTable[Bookie],(VLOOKUP(ROW()-3,BookieName[],2,FALSE)),BetTable[WBA1]))</f>
        <v/>
      </c>
      <c r="I123" s="62" t="str">
        <f>IF(Data[Bookie]="","",SUMIF(BetTable[B2],(VLOOKUP(ROW()-3,BookieName[],2,FALSE)),BetTable[WBA2]))</f>
        <v/>
      </c>
      <c r="J123" s="62" t="str">
        <f>IF(Data[Bookie]="","",SUMIF(BetTable[B3],(VLOOKUP(ROW()-3,BookieName[],2,FALSE)),BetTable[WBA3]))</f>
        <v/>
      </c>
      <c r="K123" s="63" t="str">
        <f>IF(Data[Bookie]="","",SUMIF(LayTable[BackBook],(VLOOKUP(ROW()-3,BookieName[],2,FALSE)),LayTable[BackStake])*-1)</f>
        <v/>
      </c>
      <c r="L123" s="63" t="str">
        <f>IF(Data[Bookie]="","",SUMIF(LayTable[LayBook],(VLOOKUP(ROW()-3,BookieName[],2,FALSE)),LayTable[LayLiability])*-1)</f>
        <v/>
      </c>
      <c r="M123" s="63" t="str">
        <f>IF(Data[Bookie]="","",SUMIF(LayTable[BackBook],(VLOOKUP(ROW()-3,BookieName[],2,FALSE)),LayTable[WBABack]))</f>
        <v/>
      </c>
      <c r="N123" s="63" t="str">
        <f>IF(Data[Bookie]="","",SUMIF(LayTable[LayBook],(VLOOKUP(ROW()-3,BookieName[],2,FALSE)),LayTable[WBALay]))</f>
        <v/>
      </c>
      <c r="O123" s="63" t="str">
        <f>IF(Data[Bookie]="","",SUMIF(DWbonus[Bookie],(VLOOKUP(ROW()-3,BookieName[],2,FALSE)),DWbonus[Amount]))</f>
        <v/>
      </c>
      <c r="P123" s="63" t="str">
        <f>IF(Data[Bookie]="","",SUM(Data[[#This Row],[Pending 1]:[PendingL2]]))</f>
        <v/>
      </c>
      <c r="Q123" s="63" t="str">
        <f>IF(Data[Bookie]="","",SUMIFS(BetTable[Stake],BetTable[Bookie],(VLOOKUP(ROW()-3,BookieName[],2,FALSE)),BetTable[Result],""))</f>
        <v/>
      </c>
      <c r="R123" s="63" t="str">
        <f>IF(Data[Bookie]="","",SUMIFS(BetTable[S2],BetTable[B2],(VLOOKUP(ROW()-3,BookieName[],2,FALSE)),BetTable[Result],""))</f>
        <v/>
      </c>
      <c r="S123" s="63" t="str">
        <f>IF(Data[Bookie]="","",SUMIFS(BetTable[S3],BetTable[B3],(VLOOKUP(ROW()-3,BookieName[],2,FALSE)),BetTable[Result],""))</f>
        <v/>
      </c>
      <c r="T123" s="63" t="str">
        <f>IF(Data[Bookie]="","",SUMIFS(LayTable[BackStake],LayTable[BackBook],(VLOOKUP(ROW()-3,BookieName[],2,FALSE)),LayTable[AR],""))</f>
        <v/>
      </c>
      <c r="U123" s="63" t="str">
        <f>IF(Data[Bookie]="","",SUMIFS(LayTable[LayLiability],LayTable[LayBook],(VLOOKUP(ROW()-3,BookieName[],2,FALSE)),LayTable[AR],""))</f>
        <v/>
      </c>
    </row>
  </sheetData>
  <pageMargins left="0.7" right="0.7" top="0.75" bottom="0.75" header="0.3" footer="0.3"/>
  <legacy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LogBackBets</vt:lpstr>
      <vt:lpstr>LogLayBets</vt:lpstr>
      <vt:lpstr>Balance</vt:lpstr>
      <vt:lpstr>DepWith</vt:lpstr>
      <vt:lpstr>BooksAndSports</vt:lpstr>
      <vt:lpstr>Graphs</vt:lpstr>
      <vt:lpstr>MonthStats</vt:lpstr>
      <vt:lpstr>ReadMe</vt:lpstr>
      <vt:lpstr>Data</vt:lpstr>
      <vt:lpstr>TurnOver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RebelBetting ArbBook</dc:title>
  <dc:creator/>
  <cp:lastModifiedBy/>
  <dcterms:created xsi:type="dcterms:W3CDTF">2009-08-25T08:21:37Z</dcterms:created>
  <dcterms:modified xsi:type="dcterms:W3CDTF">2018-11-13T08:41:13Z</dcterms:modified>
</cp:coreProperties>
</file>